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Sec. de Urbanismos e Obras\SEC EXEC DE PROCESSOS\NUCLEO DE PROJETOS\PROJETOS\REF ORÇAMENTOS\SÃO JOÃO\2026\ORÇAMENTO\ANEXOS\"/>
    </mc:Choice>
  </mc:AlternateContent>
  <bookViews>
    <workbookView xWindow="0" yWindow="0" windowWidth="15525" windowHeight="10770" tabRatio="831" activeTab="3"/>
  </bookViews>
  <sheets>
    <sheet name="Resumo" sheetId="1" r:id="rId1"/>
    <sheet name="MC" sheetId="54" state="hidden" r:id="rId2"/>
    <sheet name="TESTE Anexo A (2)" sheetId="44" state="hidden" r:id="rId3"/>
    <sheet name="Anexo A" sheetId="3" r:id="rId4"/>
    <sheet name="Composição UNIT." sheetId="2" r:id="rId5"/>
    <sheet name="Insumos" sheetId="4" r:id="rId6"/>
    <sheet name="BDI" sheetId="5" r:id="rId7"/>
    <sheet name="ESPECIF E QUANT" sheetId="59" r:id="rId8"/>
    <sheet name="1 Palco Grande Porte" sheetId="7" r:id="rId9"/>
    <sheet name="2 Camarote Institucional" sheetId="10" r:id="rId10"/>
    <sheet name="1.5 CAMAROTE_B" sheetId="11" state="hidden" r:id="rId11"/>
    <sheet name="3 Pav. Restaurantes" sheetId="12" r:id="rId12"/>
    <sheet name="4 Camarote Imprensa" sheetId="55" r:id="rId13"/>
    <sheet name="5 Pav. Praça Alimentação" sheetId="16" r:id="rId14"/>
    <sheet name="6 Palco Azulão" sheetId="8" r:id="rId15"/>
    <sheet name="7 Pavilhão Mestre Camarão" sheetId="13" r:id="rId16"/>
    <sheet name="8 Pavilhão Locomotiva" sheetId="14" r:id="rId17"/>
    <sheet name="9 Pav. Repente" sheetId="17" r:id="rId18"/>
    <sheet name="10 Estande COI" sheetId="18" r:id="rId19"/>
    <sheet name="11 Pav Mercado de Artesanato" sheetId="19" r:id="rId20"/>
    <sheet name="12 Pav Mercado Criativo" sheetId="20" r:id="rId21"/>
    <sheet name="13 Pav Vila Funcional" sheetId="48" r:id="rId22"/>
    <sheet name="14 Pav Reciclagem" sheetId="50" r:id="rId23"/>
    <sheet name="15 Pólo Sebastião Biano" sheetId="23" r:id="rId24"/>
    <sheet name="16 Pav Posto Médico" sheetId="52" state="hidden" r:id="rId25"/>
    <sheet name="19 Pórtico_I" sheetId="25" r:id="rId26"/>
    <sheet name="20 Pórtico_II" sheetId="26" r:id="rId27"/>
    <sheet name="21 Pórtico_III" sheetId="53" r:id="rId28"/>
    <sheet name="22 Torre Transmissão tipo I" sheetId="21" r:id="rId29"/>
    <sheet name="23 Torre transmissão tipo II" sheetId="49" r:id="rId30"/>
    <sheet name="24 Fechamentos" sheetId="33" r:id="rId31"/>
    <sheet name="25 Disciplinadores" sheetId="34" r:id="rId32"/>
    <sheet name="26 Barricadas" sheetId="35" r:id="rId33"/>
    <sheet name="27 Barracas_ I" sheetId="36" r:id="rId34"/>
    <sheet name="28 Barracas_II" sheetId="37" r:id="rId35"/>
    <sheet name="29 Passarela Tipo I" sheetId="30" r:id="rId36"/>
    <sheet name="30 Passarela Tipo II" sheetId="31" r:id="rId37"/>
    <sheet name="1.12.3 Passarela Tipo III" sheetId="32" state="hidden" r:id="rId38"/>
    <sheet name="1.12.4 Passarela Tipo IV" sheetId="41" state="hidden" r:id="rId39"/>
    <sheet name="31 Piso" sheetId="38" r:id="rId40"/>
    <sheet name="32 Toldo_I" sheetId="39" r:id="rId41"/>
    <sheet name="33 Toldo_II" sheetId="40" r:id="rId42"/>
    <sheet name="34 Estande Alto Moura" sheetId="42" r:id="rId43"/>
    <sheet name="35 Pavilhão Polo Alto Do Moura" sheetId="9" r:id="rId44"/>
    <sheet name="36 Pórtico_IV" sheetId="28" r:id="rId45"/>
    <sheet name="37 Pav Quadrilha" sheetId="57" r:id="rId46"/>
    <sheet name="1.10.3 Pórtico_III" sheetId="27" state="hidden" r:id="rId47"/>
  </sheets>
  <externalReferences>
    <externalReference r:id="rId48"/>
    <externalReference r:id="rId49"/>
  </externalReferences>
  <definedNames>
    <definedName name="_xlnm.Print_Area" localSheetId="43">'35 Pavilhão Polo Alto Do Moura'!$A$1:$K$69</definedName>
    <definedName name="_xlnm.Print_Area" localSheetId="45">'37 Pav Quadrilha'!$A$1:$K$54</definedName>
    <definedName name="_xlnm.Print_Area" localSheetId="3">'Anexo A'!$A$1:$J$547</definedName>
    <definedName name="_xlnm.Print_Area" localSheetId="6">BDI!$A$1:$H$28</definedName>
    <definedName name="_xlnm.Print_Area" localSheetId="4">'Composição UNIT.'!$A$1:$I$1006</definedName>
    <definedName name="_xlnm.Print_Area" localSheetId="7">'ESPECIF E QUANT'!$A$1:$G$546</definedName>
    <definedName name="_xlnm.Print_Area" localSheetId="5">Insumos!$A$1:$D$106</definedName>
    <definedName name="_xlnm.Print_Area" localSheetId="1">MC!$A$1:$L$327</definedName>
    <definedName name="_xlnm.Print_Area" localSheetId="0">Resumo!$A$1:$C$13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59" l="1"/>
  <c r="F49" i="4" l="1"/>
  <c r="F51" i="4"/>
  <c r="F60" i="4"/>
  <c r="F61" i="4"/>
  <c r="F68" i="4"/>
  <c r="F75" i="4"/>
  <c r="F81" i="4"/>
  <c r="F82" i="4"/>
  <c r="F83" i="4"/>
  <c r="F84" i="4"/>
  <c r="F99" i="4"/>
  <c r="F100" i="4"/>
  <c r="F101" i="4"/>
  <c r="F102" i="4"/>
  <c r="F105" i="4"/>
  <c r="I451" i="3" l="1"/>
  <c r="I453" i="3" l="1"/>
  <c r="I452" i="3"/>
  <c r="I439" i="3" l="1"/>
  <c r="I446" i="3"/>
  <c r="I445" i="3"/>
  <c r="I440" i="3"/>
  <c r="J7" i="13"/>
  <c r="F7" i="13"/>
  <c r="G7" i="13" s="1"/>
  <c r="K7" i="13" l="1"/>
  <c r="E8" i="14" l="1"/>
  <c r="E7" i="14"/>
  <c r="G7" i="14" s="1"/>
  <c r="F11" i="14"/>
  <c r="G6" i="14"/>
  <c r="F6" i="14"/>
  <c r="G955" i="2" l="1"/>
  <c r="G934" i="2"/>
  <c r="H934" i="2"/>
  <c r="H935" i="2" s="1"/>
  <c r="E934" i="2"/>
  <c r="D934" i="2"/>
  <c r="G929" i="2"/>
  <c r="G927" i="2"/>
  <c r="H927" i="2" s="1"/>
  <c r="G926" i="2"/>
  <c r="H926" i="2" s="1"/>
  <c r="G925" i="2"/>
  <c r="H925" i="2" s="1"/>
  <c r="G924" i="2"/>
  <c r="H924" i="2" s="1"/>
  <c r="G923" i="2"/>
  <c r="H923" i="2" s="1"/>
  <c r="H955" i="2"/>
  <c r="E955" i="2"/>
  <c r="D955" i="2"/>
  <c r="G950" i="2"/>
  <c r="G948" i="2"/>
  <c r="H948" i="2" s="1"/>
  <c r="G947" i="2"/>
  <c r="H947" i="2" s="1"/>
  <c r="G946" i="2"/>
  <c r="H946" i="2" s="1"/>
  <c r="G945" i="2"/>
  <c r="H945" i="2" s="1"/>
  <c r="G944" i="2"/>
  <c r="H944" i="2" s="1"/>
  <c r="G943" i="2"/>
  <c r="H943" i="2" s="1"/>
  <c r="G942" i="2"/>
  <c r="H942" i="2" s="1"/>
  <c r="H949" i="2" l="1"/>
  <c r="H950" i="2" s="1"/>
  <c r="H951" i="2" s="1"/>
  <c r="H956" i="2"/>
  <c r="J6" i="21" l="1"/>
  <c r="G13" i="5" l="1"/>
  <c r="G20" i="5" l="1"/>
  <c r="H474" i="3" l="1"/>
  <c r="I474" i="3" s="1"/>
  <c r="H484" i="3"/>
  <c r="I484" i="3" s="1"/>
  <c r="H493" i="3"/>
  <c r="I493" i="3" s="1"/>
  <c r="H505" i="3"/>
  <c r="I505" i="3" s="1"/>
  <c r="H518" i="3"/>
  <c r="I518" i="3" s="1"/>
  <c r="H528" i="3"/>
  <c r="I528" i="3" s="1"/>
  <c r="H536" i="3"/>
  <c r="I536" i="3" s="1"/>
  <c r="H545" i="3"/>
  <c r="I545" i="3" s="1"/>
  <c r="H475" i="3"/>
  <c r="I475" i="3" s="1"/>
  <c r="H507" i="3"/>
  <c r="I507" i="3" s="1"/>
  <c r="H529" i="3"/>
  <c r="I529" i="3" s="1"/>
  <c r="H476" i="3"/>
  <c r="I476" i="3" s="1"/>
  <c r="H495" i="3"/>
  <c r="I495" i="3" s="1"/>
  <c r="H521" i="3"/>
  <c r="I521" i="3" s="1"/>
  <c r="H496" i="3"/>
  <c r="I496" i="3" s="1"/>
  <c r="H531" i="3"/>
  <c r="I531" i="3" s="1"/>
  <c r="H469" i="3"/>
  <c r="I469" i="3" s="1"/>
  <c r="H489" i="3"/>
  <c r="I489" i="3" s="1"/>
  <c r="H523" i="3"/>
  <c r="I523" i="3" s="1"/>
  <c r="H533" i="3"/>
  <c r="I533" i="3" s="1"/>
  <c r="H485" i="3"/>
  <c r="I485" i="3" s="1"/>
  <c r="H519" i="3"/>
  <c r="I519" i="3" s="1"/>
  <c r="H537" i="3"/>
  <c r="I537" i="3" s="1"/>
  <c r="H467" i="3"/>
  <c r="I467" i="3" s="1"/>
  <c r="H530" i="3"/>
  <c r="I530" i="3" s="1"/>
  <c r="H468" i="3"/>
  <c r="I468" i="3" s="1"/>
  <c r="H487" i="3"/>
  <c r="I487" i="3" s="1"/>
  <c r="H522" i="3"/>
  <c r="I522" i="3" s="1"/>
  <c r="H466" i="3"/>
  <c r="I466" i="3" s="1"/>
  <c r="H497" i="3"/>
  <c r="I497" i="3" s="1"/>
  <c r="H532" i="3"/>
  <c r="I532" i="3" s="1"/>
  <c r="H490" i="3"/>
  <c r="I490" i="3" s="1"/>
  <c r="H512" i="3"/>
  <c r="I512" i="3" s="1"/>
  <c r="H541" i="3"/>
  <c r="I541" i="3" s="1"/>
  <c r="H471" i="3"/>
  <c r="I471" i="3" s="1"/>
  <c r="H481" i="3"/>
  <c r="I481" i="3" s="1"/>
  <c r="H491" i="3"/>
  <c r="I491" i="3" s="1"/>
  <c r="H501" i="3"/>
  <c r="I501" i="3" s="1"/>
  <c r="H514" i="3"/>
  <c r="I514" i="3" s="1"/>
  <c r="H526" i="3"/>
  <c r="I526" i="3" s="1"/>
  <c r="H534" i="3"/>
  <c r="I534" i="3" s="1"/>
  <c r="H542" i="3"/>
  <c r="I542" i="3" s="1"/>
  <c r="H480" i="3"/>
  <c r="I480" i="3" s="1"/>
  <c r="H473" i="3"/>
  <c r="I473" i="3" s="1"/>
  <c r="H483" i="3"/>
  <c r="I483" i="3" s="1"/>
  <c r="H492" i="3"/>
  <c r="I492" i="3" s="1"/>
  <c r="H504" i="3"/>
  <c r="I504" i="3" s="1"/>
  <c r="H517" i="3"/>
  <c r="I517" i="3" s="1"/>
  <c r="H527" i="3"/>
  <c r="I527" i="3" s="1"/>
  <c r="H535" i="3"/>
  <c r="I535" i="3" s="1"/>
  <c r="H543" i="3"/>
  <c r="I543" i="3" s="1"/>
  <c r="H494" i="3"/>
  <c r="I494" i="3" s="1"/>
  <c r="H486" i="3"/>
  <c r="I486" i="3" s="1"/>
  <c r="H508" i="3"/>
  <c r="I508" i="3" s="1"/>
  <c r="H538" i="3"/>
  <c r="I538" i="3" s="1"/>
  <c r="H477" i="3"/>
  <c r="I477" i="3" s="1"/>
  <c r="H509" i="3"/>
  <c r="I509" i="3" s="1"/>
  <c r="H539" i="3"/>
  <c r="I539" i="3" s="1"/>
  <c r="H479" i="3"/>
  <c r="I479" i="3" s="1"/>
  <c r="H510" i="3"/>
  <c r="I510" i="3" s="1"/>
  <c r="H540" i="3"/>
  <c r="I540" i="3" s="1"/>
  <c r="H470" i="3"/>
  <c r="I470" i="3" s="1"/>
  <c r="H499" i="3"/>
  <c r="I499" i="3" s="1"/>
  <c r="H524" i="3"/>
  <c r="I524" i="3" s="1"/>
  <c r="I544" i="3" l="1"/>
  <c r="I513" i="3"/>
  <c r="I525" i="3"/>
  <c r="I500" i="3"/>
  <c r="I478" i="3"/>
  <c r="I498" i="3"/>
  <c r="I516" i="3"/>
  <c r="I503" i="3"/>
  <c r="I511" i="3"/>
  <c r="I520" i="3"/>
  <c r="I482" i="3"/>
  <c r="I465" i="3"/>
  <c r="I472" i="3"/>
  <c r="I488" i="3"/>
  <c r="I506" i="3"/>
  <c r="J19" i="12"/>
  <c r="J21" i="55"/>
  <c r="J29" i="10"/>
  <c r="J11" i="57"/>
  <c r="J8" i="28"/>
  <c r="F8" i="57"/>
  <c r="G8" i="57" s="1"/>
  <c r="F11" i="57"/>
  <c r="G11" i="57" s="1"/>
  <c r="F10" i="57"/>
  <c r="G10" i="57" s="1"/>
  <c r="F9" i="57"/>
  <c r="G9" i="57" s="1"/>
  <c r="F7" i="57"/>
  <c r="G7" i="57" s="1"/>
  <c r="J10" i="57"/>
  <c r="J9" i="57"/>
  <c r="J8" i="57"/>
  <c r="G26" i="23"/>
  <c r="C11" i="23"/>
  <c r="F11" i="23" s="1"/>
  <c r="G11" i="23" s="1"/>
  <c r="F10" i="23"/>
  <c r="G10" i="23" s="1"/>
  <c r="J12" i="23"/>
  <c r="J11" i="23"/>
  <c r="J10" i="23"/>
  <c r="J9" i="23"/>
  <c r="F9" i="23"/>
  <c r="G9" i="23" s="1"/>
  <c r="J8" i="23"/>
  <c r="F8" i="23"/>
  <c r="G8" i="23" s="1"/>
  <c r="J7" i="23"/>
  <c r="F7" i="23"/>
  <c r="G7" i="23" s="1"/>
  <c r="J6" i="23"/>
  <c r="F6" i="23"/>
  <c r="F12" i="23" s="1"/>
  <c r="G12" i="23" s="1"/>
  <c r="J20" i="10"/>
  <c r="K9" i="57" l="1"/>
  <c r="K10" i="57"/>
  <c r="K11" i="57"/>
  <c r="G27" i="23"/>
  <c r="I502" i="3"/>
  <c r="I515" i="3"/>
  <c r="K8" i="57"/>
  <c r="K7" i="23"/>
  <c r="I464" i="3"/>
  <c r="K10" i="23"/>
  <c r="K9" i="23"/>
  <c r="K12" i="23"/>
  <c r="K8" i="23"/>
  <c r="K11" i="23"/>
  <c r="G6" i="23"/>
  <c r="K6" i="23" s="1"/>
  <c r="J21" i="7"/>
  <c r="G21" i="7"/>
  <c r="I463" i="3" l="1"/>
  <c r="K21" i="7"/>
  <c r="F14" i="18"/>
  <c r="G14" i="18" s="1"/>
  <c r="J14" i="18"/>
  <c r="J31" i="18"/>
  <c r="J39" i="18"/>
  <c r="J38" i="18"/>
  <c r="J37" i="18"/>
  <c r="J36" i="18"/>
  <c r="J35" i="18"/>
  <c r="J34" i="18"/>
  <c r="J33" i="18"/>
  <c r="J32" i="18"/>
  <c r="J30" i="18"/>
  <c r="K14" i="18" l="1"/>
  <c r="I55" i="18" l="1"/>
  <c r="I56" i="18"/>
  <c r="I54" i="18"/>
  <c r="F13" i="18"/>
  <c r="G13" i="18" s="1"/>
  <c r="F15" i="18"/>
  <c r="F12" i="18" s="1"/>
  <c r="G31" i="18" s="1"/>
  <c r="J9" i="18"/>
  <c r="J8" i="18"/>
  <c r="J7" i="18"/>
  <c r="G8" i="18"/>
  <c r="G9" i="18"/>
  <c r="G7" i="18"/>
  <c r="K9" i="18" l="1"/>
  <c r="K8" i="18"/>
  <c r="K7" i="18"/>
  <c r="J13" i="18"/>
  <c r="K13" i="18" s="1"/>
  <c r="J11" i="18"/>
  <c r="J10" i="18"/>
  <c r="J6" i="18"/>
  <c r="G11" i="18"/>
  <c r="G10" i="18"/>
  <c r="G6" i="18" l="1"/>
  <c r="G32" i="18"/>
  <c r="G33" i="18" l="1"/>
  <c r="G34" i="18"/>
  <c r="G15" i="18"/>
  <c r="G30" i="18" s="1"/>
  <c r="G12" i="18"/>
  <c r="I37" i="18" l="1"/>
  <c r="I35" i="18"/>
  <c r="I36" i="18"/>
  <c r="I38" i="18"/>
  <c r="I30" i="18"/>
  <c r="I39" i="18"/>
  <c r="I31" i="18"/>
  <c r="K31" i="18" s="1"/>
  <c r="I32" i="18"/>
  <c r="I34" i="18"/>
  <c r="I33" i="18"/>
  <c r="G9" i="25"/>
  <c r="D6" i="25"/>
  <c r="D8" i="25" s="1"/>
  <c r="D210" i="2"/>
  <c r="J11" i="14"/>
  <c r="J10" i="14"/>
  <c r="J9" i="14"/>
  <c r="J8" i="14"/>
  <c r="J7" i="14"/>
  <c r="J6" i="14"/>
  <c r="I10" i="14"/>
  <c r="F10" i="14"/>
  <c r="G10" i="14" s="1"/>
  <c r="I8" i="14"/>
  <c r="I9" i="14"/>
  <c r="I11" i="14"/>
  <c r="I7" i="14"/>
  <c r="F9" i="14"/>
  <c r="G9" i="14" s="1"/>
  <c r="F8" i="14"/>
  <c r="G8" i="14" s="1"/>
  <c r="G27" i="14"/>
  <c r="D7" i="25" l="1"/>
  <c r="K9" i="14"/>
  <c r="G30" i="14"/>
  <c r="G28" i="14"/>
  <c r="G29" i="14" s="1"/>
  <c r="G11" i="14"/>
  <c r="G26" i="14" s="1"/>
  <c r="K10" i="14"/>
  <c r="K8" i="14"/>
  <c r="K7" i="14"/>
  <c r="K11" i="14" l="1"/>
  <c r="J36" i="20"/>
  <c r="J35" i="20"/>
  <c r="J34" i="20"/>
  <c r="J33" i="20"/>
  <c r="J32" i="20"/>
  <c r="J31" i="20"/>
  <c r="J30" i="20"/>
  <c r="J29" i="20"/>
  <c r="J28" i="20"/>
  <c r="J27" i="20"/>
  <c r="J26" i="20"/>
  <c r="J25" i="20"/>
  <c r="J10" i="20"/>
  <c r="J9" i="20"/>
  <c r="F9" i="20"/>
  <c r="G9" i="20" s="1"/>
  <c r="J8" i="20"/>
  <c r="F8" i="20"/>
  <c r="G8" i="20" s="1"/>
  <c r="J7" i="20"/>
  <c r="F7" i="20"/>
  <c r="G7" i="20" s="1"/>
  <c r="G26" i="20" s="1"/>
  <c r="J6" i="20"/>
  <c r="F6" i="20"/>
  <c r="G6" i="20" s="1"/>
  <c r="C20" i="55"/>
  <c r="F20" i="55" s="1"/>
  <c r="G20" i="55" s="1"/>
  <c r="J20" i="55"/>
  <c r="G28" i="20" l="1"/>
  <c r="G29" i="20" s="1"/>
  <c r="F10" i="20"/>
  <c r="G27" i="20"/>
  <c r="K7" i="20"/>
  <c r="G30" i="20"/>
  <c r="K8" i="20"/>
  <c r="G10" i="20"/>
  <c r="G25" i="20" s="1"/>
  <c r="K9" i="20"/>
  <c r="K20" i="55"/>
  <c r="I29" i="20" l="1"/>
  <c r="I26" i="20"/>
  <c r="I34" i="20"/>
  <c r="I35" i="20"/>
  <c r="I25" i="20"/>
  <c r="I31" i="20"/>
  <c r="I30" i="20"/>
  <c r="K30" i="20" s="1"/>
  <c r="I28" i="20"/>
  <c r="I27" i="20"/>
  <c r="I36" i="20"/>
  <c r="I32" i="20"/>
  <c r="I33" i="20"/>
  <c r="D16" i="55" l="1"/>
  <c r="D15" i="55"/>
  <c r="I8" i="12" l="1"/>
  <c r="I9" i="12"/>
  <c r="I10" i="12"/>
  <c r="I11" i="12"/>
  <c r="I12" i="12"/>
  <c r="I13" i="12"/>
  <c r="I14" i="12"/>
  <c r="I15" i="12"/>
  <c r="I16" i="12"/>
  <c r="I17" i="12"/>
  <c r="I18" i="12"/>
  <c r="I19" i="12"/>
  <c r="I7" i="12"/>
  <c r="F7" i="12"/>
  <c r="G7" i="12" s="1"/>
  <c r="J7" i="12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7" i="10"/>
  <c r="C28" i="10"/>
  <c r="F28" i="10" s="1"/>
  <c r="G28" i="10" s="1"/>
  <c r="D26" i="10"/>
  <c r="D21" i="10"/>
  <c r="D13" i="10"/>
  <c r="D9" i="10"/>
  <c r="J8" i="10"/>
  <c r="F8" i="10"/>
  <c r="G8" i="10" s="1"/>
  <c r="D15" i="10"/>
  <c r="C15" i="10"/>
  <c r="J25" i="7"/>
  <c r="K7" i="12" l="1"/>
  <c r="K8" i="10"/>
  <c r="F32" i="7" l="1"/>
  <c r="D19" i="7" l="1"/>
  <c r="D18" i="7"/>
  <c r="F18" i="7" s="1"/>
  <c r="G18" i="7" s="1"/>
  <c r="J18" i="7"/>
  <c r="F14" i="7"/>
  <c r="G14" i="7" s="1"/>
  <c r="F15" i="7"/>
  <c r="G15" i="7" s="1"/>
  <c r="F16" i="7"/>
  <c r="D12" i="7"/>
  <c r="J15" i="7"/>
  <c r="J14" i="7"/>
  <c r="F6" i="7"/>
  <c r="D8" i="7"/>
  <c r="K14" i="7" l="1"/>
  <c r="K18" i="7"/>
  <c r="K15" i="7"/>
  <c r="I52" i="57" l="1"/>
  <c r="I53" i="57"/>
  <c r="I51" i="57"/>
  <c r="I17" i="57"/>
  <c r="I18" i="57"/>
  <c r="I19" i="57"/>
  <c r="I20" i="57"/>
  <c r="I21" i="57"/>
  <c r="I16" i="57"/>
  <c r="I42" i="28"/>
  <c r="I43" i="28"/>
  <c r="I41" i="28"/>
  <c r="I24" i="28"/>
  <c r="I25" i="28"/>
  <c r="I26" i="28"/>
  <c r="I23" i="28"/>
  <c r="I14" i="28"/>
  <c r="I15" i="28"/>
  <c r="I16" i="28"/>
  <c r="I17" i="28"/>
  <c r="I18" i="28"/>
  <c r="I13" i="28"/>
  <c r="I49" i="42"/>
  <c r="I50" i="42"/>
  <c r="I48" i="42"/>
  <c r="I16" i="42"/>
  <c r="I17" i="42"/>
  <c r="I18" i="42"/>
  <c r="I19" i="42"/>
  <c r="I20" i="42"/>
  <c r="I15" i="42"/>
  <c r="I47" i="40"/>
  <c r="I48" i="40"/>
  <c r="I46" i="40"/>
  <c r="I24" i="40"/>
  <c r="I25" i="40"/>
  <c r="I26" i="40"/>
  <c r="I27" i="40"/>
  <c r="I28" i="40"/>
  <c r="I29" i="40"/>
  <c r="I30" i="40"/>
  <c r="I31" i="40"/>
  <c r="I23" i="40"/>
  <c r="I14" i="40"/>
  <c r="I15" i="40"/>
  <c r="I16" i="40"/>
  <c r="I17" i="40"/>
  <c r="I18" i="40"/>
  <c r="I13" i="40"/>
  <c r="I47" i="39"/>
  <c r="I48" i="39"/>
  <c r="I46" i="39"/>
  <c r="I24" i="39"/>
  <c r="I25" i="39"/>
  <c r="I26" i="39"/>
  <c r="I27" i="39"/>
  <c r="I28" i="39"/>
  <c r="I29" i="39"/>
  <c r="I30" i="39"/>
  <c r="I31" i="39"/>
  <c r="I23" i="39"/>
  <c r="I14" i="39"/>
  <c r="I15" i="39"/>
  <c r="I16" i="39"/>
  <c r="I17" i="39"/>
  <c r="I18" i="39"/>
  <c r="I13" i="39"/>
  <c r="I39" i="38"/>
  <c r="I40" i="38"/>
  <c r="I38" i="38"/>
  <c r="I12" i="38"/>
  <c r="I11" i="38"/>
  <c r="I50" i="31"/>
  <c r="I51" i="31"/>
  <c r="I49" i="31"/>
  <c r="I15" i="31"/>
  <c r="I16" i="31"/>
  <c r="I17" i="31"/>
  <c r="I18" i="31"/>
  <c r="I19" i="31"/>
  <c r="I14" i="31"/>
  <c r="I50" i="30"/>
  <c r="I51" i="30"/>
  <c r="I49" i="30"/>
  <c r="I15" i="30"/>
  <c r="I16" i="30"/>
  <c r="I17" i="30"/>
  <c r="I18" i="30"/>
  <c r="I19" i="30"/>
  <c r="I14" i="30"/>
  <c r="I38" i="37"/>
  <c r="I39" i="37"/>
  <c r="I37" i="37"/>
  <c r="I38" i="36"/>
  <c r="I39" i="36"/>
  <c r="I37" i="36"/>
  <c r="I12" i="36"/>
  <c r="I11" i="36"/>
  <c r="I38" i="35"/>
  <c r="I39" i="35"/>
  <c r="I37" i="35"/>
  <c r="I12" i="35"/>
  <c r="I11" i="35"/>
  <c r="I39" i="34"/>
  <c r="I40" i="34"/>
  <c r="I38" i="34"/>
  <c r="I12" i="34"/>
  <c r="I11" i="34"/>
  <c r="I40" i="33"/>
  <c r="I41" i="33"/>
  <c r="I39" i="33"/>
  <c r="I12" i="33"/>
  <c r="I11" i="33"/>
  <c r="I41" i="49"/>
  <c r="I42" i="49"/>
  <c r="I40" i="49"/>
  <c r="I13" i="49"/>
  <c r="I14" i="49"/>
  <c r="I15" i="49"/>
  <c r="I16" i="49"/>
  <c r="I17" i="49"/>
  <c r="I12" i="49"/>
  <c r="I41" i="21"/>
  <c r="I42" i="21"/>
  <c r="I40" i="21"/>
  <c r="I13" i="21"/>
  <c r="I14" i="21"/>
  <c r="I15" i="21"/>
  <c r="I16" i="21"/>
  <c r="I17" i="21"/>
  <c r="I12" i="21"/>
  <c r="I41" i="53"/>
  <c r="I42" i="53"/>
  <c r="I40" i="53"/>
  <c r="I13" i="53"/>
  <c r="I14" i="53"/>
  <c r="I15" i="53"/>
  <c r="I16" i="53"/>
  <c r="I17" i="53"/>
  <c r="I12" i="53"/>
  <c r="I42" i="26"/>
  <c r="I43" i="26"/>
  <c r="I41" i="26"/>
  <c r="I14" i="26"/>
  <c r="I15" i="26"/>
  <c r="I16" i="26"/>
  <c r="I17" i="26"/>
  <c r="I18" i="26"/>
  <c r="I13" i="26"/>
  <c r="I43" i="25"/>
  <c r="I44" i="25"/>
  <c r="I42" i="25"/>
  <c r="I15" i="25"/>
  <c r="I16" i="25"/>
  <c r="I17" i="25"/>
  <c r="I18" i="25"/>
  <c r="I19" i="25"/>
  <c r="I14" i="25"/>
  <c r="I52" i="23"/>
  <c r="I53" i="23"/>
  <c r="I51" i="23"/>
  <c r="I18" i="23"/>
  <c r="I19" i="23"/>
  <c r="I20" i="23"/>
  <c r="I21" i="23"/>
  <c r="I17" i="23"/>
  <c r="I51" i="50"/>
  <c r="I52" i="50"/>
  <c r="I50" i="50"/>
  <c r="I17" i="50"/>
  <c r="I18" i="50"/>
  <c r="I19" i="50"/>
  <c r="I20" i="50"/>
  <c r="I16" i="50"/>
  <c r="I50" i="48"/>
  <c r="I51" i="48"/>
  <c r="I49" i="48"/>
  <c r="I16" i="48"/>
  <c r="I17" i="48"/>
  <c r="I18" i="48"/>
  <c r="I19" i="48"/>
  <c r="I15" i="48"/>
  <c r="I52" i="20"/>
  <c r="I53" i="20"/>
  <c r="I51" i="20"/>
  <c r="I16" i="20"/>
  <c r="I17" i="20"/>
  <c r="I18" i="20"/>
  <c r="I19" i="20"/>
  <c r="I20" i="20"/>
  <c r="I15" i="20"/>
  <c r="I52" i="19"/>
  <c r="I53" i="19"/>
  <c r="I51" i="19"/>
  <c r="I16" i="19"/>
  <c r="I17" i="19"/>
  <c r="I18" i="19"/>
  <c r="I19" i="19"/>
  <c r="I20" i="19"/>
  <c r="I15" i="19"/>
  <c r="I21" i="18"/>
  <c r="I22" i="18"/>
  <c r="I23" i="18"/>
  <c r="I24" i="18"/>
  <c r="I25" i="18"/>
  <c r="I20" i="18"/>
  <c r="I55" i="17"/>
  <c r="I56" i="17"/>
  <c r="I54" i="17"/>
  <c r="I52" i="14"/>
  <c r="I53" i="14"/>
  <c r="I51" i="14"/>
  <c r="I60" i="13"/>
  <c r="I61" i="13"/>
  <c r="I59" i="13"/>
  <c r="I49" i="16"/>
  <c r="I50" i="16"/>
  <c r="I48" i="16"/>
  <c r="I64" i="55"/>
  <c r="I65" i="55"/>
  <c r="I63" i="55"/>
  <c r="I60" i="12"/>
  <c r="I61" i="12"/>
  <c r="I59" i="12"/>
  <c r="I72" i="10"/>
  <c r="I73" i="10"/>
  <c r="I71" i="10"/>
  <c r="I19" i="17"/>
  <c r="I20" i="17"/>
  <c r="I21" i="17"/>
  <c r="I22" i="17"/>
  <c r="I23" i="17"/>
  <c r="I18" i="17"/>
  <c r="I17" i="14"/>
  <c r="I18" i="14"/>
  <c r="I19" i="14"/>
  <c r="I20" i="14"/>
  <c r="I21" i="14"/>
  <c r="I16" i="14"/>
  <c r="I25" i="13"/>
  <c r="I26" i="13"/>
  <c r="I27" i="13"/>
  <c r="I28" i="13"/>
  <c r="I29" i="13"/>
  <c r="I24" i="13"/>
  <c r="I14" i="16"/>
  <c r="I15" i="16"/>
  <c r="I16" i="16"/>
  <c r="I17" i="16"/>
  <c r="I13" i="16"/>
  <c r="I27" i="55"/>
  <c r="I28" i="55"/>
  <c r="I29" i="55"/>
  <c r="I30" i="55"/>
  <c r="I31" i="55"/>
  <c r="I26" i="55"/>
  <c r="I25" i="12"/>
  <c r="I26" i="12"/>
  <c r="I27" i="12"/>
  <c r="I28" i="12"/>
  <c r="I29" i="12"/>
  <c r="I24" i="12"/>
  <c r="I35" i="10"/>
  <c r="I36" i="10"/>
  <c r="I37" i="10"/>
  <c r="I38" i="10"/>
  <c r="I39" i="10"/>
  <c r="I34" i="10"/>
  <c r="F12" i="8"/>
  <c r="G12" i="8" s="1"/>
  <c r="J12" i="8"/>
  <c r="K12" i="8" l="1"/>
  <c r="C16" i="8"/>
  <c r="F16" i="8"/>
  <c r="F9" i="8"/>
  <c r="F17" i="13"/>
  <c r="G17" i="13" s="1"/>
  <c r="J17" i="13"/>
  <c r="F18" i="13"/>
  <c r="G18" i="13" s="1"/>
  <c r="J18" i="13"/>
  <c r="G13" i="13"/>
  <c r="F16" i="13"/>
  <c r="J16" i="13"/>
  <c r="J8" i="13"/>
  <c r="F8" i="13"/>
  <c r="G8" i="13" s="1"/>
  <c r="F6" i="37"/>
  <c r="D8" i="30"/>
  <c r="D7" i="30"/>
  <c r="C7" i="30"/>
  <c r="D8" i="31"/>
  <c r="F6" i="38"/>
  <c r="F6" i="39"/>
  <c r="F6" i="40"/>
  <c r="G18" i="37" l="1"/>
  <c r="G17" i="37"/>
  <c r="G19" i="37"/>
  <c r="K17" i="13"/>
  <c r="K18" i="13"/>
  <c r="K8" i="13"/>
  <c r="C6" i="42"/>
  <c r="F6" i="42" s="1"/>
  <c r="G6" i="42" s="1"/>
  <c r="J6" i="42"/>
  <c r="K6" i="42" l="1"/>
  <c r="F6" i="57"/>
  <c r="F11" i="9" l="1"/>
  <c r="J11" i="9"/>
  <c r="F17" i="9"/>
  <c r="G17" i="9" s="1"/>
  <c r="J17" i="9"/>
  <c r="K17" i="9" l="1"/>
  <c r="J19" i="9"/>
  <c r="F19" i="9"/>
  <c r="G19" i="9" s="1"/>
  <c r="D23" i="9"/>
  <c r="F23" i="9" s="1"/>
  <c r="D24" i="9"/>
  <c r="F24" i="9" s="1"/>
  <c r="J23" i="9"/>
  <c r="J21" i="9"/>
  <c r="F21" i="9"/>
  <c r="G21" i="9" s="1"/>
  <c r="F13" i="9"/>
  <c r="K19" i="9" l="1"/>
  <c r="G23" i="9"/>
  <c r="K23" i="9"/>
  <c r="K21" i="9"/>
  <c r="F7" i="28"/>
  <c r="A3" i="1"/>
  <c r="B3" i="3"/>
  <c r="L27" i="4"/>
  <c r="L26" i="4"/>
  <c r="L25" i="4"/>
  <c r="L24" i="4"/>
  <c r="L23" i="4"/>
  <c r="L22" i="4"/>
  <c r="U12" i="4"/>
  <c r="U9" i="4"/>
  <c r="U8" i="4"/>
  <c r="U13" i="4"/>
  <c r="B6" i="1" l="1"/>
  <c r="B7" i="1"/>
  <c r="B8" i="1"/>
  <c r="B9" i="1"/>
  <c r="B5" i="1"/>
  <c r="B10" i="1"/>
  <c r="B11" i="1"/>
  <c r="C11" i="1"/>
  <c r="G45" i="3"/>
  <c r="G44" i="3"/>
  <c r="G903" i="2" l="1"/>
  <c r="I403" i="3" l="1"/>
  <c r="I411" i="3"/>
  <c r="I415" i="3"/>
  <c r="I419" i="3"/>
  <c r="I402" i="3"/>
  <c r="I404" i="3"/>
  <c r="I405" i="3"/>
  <c r="I406" i="3"/>
  <c r="I408" i="3"/>
  <c r="I409" i="3"/>
  <c r="I410" i="3"/>
  <c r="I412" i="3"/>
  <c r="I413" i="3"/>
  <c r="I414" i="3"/>
  <c r="I416" i="3"/>
  <c r="I417" i="3"/>
  <c r="I418" i="3"/>
  <c r="I420" i="3"/>
  <c r="I421" i="3"/>
  <c r="I422" i="3"/>
  <c r="I425" i="3"/>
  <c r="I426" i="3"/>
  <c r="I427" i="3"/>
  <c r="I429" i="3"/>
  <c r="I430" i="3"/>
  <c r="I407" i="3"/>
  <c r="G176" i="3"/>
  <c r="G175" i="3"/>
  <c r="G38" i="3"/>
  <c r="G37" i="3"/>
  <c r="I424" i="3" l="1"/>
  <c r="I428" i="3"/>
  <c r="I401" i="3"/>
  <c r="J21" i="57"/>
  <c r="J20" i="57"/>
  <c r="J19" i="57"/>
  <c r="J18" i="57"/>
  <c r="J17" i="57"/>
  <c r="J16" i="57"/>
  <c r="J7" i="57"/>
  <c r="K7" i="57" s="1"/>
  <c r="J6" i="57"/>
  <c r="G6" i="57"/>
  <c r="G27" i="57" s="1"/>
  <c r="J53" i="57"/>
  <c r="J52" i="57"/>
  <c r="J51" i="57"/>
  <c r="J46" i="57"/>
  <c r="J41" i="57"/>
  <c r="K41" i="57" s="1"/>
  <c r="K42" i="57" s="1"/>
  <c r="G911" i="2" s="1"/>
  <c r="H911" i="2" s="1"/>
  <c r="J36" i="57"/>
  <c r="J35" i="57"/>
  <c r="J34" i="57"/>
  <c r="J33" i="57"/>
  <c r="J32" i="57"/>
  <c r="J31" i="57"/>
  <c r="J30" i="57"/>
  <c r="J29" i="57"/>
  <c r="J28" i="57"/>
  <c r="J27" i="57"/>
  <c r="J26" i="57"/>
  <c r="G30" i="57" l="1"/>
  <c r="G29" i="57"/>
  <c r="I423" i="3"/>
  <c r="K46" i="57"/>
  <c r="K47" i="57" s="1"/>
  <c r="G912" i="2" s="1"/>
  <c r="H912" i="2" s="1"/>
  <c r="K51" i="57"/>
  <c r="K6" i="57"/>
  <c r="K20" i="57"/>
  <c r="K17" i="57"/>
  <c r="K19" i="57"/>
  <c r="K16" i="57"/>
  <c r="K53" i="57"/>
  <c r="K18" i="57"/>
  <c r="K52" i="57"/>
  <c r="K21" i="57"/>
  <c r="K12" i="57" l="1"/>
  <c r="G908" i="2" s="1"/>
  <c r="H908" i="2" s="1"/>
  <c r="G28" i="57"/>
  <c r="K22" i="57"/>
  <c r="G909" i="2" s="1"/>
  <c r="H909" i="2" s="1"/>
  <c r="K54" i="57"/>
  <c r="G913" i="2" s="1"/>
  <c r="H913" i="2" s="1"/>
  <c r="I28" i="57" l="1"/>
  <c r="K28" i="57" s="1"/>
  <c r="I32" i="57"/>
  <c r="K32" i="57" s="1"/>
  <c r="I34" i="57"/>
  <c r="K34" i="57" s="1"/>
  <c r="I26" i="57"/>
  <c r="K26" i="57" s="1"/>
  <c r="I35" i="57"/>
  <c r="K35" i="57" s="1"/>
  <c r="I33" i="57"/>
  <c r="K33" i="57" s="1"/>
  <c r="I36" i="57"/>
  <c r="K36" i="57" s="1"/>
  <c r="I27" i="57"/>
  <c r="K27" i="57" s="1"/>
  <c r="I31" i="57"/>
  <c r="K31" i="57" s="1"/>
  <c r="I30" i="57"/>
  <c r="K30" i="57" s="1"/>
  <c r="I29" i="57"/>
  <c r="K29" i="57" s="1"/>
  <c r="K37" i="57" l="1"/>
  <c r="G910" i="2" s="1"/>
  <c r="H910" i="2" s="1"/>
  <c r="H914" i="2" s="1"/>
  <c r="J22" i="7" l="1"/>
  <c r="G22" i="7"/>
  <c r="J28" i="10"/>
  <c r="K22" i="7" l="1"/>
  <c r="J32" i="55" l="1"/>
  <c r="K32" i="55" s="1"/>
  <c r="J40" i="10"/>
  <c r="K40" i="10" s="1"/>
  <c r="G350" i="2"/>
  <c r="G6" i="35" l="1"/>
  <c r="F7" i="25"/>
  <c r="F7" i="50"/>
  <c r="F8" i="50"/>
  <c r="F6" i="50"/>
  <c r="C12" i="17"/>
  <c r="F10" i="17"/>
  <c r="J10" i="17"/>
  <c r="G16" i="13"/>
  <c r="F12" i="13"/>
  <c r="D8" i="8"/>
  <c r="F6" i="31"/>
  <c r="F7" i="30"/>
  <c r="F6" i="30"/>
  <c r="J7" i="30"/>
  <c r="J6" i="49"/>
  <c r="F16" i="10"/>
  <c r="G16" i="10" s="1"/>
  <c r="J16" i="10"/>
  <c r="J9" i="7"/>
  <c r="F9" i="7"/>
  <c r="G9" i="7" s="1"/>
  <c r="J23" i="10"/>
  <c r="F23" i="10"/>
  <c r="G23" i="10" s="1"/>
  <c r="F21" i="10"/>
  <c r="F20" i="10"/>
  <c r="G20" i="10" s="1"/>
  <c r="C19" i="10"/>
  <c r="J18" i="10"/>
  <c r="C18" i="10"/>
  <c r="F18" i="10" s="1"/>
  <c r="G18" i="10" s="1"/>
  <c r="F9" i="12"/>
  <c r="G7" i="30" l="1"/>
  <c r="G25" i="30"/>
  <c r="G30" i="23"/>
  <c r="G28" i="23"/>
  <c r="F9" i="30"/>
  <c r="K16" i="13"/>
  <c r="D25" i="10"/>
  <c r="F25" i="10" s="1"/>
  <c r="K7" i="30"/>
  <c r="K16" i="10"/>
  <c r="K9" i="7"/>
  <c r="K23" i="10"/>
  <c r="K20" i="10"/>
  <c r="K18" i="10"/>
  <c r="G26" i="30" l="1"/>
  <c r="G28" i="30"/>
  <c r="G27" i="30"/>
  <c r="G29" i="23"/>
  <c r="J11" i="55"/>
  <c r="F11" i="55"/>
  <c r="G11" i="55" s="1"/>
  <c r="J10" i="55"/>
  <c r="J11" i="38"/>
  <c r="K11" i="38" s="1"/>
  <c r="J12" i="38"/>
  <c r="K12" i="38" s="1"/>
  <c r="F7" i="9"/>
  <c r="F8" i="9"/>
  <c r="J9" i="9"/>
  <c r="K11" i="55" l="1"/>
  <c r="J9" i="55"/>
  <c r="J11" i="13"/>
  <c r="J10" i="50"/>
  <c r="J10" i="10"/>
  <c r="F9" i="55"/>
  <c r="G9" i="55" s="1"/>
  <c r="F11" i="13"/>
  <c r="F10" i="50"/>
  <c r="F10" i="10"/>
  <c r="G10" i="10" s="1"/>
  <c r="J9" i="10"/>
  <c r="F9" i="10"/>
  <c r="G9" i="10" s="1"/>
  <c r="G10" i="50" l="1"/>
  <c r="K10" i="50" s="1"/>
  <c r="F11" i="50"/>
  <c r="G11" i="50" s="1"/>
  <c r="G25" i="50" s="1"/>
  <c r="G11" i="13"/>
  <c r="K11" i="13" s="1"/>
  <c r="G35" i="13"/>
  <c r="K9" i="10"/>
  <c r="K10" i="10"/>
  <c r="K9" i="55"/>
  <c r="F7" i="42"/>
  <c r="J50" i="16"/>
  <c r="J49" i="16"/>
  <c r="J48" i="16"/>
  <c r="J33" i="16"/>
  <c r="J32" i="16"/>
  <c r="J31" i="16"/>
  <c r="J30" i="16"/>
  <c r="J29" i="16"/>
  <c r="J28" i="16"/>
  <c r="J27" i="16"/>
  <c r="J26" i="16"/>
  <c r="J25" i="16"/>
  <c r="J24" i="16"/>
  <c r="J23" i="16"/>
  <c r="J18" i="16"/>
  <c r="J17" i="16"/>
  <c r="K17" i="16" s="1"/>
  <c r="J16" i="16"/>
  <c r="J15" i="16"/>
  <c r="J14" i="16"/>
  <c r="J13" i="16"/>
  <c r="F7" i="16"/>
  <c r="F8" i="16" s="1"/>
  <c r="F6" i="16"/>
  <c r="G8" i="16" s="1"/>
  <c r="G23" i="16" s="1"/>
  <c r="J8" i="16"/>
  <c r="J7" i="16"/>
  <c r="J6" i="16"/>
  <c r="I313" i="3"/>
  <c r="I312" i="3"/>
  <c r="I311" i="3"/>
  <c r="I310" i="3"/>
  <c r="I309" i="3"/>
  <c r="I308" i="3"/>
  <c r="I26" i="16" l="1"/>
  <c r="I30" i="16"/>
  <c r="I23" i="16"/>
  <c r="I27" i="16"/>
  <c r="I31" i="16"/>
  <c r="I18" i="16"/>
  <c r="I24" i="16"/>
  <c r="I28" i="16"/>
  <c r="I32" i="16"/>
  <c r="K32" i="16" s="1"/>
  <c r="I25" i="16"/>
  <c r="I29" i="16"/>
  <c r="I33" i="16"/>
  <c r="I307" i="3"/>
  <c r="G6" i="16"/>
  <c r="G7" i="16"/>
  <c r="F6" i="49"/>
  <c r="J16" i="49"/>
  <c r="K16" i="49" s="1"/>
  <c r="J7" i="49"/>
  <c r="J7" i="21"/>
  <c r="J15" i="10"/>
  <c r="F15" i="10"/>
  <c r="G15" i="10" s="1"/>
  <c r="K200" i="54"/>
  <c r="K199" i="54"/>
  <c r="K201" i="54"/>
  <c r="F34" i="54"/>
  <c r="F16" i="55"/>
  <c r="F12" i="55"/>
  <c r="J50" i="7"/>
  <c r="J51" i="7"/>
  <c r="J52" i="7"/>
  <c r="J53" i="7"/>
  <c r="J54" i="7"/>
  <c r="J55" i="7"/>
  <c r="J56" i="7"/>
  <c r="J57" i="7"/>
  <c r="J58" i="7"/>
  <c r="J49" i="7"/>
  <c r="J47" i="7"/>
  <c r="J33" i="8"/>
  <c r="K15" i="10" l="1"/>
  <c r="I462" i="3" l="1"/>
  <c r="I461" i="3"/>
  <c r="I455" i="3"/>
  <c r="I456" i="3"/>
  <c r="I457" i="3"/>
  <c r="I458" i="3"/>
  <c r="I459" i="3"/>
  <c r="I454" i="3"/>
  <c r="I436" i="3"/>
  <c r="I437" i="3"/>
  <c r="I438" i="3"/>
  <c r="I441" i="3"/>
  <c r="I442" i="3"/>
  <c r="I443" i="3"/>
  <c r="I444" i="3"/>
  <c r="I447" i="3"/>
  <c r="I448" i="3"/>
  <c r="I449" i="3"/>
  <c r="I435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386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52" i="3"/>
  <c r="I316" i="3"/>
  <c r="I317" i="3"/>
  <c r="I318" i="3"/>
  <c r="I319" i="3"/>
  <c r="I320" i="3"/>
  <c r="I315" i="3"/>
  <c r="I301" i="3"/>
  <c r="I302" i="3"/>
  <c r="I303" i="3"/>
  <c r="I304" i="3"/>
  <c r="I305" i="3"/>
  <c r="I306" i="3"/>
  <c r="I300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76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61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28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13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180" i="3"/>
  <c r="I132" i="3"/>
  <c r="I133" i="3"/>
  <c r="I134" i="3"/>
  <c r="I135" i="3"/>
  <c r="I136" i="3"/>
  <c r="I131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04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50" i="3"/>
  <c r="I51" i="3"/>
  <c r="I49" i="3"/>
  <c r="I450" i="3" l="1"/>
  <c r="G46" i="3"/>
  <c r="F8" i="28"/>
  <c r="G42" i="9"/>
  <c r="J39" i="55"/>
  <c r="F19" i="55"/>
  <c r="G19" i="55" s="1"/>
  <c r="F18" i="55"/>
  <c r="G18" i="55" s="1"/>
  <c r="J19" i="55"/>
  <c r="J18" i="55"/>
  <c r="J12" i="55"/>
  <c r="H44" i="3" l="1"/>
  <c r="I44" i="3" s="1"/>
  <c r="H45" i="3"/>
  <c r="I45" i="3" s="1"/>
  <c r="H46" i="3"/>
  <c r="I46" i="3" s="1"/>
  <c r="K19" i="55"/>
  <c r="K18" i="55"/>
  <c r="I43" i="3" l="1"/>
  <c r="F26" i="7" l="1"/>
  <c r="J48" i="7"/>
  <c r="J32" i="7"/>
  <c r="G32" i="7"/>
  <c r="J31" i="7"/>
  <c r="J24" i="7"/>
  <c r="F24" i="7"/>
  <c r="F23" i="7"/>
  <c r="F19" i="7"/>
  <c r="F17" i="7"/>
  <c r="D13" i="7"/>
  <c r="J12" i="7"/>
  <c r="G24" i="7" l="1"/>
  <c r="F31" i="7"/>
  <c r="G31" i="7" s="1"/>
  <c r="K31" i="7" s="1"/>
  <c r="K32" i="7"/>
  <c r="K24" i="7"/>
  <c r="F26" i="10"/>
  <c r="J26" i="10"/>
  <c r="F19" i="10"/>
  <c r="J14" i="10"/>
  <c r="F14" i="10"/>
  <c r="G14" i="10" s="1"/>
  <c r="J13" i="10"/>
  <c r="F13" i="10"/>
  <c r="G13" i="10" s="1"/>
  <c r="J17" i="10"/>
  <c r="F17" i="10"/>
  <c r="G17" i="10" s="1"/>
  <c r="J7" i="10"/>
  <c r="F7" i="10"/>
  <c r="G7" i="10" s="1"/>
  <c r="J22" i="10"/>
  <c r="F22" i="10"/>
  <c r="G22" i="10" s="1"/>
  <c r="J47" i="10"/>
  <c r="J12" i="10"/>
  <c r="F12" i="10"/>
  <c r="G12" i="10" s="1"/>
  <c r="F11" i="10"/>
  <c r="F8" i="55"/>
  <c r="J12" i="12"/>
  <c r="F12" i="12"/>
  <c r="G12" i="12" s="1"/>
  <c r="J15" i="12"/>
  <c r="F15" i="12"/>
  <c r="G15" i="12" s="1"/>
  <c r="J13" i="12"/>
  <c r="F13" i="12"/>
  <c r="G13" i="12" s="1"/>
  <c r="D16" i="12"/>
  <c r="D17" i="12" s="1"/>
  <c r="F8" i="12"/>
  <c r="J65" i="55"/>
  <c r="K65" i="55" s="1"/>
  <c r="J64" i="55"/>
  <c r="K64" i="55" s="1"/>
  <c r="J63" i="55"/>
  <c r="K63" i="55" s="1"/>
  <c r="J58" i="55"/>
  <c r="K58" i="55" s="1"/>
  <c r="K59" i="55" s="1"/>
  <c r="G125" i="2" s="1"/>
  <c r="J53" i="55"/>
  <c r="K53" i="55" s="1"/>
  <c r="K54" i="55" s="1"/>
  <c r="G124" i="2" s="1"/>
  <c r="J48" i="55"/>
  <c r="J47" i="55"/>
  <c r="J46" i="55"/>
  <c r="J45" i="55"/>
  <c r="J44" i="55"/>
  <c r="J43" i="55"/>
  <c r="J42" i="55"/>
  <c r="J41" i="55"/>
  <c r="J40" i="55"/>
  <c r="J38" i="55"/>
  <c r="J37" i="55"/>
  <c r="J31" i="55"/>
  <c r="K31" i="55" s="1"/>
  <c r="J30" i="55"/>
  <c r="K30" i="55" s="1"/>
  <c r="J29" i="55"/>
  <c r="K29" i="55" s="1"/>
  <c r="J28" i="55"/>
  <c r="K28" i="55" s="1"/>
  <c r="J27" i="55"/>
  <c r="K27" i="55" s="1"/>
  <c r="J26" i="55"/>
  <c r="K26" i="55" s="1"/>
  <c r="J17" i="55"/>
  <c r="J16" i="55"/>
  <c r="J15" i="55"/>
  <c r="F15" i="55"/>
  <c r="G15" i="55" s="1"/>
  <c r="J14" i="55"/>
  <c r="F14" i="55"/>
  <c r="G14" i="55" s="1"/>
  <c r="J13" i="55"/>
  <c r="F13" i="55"/>
  <c r="G13" i="55" s="1"/>
  <c r="F10" i="55"/>
  <c r="G10" i="55" s="1"/>
  <c r="G12" i="55"/>
  <c r="K12" i="55" s="1"/>
  <c r="J8" i="55"/>
  <c r="J7" i="55"/>
  <c r="F7" i="55"/>
  <c r="G7" i="55" s="1"/>
  <c r="J6" i="55"/>
  <c r="F6" i="55"/>
  <c r="G6" i="55" s="1"/>
  <c r="F19" i="12" l="1"/>
  <c r="G19" i="12" s="1"/>
  <c r="F21" i="55"/>
  <c r="G21" i="55" s="1"/>
  <c r="G37" i="55" s="1"/>
  <c r="G26" i="10"/>
  <c r="K33" i="55"/>
  <c r="G122" i="2" s="1"/>
  <c r="F27" i="10"/>
  <c r="K28" i="10" s="1"/>
  <c r="K6" i="55"/>
  <c r="K26" i="10"/>
  <c r="K14" i="10"/>
  <c r="K13" i="10"/>
  <c r="K17" i="10"/>
  <c r="K7" i="10"/>
  <c r="K22" i="10"/>
  <c r="K12" i="10"/>
  <c r="K15" i="55"/>
  <c r="K10" i="55"/>
  <c r="K13" i="55"/>
  <c r="K7" i="55"/>
  <c r="K14" i="55"/>
  <c r="K12" i="12"/>
  <c r="K15" i="12"/>
  <c r="K13" i="12"/>
  <c r="F17" i="55"/>
  <c r="G17" i="55" s="1"/>
  <c r="G16" i="55"/>
  <c r="K16" i="55" s="1"/>
  <c r="K66" i="55"/>
  <c r="G126" i="2" s="1"/>
  <c r="G8" i="55"/>
  <c r="G39" i="55" s="1"/>
  <c r="D15" i="8"/>
  <c r="J15" i="8"/>
  <c r="F14" i="8"/>
  <c r="G14" i="8" s="1"/>
  <c r="G9" i="8"/>
  <c r="F10" i="8"/>
  <c r="F7" i="8"/>
  <c r="F8" i="8"/>
  <c r="G8" i="8" s="1"/>
  <c r="G33" i="8" s="1"/>
  <c r="F6" i="8"/>
  <c r="G6" i="8" s="1"/>
  <c r="F15" i="13"/>
  <c r="F10" i="13"/>
  <c r="G10" i="13" s="1"/>
  <c r="J10" i="13"/>
  <c r="C10" i="48"/>
  <c r="G10" i="48" s="1"/>
  <c r="J10" i="48"/>
  <c r="F8" i="48"/>
  <c r="F10" i="19"/>
  <c r="F9" i="19"/>
  <c r="G9" i="19" s="1"/>
  <c r="J9" i="19"/>
  <c r="F12" i="17"/>
  <c r="G12" i="17" s="1"/>
  <c r="J12" i="17"/>
  <c r="F7" i="17"/>
  <c r="K17" i="55" l="1"/>
  <c r="G40" i="55"/>
  <c r="G41" i="55" s="1"/>
  <c r="G34" i="8"/>
  <c r="G7" i="8"/>
  <c r="F17" i="8"/>
  <c r="K21" i="55"/>
  <c r="G38" i="55"/>
  <c r="G42" i="55" s="1"/>
  <c r="F15" i="8"/>
  <c r="G15" i="8" s="1"/>
  <c r="K15" i="8" s="1"/>
  <c r="K10" i="48"/>
  <c r="F7" i="48"/>
  <c r="G25" i="48" s="1"/>
  <c r="F9" i="48"/>
  <c r="K12" i="17"/>
  <c r="K8" i="55"/>
  <c r="K10" i="13"/>
  <c r="K10" i="20"/>
  <c r="K9" i="19"/>
  <c r="G26" i="48" l="1"/>
  <c r="G27" i="48" s="1"/>
  <c r="G28" i="48"/>
  <c r="I39" i="55"/>
  <c r="K39" i="55" s="1"/>
  <c r="I40" i="55"/>
  <c r="K40" i="55" s="1"/>
  <c r="I48" i="55"/>
  <c r="K48" i="55" s="1"/>
  <c r="I37" i="55"/>
  <c r="K37" i="55" s="1"/>
  <c r="I45" i="55"/>
  <c r="K45" i="55" s="1"/>
  <c r="I38" i="55"/>
  <c r="K38" i="55" s="1"/>
  <c r="I46" i="55"/>
  <c r="K46" i="55" s="1"/>
  <c r="I47" i="55"/>
  <c r="K47" i="55" s="1"/>
  <c r="I41" i="55"/>
  <c r="K41" i="55" s="1"/>
  <c r="I42" i="55"/>
  <c r="K42" i="55" s="1"/>
  <c r="I43" i="55"/>
  <c r="K43" i="55" s="1"/>
  <c r="I44" i="55"/>
  <c r="K44" i="55" s="1"/>
  <c r="K22" i="55"/>
  <c r="G121" i="2" s="1"/>
  <c r="K49" i="55" l="1"/>
  <c r="G123" i="2" s="1"/>
  <c r="D7" i="53"/>
  <c r="C7" i="53"/>
  <c r="F6" i="53"/>
  <c r="D7" i="40"/>
  <c r="C7" i="40"/>
  <c r="D7" i="39"/>
  <c r="C7" i="39"/>
  <c r="D7" i="31"/>
  <c r="C7" i="31"/>
  <c r="F6" i="34"/>
  <c r="F6" i="33"/>
  <c r="D269" i="54"/>
  <c r="C269" i="54"/>
  <c r="B269" i="54"/>
  <c r="D264" i="54"/>
  <c r="C264" i="54"/>
  <c r="B264" i="54"/>
  <c r="C263" i="54"/>
  <c r="B263" i="54"/>
  <c r="K273" i="54"/>
  <c r="K272" i="54"/>
  <c r="K271" i="54"/>
  <c r="K270" i="54"/>
  <c r="K268" i="54"/>
  <c r="K267" i="54"/>
  <c r="K266" i="54"/>
  <c r="K265" i="54"/>
  <c r="D207" i="54"/>
  <c r="C207" i="54"/>
  <c r="B207" i="54"/>
  <c r="C206" i="54"/>
  <c r="B206" i="54"/>
  <c r="K210" i="54"/>
  <c r="K209" i="54"/>
  <c r="K208" i="54"/>
  <c r="D146" i="54"/>
  <c r="C146" i="54"/>
  <c r="B146" i="54"/>
  <c r="D141" i="54"/>
  <c r="C141" i="54"/>
  <c r="B141" i="54"/>
  <c r="C140" i="54"/>
  <c r="B140" i="54"/>
  <c r="K150" i="54"/>
  <c r="K149" i="54"/>
  <c r="K148" i="54"/>
  <c r="K147" i="54"/>
  <c r="K145" i="54"/>
  <c r="K144" i="54"/>
  <c r="K143" i="54"/>
  <c r="K142" i="54"/>
  <c r="D260" i="54"/>
  <c r="C260" i="54"/>
  <c r="B260" i="54"/>
  <c r="D256" i="54"/>
  <c r="C256" i="54"/>
  <c r="B256" i="54"/>
  <c r="C255" i="54"/>
  <c r="B255" i="54"/>
  <c r="D252" i="54"/>
  <c r="C252" i="54"/>
  <c r="B252" i="54"/>
  <c r="D248" i="54"/>
  <c r="C248" i="54"/>
  <c r="B248" i="54"/>
  <c r="C247" i="54"/>
  <c r="B247" i="54"/>
  <c r="D244" i="54"/>
  <c r="C244" i="54"/>
  <c r="B244" i="54"/>
  <c r="D241" i="54"/>
  <c r="C241" i="54"/>
  <c r="B241" i="54"/>
  <c r="C240" i="54"/>
  <c r="B240" i="54"/>
  <c r="D236" i="54"/>
  <c r="C236" i="54"/>
  <c r="B236" i="54"/>
  <c r="D230" i="54"/>
  <c r="C230" i="54"/>
  <c r="B230" i="54"/>
  <c r="D224" i="54"/>
  <c r="C224" i="54"/>
  <c r="B224" i="54"/>
  <c r="C223" i="54"/>
  <c r="B223" i="54"/>
  <c r="D218" i="54"/>
  <c r="C218" i="54"/>
  <c r="B218" i="54"/>
  <c r="D213" i="54"/>
  <c r="C213" i="54"/>
  <c r="B213" i="54"/>
  <c r="C212" i="54"/>
  <c r="B212" i="54"/>
  <c r="C211" i="54"/>
  <c r="B211" i="54"/>
  <c r="K262" i="54"/>
  <c r="K261" i="54"/>
  <c r="K260" i="54" s="1"/>
  <c r="K259" i="54"/>
  <c r="K258" i="54"/>
  <c r="K257" i="54"/>
  <c r="K254" i="54"/>
  <c r="K252" i="54" s="1"/>
  <c r="K253" i="54"/>
  <c r="K251" i="54"/>
  <c r="K250" i="54"/>
  <c r="K249" i="54"/>
  <c r="K248" i="54" s="1"/>
  <c r="K246" i="54"/>
  <c r="K245" i="54"/>
  <c r="K243" i="54"/>
  <c r="K242" i="54"/>
  <c r="K239" i="54"/>
  <c r="K238" i="54"/>
  <c r="K237" i="54"/>
  <c r="K235" i="54"/>
  <c r="K234" i="54"/>
  <c r="K233" i="54"/>
  <c r="K232" i="54"/>
  <c r="K231" i="54"/>
  <c r="K229" i="54"/>
  <c r="K228" i="54"/>
  <c r="K227" i="54"/>
  <c r="K226" i="54"/>
  <c r="K225" i="54"/>
  <c r="K222" i="54"/>
  <c r="K221" i="54"/>
  <c r="K220" i="54"/>
  <c r="K219" i="54"/>
  <c r="K217" i="54"/>
  <c r="K216" i="54"/>
  <c r="K215" i="54"/>
  <c r="K214" i="54"/>
  <c r="D192" i="54"/>
  <c r="C192" i="54"/>
  <c r="B192" i="54"/>
  <c r="D188" i="54"/>
  <c r="C188" i="54"/>
  <c r="B188" i="54"/>
  <c r="C187" i="54"/>
  <c r="B187" i="54"/>
  <c r="K194" i="54"/>
  <c r="K193" i="54"/>
  <c r="K191" i="54"/>
  <c r="K190" i="54"/>
  <c r="K189" i="54"/>
  <c r="D103" i="54"/>
  <c r="C103" i="54"/>
  <c r="B103" i="54"/>
  <c r="D87" i="54"/>
  <c r="C87" i="54"/>
  <c r="B87" i="54"/>
  <c r="C86" i="54"/>
  <c r="B86" i="54"/>
  <c r="K112" i="54"/>
  <c r="K111" i="54"/>
  <c r="K110" i="54"/>
  <c r="K109" i="54"/>
  <c r="K108" i="54"/>
  <c r="K107" i="54"/>
  <c r="K106" i="54"/>
  <c r="K105" i="54"/>
  <c r="K104" i="54"/>
  <c r="K102" i="54"/>
  <c r="K101" i="54"/>
  <c r="K100" i="54"/>
  <c r="K99" i="54"/>
  <c r="K98" i="54"/>
  <c r="K97" i="54"/>
  <c r="K96" i="54"/>
  <c r="K95" i="54"/>
  <c r="K94" i="54"/>
  <c r="K93" i="54"/>
  <c r="K92" i="54"/>
  <c r="K91" i="54"/>
  <c r="K90" i="54"/>
  <c r="K89" i="54"/>
  <c r="K88" i="54"/>
  <c r="D164" i="54"/>
  <c r="C164" i="54"/>
  <c r="B164" i="54"/>
  <c r="K169" i="54"/>
  <c r="K168" i="54"/>
  <c r="F167" i="54"/>
  <c r="K167" i="54" s="1"/>
  <c r="F166" i="54"/>
  <c r="K166" i="54" s="1"/>
  <c r="F165" i="54"/>
  <c r="K165" i="54" s="1"/>
  <c r="D158" i="54"/>
  <c r="C158" i="54"/>
  <c r="B158" i="54"/>
  <c r="D153" i="54"/>
  <c r="C153" i="54"/>
  <c r="B153" i="54"/>
  <c r="C152" i="54"/>
  <c r="B152" i="54"/>
  <c r="K162" i="54"/>
  <c r="K161" i="54"/>
  <c r="K157" i="54"/>
  <c r="K156" i="54"/>
  <c r="K155" i="54"/>
  <c r="K154" i="54"/>
  <c r="D203" i="54"/>
  <c r="C203" i="54"/>
  <c r="B203" i="54"/>
  <c r="D196" i="54"/>
  <c r="C196" i="54"/>
  <c r="B196" i="54"/>
  <c r="C195" i="54"/>
  <c r="B195" i="54"/>
  <c r="D184" i="54"/>
  <c r="C184" i="54"/>
  <c r="B184" i="54"/>
  <c r="D181" i="54"/>
  <c r="C181" i="54"/>
  <c r="B181" i="54"/>
  <c r="C180" i="54"/>
  <c r="B180" i="54"/>
  <c r="D176" i="54"/>
  <c r="C176" i="54"/>
  <c r="B176" i="54"/>
  <c r="D170" i="54"/>
  <c r="C170" i="54"/>
  <c r="B170" i="54"/>
  <c r="C163" i="54"/>
  <c r="B163" i="54"/>
  <c r="B151" i="54"/>
  <c r="C151" i="54"/>
  <c r="C8" i="54"/>
  <c r="B8" i="54"/>
  <c r="K122" i="54"/>
  <c r="K135" i="54"/>
  <c r="K134" i="54"/>
  <c r="K133" i="54"/>
  <c r="K132" i="54"/>
  <c r="K137" i="54"/>
  <c r="K136" i="54"/>
  <c r="K138" i="54"/>
  <c r="K121" i="54"/>
  <c r="K120" i="54"/>
  <c r="K119" i="54"/>
  <c r="K118" i="54"/>
  <c r="K117" i="54"/>
  <c r="K116" i="54"/>
  <c r="K115" i="54"/>
  <c r="K198" i="54"/>
  <c r="K125" i="54"/>
  <c r="K124" i="54"/>
  <c r="K123" i="54"/>
  <c r="K127" i="54"/>
  <c r="K126" i="54"/>
  <c r="K128" i="54"/>
  <c r="D130" i="54"/>
  <c r="C130" i="54"/>
  <c r="B130" i="54"/>
  <c r="D114" i="54"/>
  <c r="C114" i="54"/>
  <c r="B114" i="54"/>
  <c r="C113" i="54"/>
  <c r="B113" i="54"/>
  <c r="K85" i="54"/>
  <c r="K84" i="54"/>
  <c r="K83" i="54"/>
  <c r="K80" i="54"/>
  <c r="K79" i="54"/>
  <c r="K78" i="54"/>
  <c r="K77" i="54"/>
  <c r="K76" i="54"/>
  <c r="K75" i="54"/>
  <c r="K82" i="54"/>
  <c r="K81" i="54"/>
  <c r="K74" i="54"/>
  <c r="K73" i="54"/>
  <c r="F41" i="54"/>
  <c r="K173" i="54"/>
  <c r="D71" i="54"/>
  <c r="C71" i="54"/>
  <c r="B71" i="54"/>
  <c r="D65" i="54"/>
  <c r="C65" i="54"/>
  <c r="B65" i="54"/>
  <c r="C64" i="54"/>
  <c r="B64" i="54"/>
  <c r="F7" i="39" l="1"/>
  <c r="G7" i="39" s="1"/>
  <c r="G18" i="34"/>
  <c r="G17" i="34"/>
  <c r="F7" i="53"/>
  <c r="K264" i="54"/>
  <c r="K269" i="54"/>
  <c r="G18" i="33"/>
  <c r="G6" i="33"/>
  <c r="F7" i="40"/>
  <c r="G7" i="40" s="1"/>
  <c r="K241" i="54"/>
  <c r="K192" i="54"/>
  <c r="K236" i="54"/>
  <c r="K213" i="54"/>
  <c r="K141" i="54"/>
  <c r="K207" i="54"/>
  <c r="K218" i="54"/>
  <c r="K244" i="54"/>
  <c r="K146" i="54"/>
  <c r="K256" i="54"/>
  <c r="K224" i="54"/>
  <c r="K230" i="54"/>
  <c r="K103" i="54"/>
  <c r="K188" i="54"/>
  <c r="K87" i="54"/>
  <c r="K164" i="54"/>
  <c r="D60" i="54"/>
  <c r="C60" i="54"/>
  <c r="B60" i="54"/>
  <c r="D56" i="54"/>
  <c r="C56" i="54"/>
  <c r="B56" i="54"/>
  <c r="C55" i="54"/>
  <c r="B55" i="54"/>
  <c r="K63" i="54"/>
  <c r="K62" i="54"/>
  <c r="K61" i="54"/>
  <c r="K59" i="54"/>
  <c r="K58" i="54"/>
  <c r="K57" i="54"/>
  <c r="C26" i="54"/>
  <c r="B26" i="54"/>
  <c r="C9" i="54"/>
  <c r="B9" i="54"/>
  <c r="G19" i="33" l="1"/>
  <c r="G17" i="33"/>
  <c r="G19" i="34"/>
  <c r="I19" i="34" s="1"/>
  <c r="K56" i="54"/>
  <c r="K60" i="54"/>
  <c r="F45" i="54"/>
  <c r="K45" i="54" s="1"/>
  <c r="F51" i="54"/>
  <c r="K51" i="54" s="1"/>
  <c r="F43" i="54"/>
  <c r="K43" i="54" s="1"/>
  <c r="F32" i="54"/>
  <c r="K32" i="54" s="1"/>
  <c r="F44" i="54"/>
  <c r="K44" i="54" s="1"/>
  <c r="F31" i="54"/>
  <c r="K31" i="54" s="1"/>
  <c r="K49" i="54"/>
  <c r="K48" i="54"/>
  <c r="K47" i="54"/>
  <c r="K46" i="54"/>
  <c r="F30" i="54"/>
  <c r="K30" i="54" s="1"/>
  <c r="K41" i="54"/>
  <c r="F29" i="54"/>
  <c r="K29" i="54" s="1"/>
  <c r="K36" i="54"/>
  <c r="K35" i="54"/>
  <c r="K34" i="54"/>
  <c r="K33" i="54"/>
  <c r="K38" i="54"/>
  <c r="K37" i="54"/>
  <c r="F28" i="54"/>
  <c r="K28" i="54" s="1"/>
  <c r="D50" i="54"/>
  <c r="C50" i="54"/>
  <c r="B50" i="54"/>
  <c r="D39" i="54"/>
  <c r="C39" i="54"/>
  <c r="B39" i="54"/>
  <c r="K54" i="54"/>
  <c r="K53" i="54"/>
  <c r="K52" i="54"/>
  <c r="K42" i="54"/>
  <c r="K40" i="54"/>
  <c r="K172" i="54"/>
  <c r="K171" i="54"/>
  <c r="D27" i="54"/>
  <c r="C27" i="54"/>
  <c r="B27" i="54"/>
  <c r="K25" i="54"/>
  <c r="K24" i="54"/>
  <c r="K23" i="54"/>
  <c r="K22" i="54"/>
  <c r="K21" i="54"/>
  <c r="K17" i="54"/>
  <c r="K16" i="54"/>
  <c r="K15" i="54"/>
  <c r="K14" i="54"/>
  <c r="K13" i="54"/>
  <c r="K12" i="54"/>
  <c r="K11" i="54"/>
  <c r="K160" i="54"/>
  <c r="K20" i="54"/>
  <c r="K19" i="54"/>
  <c r="K18" i="54"/>
  <c r="D10" i="54"/>
  <c r="C10" i="54"/>
  <c r="B10" i="54"/>
  <c r="K205" i="54"/>
  <c r="K204" i="54"/>
  <c r="K202" i="54"/>
  <c r="K186" i="54"/>
  <c r="K183" i="54"/>
  <c r="K179" i="54"/>
  <c r="K178" i="54"/>
  <c r="K177" i="54"/>
  <c r="K175" i="54"/>
  <c r="K174" i="54"/>
  <c r="K139" i="54"/>
  <c r="K131" i="54"/>
  <c r="K129" i="54"/>
  <c r="K197" i="54"/>
  <c r="K196" i="54" s="1"/>
  <c r="K72" i="54"/>
  <c r="K66" i="54"/>
  <c r="K70" i="54"/>
  <c r="K69" i="54"/>
  <c r="K68" i="54"/>
  <c r="K159" i="54"/>
  <c r="G4" i="54"/>
  <c r="B4" i="54"/>
  <c r="G3" i="54"/>
  <c r="B3" i="54"/>
  <c r="I22" i="34" l="1"/>
  <c r="I17" i="34"/>
  <c r="I21" i="34"/>
  <c r="I20" i="34"/>
  <c r="I18" i="34"/>
  <c r="I23" i="34"/>
  <c r="K153" i="54"/>
  <c r="K158" i="54"/>
  <c r="K114" i="54"/>
  <c r="K50" i="54"/>
  <c r="K39" i="54"/>
  <c r="K27" i="54"/>
  <c r="K10" i="54"/>
  <c r="K203" i="54"/>
  <c r="K130" i="54"/>
  <c r="K170" i="54"/>
  <c r="K67" i="54"/>
  <c r="K65" i="54" s="1"/>
  <c r="K71" i="54"/>
  <c r="K176" i="54"/>
  <c r="K182" i="54" l="1"/>
  <c r="K181" i="54" s="1"/>
  <c r="K185" i="54" s="1"/>
  <c r="K184" i="54" s="1"/>
  <c r="J17" i="38" l="1"/>
  <c r="J16" i="12"/>
  <c r="G36" i="3" l="1"/>
  <c r="G343" i="3"/>
  <c r="G342" i="3"/>
  <c r="H343" i="3" l="1"/>
  <c r="I343" i="3" s="1"/>
  <c r="H342" i="3"/>
  <c r="I342" i="3" s="1"/>
  <c r="H36" i="3"/>
  <c r="I36" i="3" s="1"/>
  <c r="G206" i="2"/>
  <c r="G50" i="2"/>
  <c r="C20" i="5"/>
  <c r="G284" i="2" s="1"/>
  <c r="G12" i="2"/>
  <c r="G38" i="2"/>
  <c r="G90" i="2"/>
  <c r="G168" i="2"/>
  <c r="G116" i="2"/>
  <c r="G194" i="2"/>
  <c r="G220" i="2"/>
  <c r="G142" i="2"/>
  <c r="G246" i="2"/>
  <c r="G272" i="2"/>
  <c r="G298" i="2"/>
  <c r="G324" i="2"/>
  <c r="G507" i="2"/>
  <c r="G533" i="2"/>
  <c r="G376" i="2"/>
  <c r="G402" i="2"/>
  <c r="G429" i="2"/>
  <c r="G455" i="2"/>
  <c r="G560" i="2"/>
  <c r="G586" i="2"/>
  <c r="G612" i="2"/>
  <c r="G639" i="2"/>
  <c r="G666" i="2"/>
  <c r="G693" i="2"/>
  <c r="G719" i="2"/>
  <c r="G745" i="2"/>
  <c r="G877" i="2"/>
  <c r="G851" i="2"/>
  <c r="G481" i="2"/>
  <c r="G825" i="2"/>
  <c r="G798" i="2"/>
  <c r="G772" i="2"/>
  <c r="Q26" i="4"/>
  <c r="N26" i="4" s="1"/>
  <c r="Q22" i="4"/>
  <c r="N22" i="4" s="1"/>
  <c r="Q23" i="4"/>
  <c r="N23" i="4" s="1"/>
  <c r="Q24" i="4"/>
  <c r="N24" i="4" s="1"/>
  <c r="Q25" i="4"/>
  <c r="N25" i="4" s="1"/>
  <c r="Q27" i="4"/>
  <c r="N27" i="4" s="1"/>
  <c r="Q21" i="4"/>
  <c r="N21" i="4" s="1"/>
  <c r="G35" i="3"/>
  <c r="G493" i="2" l="1"/>
  <c r="G636" i="2"/>
  <c r="G921" i="2"/>
  <c r="H921" i="2" s="1"/>
  <c r="G479" i="2"/>
  <c r="G922" i="2"/>
  <c r="H922" i="2" s="1"/>
  <c r="G889" i="2"/>
  <c r="G936" i="2"/>
  <c r="H936" i="2" s="1"/>
  <c r="H937" i="2" s="1"/>
  <c r="G931" i="2"/>
  <c r="G957" i="2"/>
  <c r="H957" i="2" s="1"/>
  <c r="H958" i="2" s="1"/>
  <c r="G952" i="2"/>
  <c r="H952" i="2" s="1"/>
  <c r="H953" i="2" s="1"/>
  <c r="G545" i="2"/>
  <c r="G102" i="2"/>
  <c r="G651" i="2"/>
  <c r="G853" i="2"/>
  <c r="G572" i="2"/>
  <c r="G170" i="2"/>
  <c r="G695" i="2"/>
  <c r="G879" i="2"/>
  <c r="G222" i="2"/>
  <c r="G562" i="2"/>
  <c r="G232" i="2"/>
  <c r="G678" i="2"/>
  <c r="G154" i="2"/>
  <c r="G810" i="2"/>
  <c r="G915" i="2"/>
  <c r="H915" i="2" s="1"/>
  <c r="H916" i="2" s="1"/>
  <c r="G326" i="3" s="1"/>
  <c r="G905" i="2"/>
  <c r="G352" i="2"/>
  <c r="G362" i="2"/>
  <c r="G414" i="2"/>
  <c r="G118" i="2"/>
  <c r="G248" i="2"/>
  <c r="G509" i="2"/>
  <c r="G431" i="2"/>
  <c r="G614" i="2"/>
  <c r="G721" i="2"/>
  <c r="G827" i="2"/>
  <c r="G467" i="2"/>
  <c r="G92" i="2"/>
  <c r="G378" i="2"/>
  <c r="G774" i="2"/>
  <c r="G388" i="2"/>
  <c r="G784" i="2"/>
  <c r="G326" i="2"/>
  <c r="G800" i="2"/>
  <c r="G336" i="2"/>
  <c r="G598" i="2"/>
  <c r="G14" i="2"/>
  <c r="G24" i="2"/>
  <c r="G128" i="2"/>
  <c r="G258" i="2"/>
  <c r="G519" i="2"/>
  <c r="G441" i="2"/>
  <c r="G624" i="2"/>
  <c r="G731" i="2"/>
  <c r="G837" i="2"/>
  <c r="G757" i="2"/>
  <c r="G300" i="2"/>
  <c r="G668" i="2"/>
  <c r="G310" i="2"/>
  <c r="G863" i="2"/>
  <c r="G144" i="2"/>
  <c r="G404" i="2"/>
  <c r="G588" i="2"/>
  <c r="G180" i="2"/>
  <c r="G705" i="2"/>
  <c r="G40" i="2"/>
  <c r="G196" i="2"/>
  <c r="G274" i="2"/>
  <c r="G535" i="2"/>
  <c r="G457" i="2"/>
  <c r="G641" i="2"/>
  <c r="G747" i="2"/>
  <c r="G483" i="2"/>
  <c r="G901" i="2"/>
  <c r="H901" i="2" s="1"/>
  <c r="G348" i="2"/>
  <c r="H348" i="2" s="1"/>
  <c r="G295" i="2"/>
  <c r="G900" i="2"/>
  <c r="H900" i="2" s="1"/>
  <c r="G347" i="2"/>
  <c r="H347" i="2" s="1"/>
  <c r="G35" i="2"/>
  <c r="G899" i="2"/>
  <c r="H899" i="2" s="1"/>
  <c r="G346" i="2"/>
  <c r="H346" i="2" s="1"/>
  <c r="G898" i="2"/>
  <c r="H898" i="2" s="1"/>
  <c r="G345" i="2"/>
  <c r="H345" i="2" s="1"/>
  <c r="G111" i="2"/>
  <c r="G897" i="2"/>
  <c r="H897" i="2" s="1"/>
  <c r="G344" i="2"/>
  <c r="H344" i="2" s="1"/>
  <c r="G896" i="2"/>
  <c r="H896" i="2" s="1"/>
  <c r="G343" i="2"/>
  <c r="H343" i="2" s="1"/>
  <c r="G31" i="2"/>
  <c r="G187" i="2"/>
  <c r="G5" i="2"/>
  <c r="G238" i="2"/>
  <c r="G790" i="2"/>
  <c r="G895" i="2"/>
  <c r="H895" i="2" s="1"/>
  <c r="G342" i="2"/>
  <c r="H342" i="2" s="1"/>
  <c r="G30" i="2"/>
  <c r="G604" i="2"/>
  <c r="H35" i="3"/>
  <c r="I35" i="3" s="1"/>
  <c r="G584" i="2"/>
  <c r="G849" i="2"/>
  <c r="G218" i="2"/>
  <c r="G322" i="2"/>
  <c r="G374" i="2"/>
  <c r="G610" i="2"/>
  <c r="G743" i="2"/>
  <c r="G875" i="2"/>
  <c r="G192" i="2"/>
  <c r="G36" i="2"/>
  <c r="G505" i="2"/>
  <c r="G637" i="2"/>
  <c r="G770" i="2"/>
  <c r="G88" i="2"/>
  <c r="G140" i="2"/>
  <c r="G531" i="2"/>
  <c r="G400" i="2"/>
  <c r="G166" i="2"/>
  <c r="G427" i="2"/>
  <c r="G664" i="2"/>
  <c r="G796" i="2"/>
  <c r="G296" i="2"/>
  <c r="G10" i="2"/>
  <c r="G114" i="2"/>
  <c r="G244" i="2"/>
  <c r="G453" i="2"/>
  <c r="G691" i="2"/>
  <c r="G823" i="2"/>
  <c r="G270" i="2"/>
  <c r="G558" i="2"/>
  <c r="G717" i="2"/>
  <c r="G874" i="2"/>
  <c r="G321" i="2"/>
  <c r="G742" i="2"/>
  <c r="G87" i="2"/>
  <c r="G243" i="2"/>
  <c r="G399" i="2"/>
  <c r="G583" i="2"/>
  <c r="G557" i="2"/>
  <c r="G9" i="2"/>
  <c r="G504" i="2"/>
  <c r="G690" i="2"/>
  <c r="G769" i="2"/>
  <c r="G165" i="2"/>
  <c r="G217" i="2"/>
  <c r="G426" i="2"/>
  <c r="G478" i="2"/>
  <c r="G139" i="2"/>
  <c r="G191" i="2"/>
  <c r="G269" i="2"/>
  <c r="G530" i="2"/>
  <c r="G609" i="2"/>
  <c r="G716" i="2"/>
  <c r="G822" i="2"/>
  <c r="G663" i="2"/>
  <c r="G113" i="2"/>
  <c r="G373" i="2"/>
  <c r="G452" i="2"/>
  <c r="G795" i="2"/>
  <c r="G848" i="2"/>
  <c r="G320" i="2"/>
  <c r="G190" i="2"/>
  <c r="G873" i="2"/>
  <c r="G164" i="2"/>
  <c r="G268" i="2"/>
  <c r="G556" i="2"/>
  <c r="G794" i="2"/>
  <c r="G398" i="2"/>
  <c r="G34" i="2"/>
  <c r="G138" i="2"/>
  <c r="G503" i="2"/>
  <c r="G372" i="2"/>
  <c r="G741" i="2"/>
  <c r="H741" i="2" s="1"/>
  <c r="G477" i="2"/>
  <c r="G689" i="2"/>
  <c r="G425" i="2"/>
  <c r="G635" i="2"/>
  <c r="G608" i="2"/>
  <c r="G112" i="2"/>
  <c r="G216" i="2"/>
  <c r="G294" i="2"/>
  <c r="G582" i="2"/>
  <c r="G715" i="2"/>
  <c r="G821" i="2"/>
  <c r="G8" i="2"/>
  <c r="G242" i="2"/>
  <c r="G529" i="2"/>
  <c r="G768" i="2"/>
  <c r="G847" i="2"/>
  <c r="G86" i="2"/>
  <c r="G451" i="2"/>
  <c r="G662" i="2"/>
  <c r="G189" i="2"/>
  <c r="G634" i="2"/>
  <c r="H634" i="2" s="1"/>
  <c r="G767" i="2"/>
  <c r="H767" i="2" s="1"/>
  <c r="G7" i="2"/>
  <c r="G241" i="2"/>
  <c r="G820" i="2"/>
  <c r="G476" i="2"/>
  <c r="G872" i="2"/>
  <c r="G293" i="2"/>
  <c r="G502" i="2"/>
  <c r="G424" i="2"/>
  <c r="H424" i="2" s="1"/>
  <c r="G555" i="2"/>
  <c r="G607" i="2"/>
  <c r="G661" i="2"/>
  <c r="H661" i="2" s="1"/>
  <c r="G714" i="2"/>
  <c r="G740" i="2"/>
  <c r="G85" i="2"/>
  <c r="G215" i="2"/>
  <c r="G137" i="2"/>
  <c r="G688" i="2"/>
  <c r="G793" i="2"/>
  <c r="H793" i="2" s="1"/>
  <c r="G846" i="2"/>
  <c r="G163" i="2"/>
  <c r="G267" i="2"/>
  <c r="G319" i="2"/>
  <c r="G528" i="2"/>
  <c r="G33" i="2"/>
  <c r="G371" i="2"/>
  <c r="G397" i="2"/>
  <c r="G450" i="2"/>
  <c r="H450" i="2" s="1"/>
  <c r="G581" i="2"/>
  <c r="G792" i="2"/>
  <c r="G501" i="2"/>
  <c r="G580" i="2"/>
  <c r="G660" i="2"/>
  <c r="G871" i="2"/>
  <c r="G84" i="2"/>
  <c r="G32" i="2"/>
  <c r="G110" i="2"/>
  <c r="G266" i="2"/>
  <c r="G423" i="2"/>
  <c r="G687" i="2"/>
  <c r="G766" i="2"/>
  <c r="G6" i="2"/>
  <c r="G370" i="2"/>
  <c r="G713" i="2"/>
  <c r="G554" i="2"/>
  <c r="G162" i="2"/>
  <c r="G214" i="2"/>
  <c r="G396" i="2"/>
  <c r="G739" i="2"/>
  <c r="G819" i="2"/>
  <c r="G240" i="2"/>
  <c r="G845" i="2"/>
  <c r="G527" i="2"/>
  <c r="G318" i="2"/>
  <c r="G633" i="2"/>
  <c r="G188" i="2"/>
  <c r="G136" i="2"/>
  <c r="G292" i="2"/>
  <c r="G449" i="2"/>
  <c r="G606" i="2"/>
  <c r="G475" i="2"/>
  <c r="G632" i="2"/>
  <c r="G818" i="2"/>
  <c r="G870" i="2"/>
  <c r="G317" i="2"/>
  <c r="G605" i="2"/>
  <c r="G712" i="2"/>
  <c r="G500" i="2"/>
  <c r="G135" i="2"/>
  <c r="G161" i="2"/>
  <c r="G395" i="2"/>
  <c r="G579" i="2"/>
  <c r="G791" i="2"/>
  <c r="G844" i="2"/>
  <c r="G291" i="2"/>
  <c r="G765" i="2"/>
  <c r="G83" i="2"/>
  <c r="G213" i="2"/>
  <c r="G553" i="2"/>
  <c r="G474" i="2"/>
  <c r="G109" i="2"/>
  <c r="G422" i="2"/>
  <c r="G265" i="2"/>
  <c r="G526" i="2"/>
  <c r="G659" i="2"/>
  <c r="G738" i="2"/>
  <c r="G239" i="2"/>
  <c r="G369" i="2"/>
  <c r="G448" i="2"/>
  <c r="G686" i="2"/>
  <c r="G764" i="2"/>
  <c r="G134" i="2"/>
  <c r="G578" i="2"/>
  <c r="G552" i="2"/>
  <c r="G737" i="2"/>
  <c r="G212" i="2"/>
  <c r="G525" i="2"/>
  <c r="G447" i="2"/>
  <c r="G869" i="2"/>
  <c r="G186" i="2"/>
  <c r="G499" i="2"/>
  <c r="G421" i="2"/>
  <c r="G711" i="2"/>
  <c r="G843" i="2"/>
  <c r="G108" i="2"/>
  <c r="G316" i="2"/>
  <c r="G394" i="2"/>
  <c r="G685" i="2"/>
  <c r="G473" i="2"/>
  <c r="G160" i="2"/>
  <c r="G290" i="2"/>
  <c r="G658" i="2"/>
  <c r="G82" i="2"/>
  <c r="G264" i="2"/>
  <c r="G368" i="2"/>
  <c r="G631" i="2"/>
  <c r="G817" i="2"/>
  <c r="I385" i="3"/>
  <c r="I351" i="3"/>
  <c r="I460" i="3"/>
  <c r="H928" i="2" l="1"/>
  <c r="H929" i="2" s="1"/>
  <c r="H930" i="2" s="1"/>
  <c r="H959" i="2"/>
  <c r="G171" i="3" s="1"/>
  <c r="H931" i="2"/>
  <c r="H932" i="2" s="1"/>
  <c r="H938" i="2" s="1"/>
  <c r="H349" i="3"/>
  <c r="H171" i="3"/>
  <c r="H42" i="3"/>
  <c r="G42" i="3"/>
  <c r="G349" i="3"/>
  <c r="C10" i="1"/>
  <c r="C9" i="1"/>
  <c r="H349" i="2"/>
  <c r="H350" i="2" s="1"/>
  <c r="H351" i="2" s="1"/>
  <c r="H352" i="2" s="1"/>
  <c r="H353" i="2" s="1"/>
  <c r="H902" i="2"/>
  <c r="H903" i="2" s="1"/>
  <c r="H904" i="2" s="1"/>
  <c r="H905" i="2" s="1"/>
  <c r="H906" i="2" s="1"/>
  <c r="H326" i="3" s="1"/>
  <c r="I326" i="3" s="1"/>
  <c r="I350" i="3"/>
  <c r="G139" i="3"/>
  <c r="G138" i="3"/>
  <c r="G322" i="3"/>
  <c r="G432" i="3"/>
  <c r="G433" i="3"/>
  <c r="H170" i="3" l="1"/>
  <c r="H348" i="3"/>
  <c r="H41" i="3"/>
  <c r="G348" i="3"/>
  <c r="G170" i="3"/>
  <c r="G41" i="3"/>
  <c r="H917" i="2"/>
  <c r="I260" i="3"/>
  <c r="I275" i="3"/>
  <c r="I299" i="3"/>
  <c r="I227" i="3"/>
  <c r="I179" i="3"/>
  <c r="I212" i="3"/>
  <c r="I314" i="3"/>
  <c r="I178" i="3" l="1"/>
  <c r="I130" i="3"/>
  <c r="I103" i="3"/>
  <c r="J9" i="12"/>
  <c r="J6" i="12"/>
  <c r="F6" i="12"/>
  <c r="G34" i="12" s="1"/>
  <c r="F10" i="12"/>
  <c r="J6" i="10"/>
  <c r="H875" i="2" l="1"/>
  <c r="H874" i="2"/>
  <c r="H873" i="2"/>
  <c r="H872" i="2"/>
  <c r="H871" i="2"/>
  <c r="H870" i="2"/>
  <c r="H869" i="2"/>
  <c r="J7" i="28"/>
  <c r="G7" i="28"/>
  <c r="F6" i="28"/>
  <c r="G24" i="9"/>
  <c r="J24" i="9"/>
  <c r="J22" i="9"/>
  <c r="J20" i="9"/>
  <c r="F20" i="9"/>
  <c r="G20" i="9" s="1"/>
  <c r="F22" i="9"/>
  <c r="G22" i="9" s="1"/>
  <c r="J16" i="9"/>
  <c r="F16" i="9"/>
  <c r="G16" i="9" s="1"/>
  <c r="F14" i="9"/>
  <c r="J18" i="9"/>
  <c r="J15" i="9"/>
  <c r="F15" i="9"/>
  <c r="G15" i="9" s="1"/>
  <c r="J14" i="9"/>
  <c r="F10" i="9"/>
  <c r="G10" i="9" s="1"/>
  <c r="J10" i="9"/>
  <c r="F9" i="9"/>
  <c r="G9" i="9" s="1"/>
  <c r="J26" i="7"/>
  <c r="F12" i="7"/>
  <c r="G19" i="7"/>
  <c r="J19" i="7"/>
  <c r="H876" i="2" l="1"/>
  <c r="H877" i="2" s="1"/>
  <c r="H878" i="2" s="1"/>
  <c r="H879" i="2" s="1"/>
  <c r="H880" i="2" s="1"/>
  <c r="H329" i="3" s="1"/>
  <c r="K7" i="28"/>
  <c r="K22" i="9"/>
  <c r="K24" i="9"/>
  <c r="K20" i="9"/>
  <c r="K16" i="9"/>
  <c r="K15" i="9"/>
  <c r="K10" i="9"/>
  <c r="K9" i="9"/>
  <c r="K19" i="7"/>
  <c r="G168" i="3" l="1"/>
  <c r="G39" i="3"/>
  <c r="H39" i="3" l="1"/>
  <c r="I39" i="3" s="1"/>
  <c r="H168" i="3"/>
  <c r="I168" i="3" s="1"/>
  <c r="H433" i="3"/>
  <c r="I433" i="3" s="1"/>
  <c r="H432" i="3"/>
  <c r="I432" i="3" s="1"/>
  <c r="H322" i="3"/>
  <c r="I322" i="3" s="1"/>
  <c r="H139" i="3"/>
  <c r="I139" i="3" s="1"/>
  <c r="G177" i="3"/>
  <c r="G174" i="3"/>
  <c r="G173" i="3"/>
  <c r="G346" i="3"/>
  <c r="G345" i="3"/>
  <c r="G344" i="3"/>
  <c r="G167" i="3"/>
  <c r="G166" i="3"/>
  <c r="H479" i="2"/>
  <c r="H478" i="2"/>
  <c r="H477" i="2"/>
  <c r="H476" i="2"/>
  <c r="H475" i="2"/>
  <c r="H474" i="2"/>
  <c r="H473" i="2"/>
  <c r="J42" i="53"/>
  <c r="K42" i="53" s="1"/>
  <c r="J41" i="53"/>
  <c r="K41" i="53" s="1"/>
  <c r="J40" i="53"/>
  <c r="K40" i="53" s="1"/>
  <c r="J35" i="53"/>
  <c r="K35" i="53" s="1"/>
  <c r="K36" i="53" s="1"/>
  <c r="G490" i="2" s="1"/>
  <c r="H490" i="2" s="1"/>
  <c r="J30" i="53"/>
  <c r="K30" i="53" s="1"/>
  <c r="K31" i="53" s="1"/>
  <c r="G489" i="2" s="1"/>
  <c r="H489" i="2" s="1"/>
  <c r="J25" i="53"/>
  <c r="J24" i="53"/>
  <c r="J23" i="53"/>
  <c r="J22" i="53"/>
  <c r="J17" i="53"/>
  <c r="K17" i="53" s="1"/>
  <c r="J16" i="53"/>
  <c r="K16" i="53" s="1"/>
  <c r="J15" i="53"/>
  <c r="K15" i="53" s="1"/>
  <c r="J14" i="53"/>
  <c r="K14" i="53" s="1"/>
  <c r="J13" i="53"/>
  <c r="K13" i="53" s="1"/>
  <c r="J12" i="53"/>
  <c r="K12" i="53" s="1"/>
  <c r="J7" i="53"/>
  <c r="J6" i="53"/>
  <c r="G6" i="53"/>
  <c r="H345" i="3" l="1"/>
  <c r="I345" i="3" s="1"/>
  <c r="H346" i="3"/>
  <c r="I346" i="3" s="1"/>
  <c r="H38" i="3"/>
  <c r="I38" i="3" s="1"/>
  <c r="H175" i="3"/>
  <c r="I175" i="3" s="1"/>
  <c r="H173" i="3"/>
  <c r="I173" i="3" s="1"/>
  <c r="H37" i="3"/>
  <c r="I37" i="3" s="1"/>
  <c r="H166" i="3"/>
  <c r="I166" i="3" s="1"/>
  <c r="I42" i="3"/>
  <c r="H167" i="3"/>
  <c r="I167" i="3" s="1"/>
  <c r="H344" i="3"/>
  <c r="I344" i="3" s="1"/>
  <c r="I321" i="3"/>
  <c r="G137" i="3"/>
  <c r="H431" i="3"/>
  <c r="H321" i="3"/>
  <c r="G321" i="3"/>
  <c r="H138" i="3"/>
  <c r="I138" i="3" s="1"/>
  <c r="G431" i="3"/>
  <c r="H177" i="3"/>
  <c r="I177" i="3" s="1"/>
  <c r="H176" i="3"/>
  <c r="I176" i="3" s="1"/>
  <c r="H174" i="3"/>
  <c r="I174" i="3" s="1"/>
  <c r="I41" i="3"/>
  <c r="I348" i="3"/>
  <c r="I349" i="3"/>
  <c r="I171" i="3"/>
  <c r="I170" i="3"/>
  <c r="H480" i="2"/>
  <c r="H481" i="2" s="1"/>
  <c r="H482" i="2" s="1"/>
  <c r="H483" i="2" s="1"/>
  <c r="H484" i="2" s="1"/>
  <c r="H155" i="3" s="1"/>
  <c r="K43" i="53"/>
  <c r="G491" i="2" s="1"/>
  <c r="H491" i="2" s="1"/>
  <c r="G7" i="53"/>
  <c r="G22" i="53"/>
  <c r="K6" i="53"/>
  <c r="K18" i="53"/>
  <c r="G487" i="2" s="1"/>
  <c r="H487" i="2" s="1"/>
  <c r="K7" i="53" l="1"/>
  <c r="K8" i="53" s="1"/>
  <c r="G486" i="2" s="1"/>
  <c r="H486" i="2" s="1"/>
  <c r="G25" i="53"/>
  <c r="G23" i="53"/>
  <c r="G24" i="53"/>
  <c r="I24" i="53" s="1"/>
  <c r="K24" i="53" s="1"/>
  <c r="I431" i="3"/>
  <c r="I137" i="3"/>
  <c r="H137" i="3"/>
  <c r="I165" i="3"/>
  <c r="I40" i="3"/>
  <c r="I34" i="3"/>
  <c r="I23" i="53" l="1"/>
  <c r="K23" i="53" s="1"/>
  <c r="I22" i="53"/>
  <c r="K22" i="53" s="1"/>
  <c r="I25" i="53"/>
  <c r="K25" i="53" s="1"/>
  <c r="I347" i="3"/>
  <c r="I169" i="3"/>
  <c r="K26" i="53" l="1"/>
  <c r="G488" i="2" s="1"/>
  <c r="H488" i="2" s="1"/>
  <c r="H492" i="2" s="1"/>
  <c r="H493" i="2" s="1"/>
  <c r="H494" i="2" s="1"/>
  <c r="G155" i="3" s="1"/>
  <c r="I155" i="3" s="1"/>
  <c r="H818" i="2"/>
  <c r="H819" i="2"/>
  <c r="H820" i="2"/>
  <c r="H821" i="2"/>
  <c r="H822" i="2"/>
  <c r="H823" i="2"/>
  <c r="H817" i="2"/>
  <c r="H791" i="2"/>
  <c r="H792" i="2"/>
  <c r="H794" i="2"/>
  <c r="H795" i="2"/>
  <c r="H796" i="2"/>
  <c r="H790" i="2"/>
  <c r="H765" i="2"/>
  <c r="H766" i="2"/>
  <c r="H768" i="2"/>
  <c r="H769" i="2"/>
  <c r="H770" i="2"/>
  <c r="H764" i="2"/>
  <c r="H738" i="2"/>
  <c r="H739" i="2"/>
  <c r="H740" i="2"/>
  <c r="H742" i="2"/>
  <c r="H743" i="2"/>
  <c r="H737" i="2"/>
  <c r="H659" i="2"/>
  <c r="H660" i="2"/>
  <c r="H662" i="2"/>
  <c r="H663" i="2"/>
  <c r="H664" i="2"/>
  <c r="H658" i="2"/>
  <c r="H632" i="2"/>
  <c r="H633" i="2"/>
  <c r="H635" i="2"/>
  <c r="H636" i="2"/>
  <c r="H637" i="2"/>
  <c r="H631" i="2"/>
  <c r="H605" i="2"/>
  <c r="H606" i="2"/>
  <c r="H607" i="2"/>
  <c r="H608" i="2"/>
  <c r="H609" i="2"/>
  <c r="H610" i="2"/>
  <c r="H604" i="2"/>
  <c r="H579" i="2"/>
  <c r="H580" i="2"/>
  <c r="H581" i="2"/>
  <c r="H582" i="2"/>
  <c r="H583" i="2"/>
  <c r="H584" i="2"/>
  <c r="H578" i="2"/>
  <c r="H553" i="2"/>
  <c r="H554" i="2"/>
  <c r="H555" i="2"/>
  <c r="H556" i="2"/>
  <c r="H557" i="2"/>
  <c r="H558" i="2"/>
  <c r="H552" i="2"/>
  <c r="H712" i="2"/>
  <c r="H713" i="2"/>
  <c r="H714" i="2"/>
  <c r="H715" i="2"/>
  <c r="H716" i="2"/>
  <c r="H717" i="2"/>
  <c r="H711" i="2"/>
  <c r="H686" i="2"/>
  <c r="H687" i="2"/>
  <c r="H688" i="2"/>
  <c r="H689" i="2"/>
  <c r="H690" i="2"/>
  <c r="H691" i="2"/>
  <c r="H685" i="2"/>
  <c r="F6" i="26"/>
  <c r="F7" i="26"/>
  <c r="G7" i="26" s="1"/>
  <c r="J7" i="26"/>
  <c r="F6" i="25"/>
  <c r="G6" i="25" s="1"/>
  <c r="G24" i="25" s="1"/>
  <c r="J9" i="25"/>
  <c r="J6" i="26"/>
  <c r="H495" i="2" l="1"/>
  <c r="I25" i="25"/>
  <c r="K7" i="26"/>
  <c r="K9" i="25"/>
  <c r="I27" i="25" l="1"/>
  <c r="I26" i="25"/>
  <c r="I24" i="25"/>
  <c r="H448" i="2"/>
  <c r="H449" i="2"/>
  <c r="H451" i="2"/>
  <c r="H452" i="2"/>
  <c r="H453" i="2"/>
  <c r="H447" i="2"/>
  <c r="H422" i="2"/>
  <c r="H423" i="2"/>
  <c r="H425" i="2"/>
  <c r="H426" i="2"/>
  <c r="H427" i="2"/>
  <c r="H421" i="2"/>
  <c r="H109" i="2"/>
  <c r="H110" i="2"/>
  <c r="H111" i="2"/>
  <c r="H112" i="2"/>
  <c r="H113" i="2"/>
  <c r="H114" i="2"/>
  <c r="H108" i="2"/>
  <c r="H500" i="2"/>
  <c r="H501" i="2"/>
  <c r="H502" i="2"/>
  <c r="H503" i="2"/>
  <c r="H504" i="2"/>
  <c r="H505" i="2"/>
  <c r="H499" i="2"/>
  <c r="H317" i="2"/>
  <c r="H318" i="2"/>
  <c r="H319" i="2"/>
  <c r="H320" i="2"/>
  <c r="H321" i="2"/>
  <c r="H322" i="2"/>
  <c r="H316" i="2"/>
  <c r="H291" i="2"/>
  <c r="H292" i="2"/>
  <c r="H293" i="2"/>
  <c r="H294" i="2"/>
  <c r="H295" i="2"/>
  <c r="H296" i="2"/>
  <c r="H290" i="2"/>
  <c r="H265" i="2"/>
  <c r="H266" i="2"/>
  <c r="H267" i="2"/>
  <c r="H268" i="2"/>
  <c r="H269" i="2"/>
  <c r="H270" i="2"/>
  <c r="H264" i="2"/>
  <c r="H239" i="2"/>
  <c r="H240" i="2"/>
  <c r="H241" i="2"/>
  <c r="H242" i="2"/>
  <c r="H243" i="2"/>
  <c r="H244" i="2"/>
  <c r="H238" i="2"/>
  <c r="H135" i="2"/>
  <c r="H136" i="2"/>
  <c r="H137" i="2"/>
  <c r="H138" i="2"/>
  <c r="H139" i="2"/>
  <c r="H140" i="2"/>
  <c r="H134" i="2"/>
  <c r="H213" i="2"/>
  <c r="H214" i="2"/>
  <c r="H215" i="2"/>
  <c r="H216" i="2"/>
  <c r="H217" i="2"/>
  <c r="H218" i="2"/>
  <c r="H212" i="2"/>
  <c r="H187" i="2"/>
  <c r="H188" i="2"/>
  <c r="H189" i="2"/>
  <c r="H190" i="2"/>
  <c r="H191" i="2"/>
  <c r="H192" i="2"/>
  <c r="H186" i="2"/>
  <c r="H83" i="2"/>
  <c r="H84" i="2"/>
  <c r="H85" i="2"/>
  <c r="H86" i="2"/>
  <c r="H87" i="2"/>
  <c r="H88" i="2"/>
  <c r="H82" i="2"/>
  <c r="H31" i="2"/>
  <c r="H32" i="2"/>
  <c r="H33" i="2"/>
  <c r="H34" i="2"/>
  <c r="H35" i="2"/>
  <c r="H36" i="2"/>
  <c r="H30" i="2"/>
  <c r="H844" i="2"/>
  <c r="H845" i="2"/>
  <c r="H846" i="2"/>
  <c r="H847" i="2"/>
  <c r="H848" i="2"/>
  <c r="H849" i="2"/>
  <c r="H843" i="2"/>
  <c r="H161" i="2"/>
  <c r="H162" i="2"/>
  <c r="H163" i="2"/>
  <c r="H164" i="2"/>
  <c r="H165" i="2"/>
  <c r="H166" i="2"/>
  <c r="H160" i="2"/>
  <c r="H5" i="2"/>
  <c r="H6" i="2"/>
  <c r="H7" i="2"/>
  <c r="H8" i="2"/>
  <c r="H9" i="2"/>
  <c r="H10" i="2"/>
  <c r="H395" i="2"/>
  <c r="H396" i="2"/>
  <c r="H397" i="2"/>
  <c r="H398" i="2"/>
  <c r="H399" i="2"/>
  <c r="H400" i="2"/>
  <c r="H394" i="2"/>
  <c r="H369" i="2"/>
  <c r="H370" i="2"/>
  <c r="H371" i="2"/>
  <c r="H372" i="2"/>
  <c r="H373" i="2"/>
  <c r="H374" i="2"/>
  <c r="H368" i="2"/>
  <c r="H526" i="2"/>
  <c r="H527" i="2"/>
  <c r="H528" i="2"/>
  <c r="H529" i="2"/>
  <c r="H530" i="2"/>
  <c r="H531" i="2"/>
  <c r="H525" i="2"/>
  <c r="J9" i="13"/>
  <c r="F9" i="13"/>
  <c r="G9" i="13" s="1"/>
  <c r="H167" i="2" l="1"/>
  <c r="H168" i="2" s="1"/>
  <c r="H169" i="2" s="1"/>
  <c r="H170" i="2" s="1"/>
  <c r="H171" i="2" s="1"/>
  <c r="H142" i="3" s="1"/>
  <c r="H375" i="2"/>
  <c r="H376" i="2" s="1"/>
  <c r="H377" i="2" s="1"/>
  <c r="H378" i="2" s="1"/>
  <c r="H379" i="2" s="1"/>
  <c r="H150" i="3" s="1"/>
  <c r="H149" i="3"/>
  <c r="H401" i="2"/>
  <c r="H402" i="2" s="1"/>
  <c r="H403" i="2" s="1"/>
  <c r="H404" i="2" s="1"/>
  <c r="H405" i="2" s="1"/>
  <c r="H151" i="3" s="1"/>
  <c r="H532" i="2"/>
  <c r="H533" i="2" s="1"/>
  <c r="H534" i="2" s="1"/>
  <c r="H535" i="2" s="1"/>
  <c r="H536" i="2" s="1"/>
  <c r="H16" i="3" s="1"/>
  <c r="K9" i="13"/>
  <c r="J8" i="52" l="1"/>
  <c r="J50" i="52"/>
  <c r="K50" i="52" s="1"/>
  <c r="J49" i="52"/>
  <c r="K49" i="52" s="1"/>
  <c r="J48" i="52"/>
  <c r="K48" i="52" s="1"/>
  <c r="J43" i="52"/>
  <c r="K43" i="52" s="1"/>
  <c r="K44" i="52" s="1"/>
  <c r="J38" i="52"/>
  <c r="K38" i="52" s="1"/>
  <c r="K39" i="52" s="1"/>
  <c r="J33" i="52"/>
  <c r="K33" i="52" s="1"/>
  <c r="J32" i="52"/>
  <c r="K32" i="52" s="1"/>
  <c r="J31" i="52"/>
  <c r="K31" i="52" s="1"/>
  <c r="J30" i="52"/>
  <c r="K30" i="52" s="1"/>
  <c r="J29" i="52"/>
  <c r="K29" i="52" s="1"/>
  <c r="J28" i="52"/>
  <c r="K28" i="52" s="1"/>
  <c r="J27" i="52"/>
  <c r="J26" i="52"/>
  <c r="J25" i="52"/>
  <c r="J24" i="52"/>
  <c r="J23" i="52"/>
  <c r="J18" i="52"/>
  <c r="K18" i="52" s="1"/>
  <c r="J17" i="52"/>
  <c r="K17" i="52" s="1"/>
  <c r="J16" i="52"/>
  <c r="K16" i="52" s="1"/>
  <c r="J15" i="52"/>
  <c r="K15" i="52" s="1"/>
  <c r="J14" i="52"/>
  <c r="K14" i="52" s="1"/>
  <c r="J9" i="52"/>
  <c r="F8" i="52"/>
  <c r="G8" i="52" s="1"/>
  <c r="J7" i="52"/>
  <c r="F7" i="52"/>
  <c r="G7" i="52" s="1"/>
  <c r="B7" i="52"/>
  <c r="J6" i="52"/>
  <c r="F6" i="52"/>
  <c r="G9" i="52" s="1"/>
  <c r="G23" i="52" s="1"/>
  <c r="J9" i="50"/>
  <c r="F9" i="50"/>
  <c r="G9" i="50" s="1"/>
  <c r="J52" i="50"/>
  <c r="K52" i="50" s="1"/>
  <c r="J51" i="50"/>
  <c r="K51" i="50" s="1"/>
  <c r="J50" i="50"/>
  <c r="K50" i="50" s="1"/>
  <c r="J45" i="50"/>
  <c r="K45" i="50" s="1"/>
  <c r="K46" i="50" s="1"/>
  <c r="G385" i="2" s="1"/>
  <c r="H385" i="2" s="1"/>
  <c r="J40" i="50"/>
  <c r="K40" i="50" s="1"/>
  <c r="K41" i="50" s="1"/>
  <c r="G384" i="2" s="1"/>
  <c r="H384" i="2" s="1"/>
  <c r="J35" i="50"/>
  <c r="J34" i="50"/>
  <c r="J33" i="50"/>
  <c r="J32" i="50"/>
  <c r="J31" i="50"/>
  <c r="J30" i="50"/>
  <c r="J29" i="50"/>
  <c r="J28" i="50"/>
  <c r="J27" i="50"/>
  <c r="J26" i="50"/>
  <c r="J25" i="50"/>
  <c r="J20" i="50"/>
  <c r="K20" i="50" s="1"/>
  <c r="J19" i="50"/>
  <c r="K19" i="50" s="1"/>
  <c r="J18" i="50"/>
  <c r="K18" i="50" s="1"/>
  <c r="J17" i="50"/>
  <c r="K17" i="50" s="1"/>
  <c r="J16" i="50"/>
  <c r="K16" i="50" s="1"/>
  <c r="J11" i="50"/>
  <c r="J7" i="50"/>
  <c r="G7" i="50"/>
  <c r="J8" i="50"/>
  <c r="G26" i="50"/>
  <c r="J6" i="50"/>
  <c r="G6" i="50"/>
  <c r="J42" i="49"/>
  <c r="K42" i="49" s="1"/>
  <c r="J41" i="49"/>
  <c r="K41" i="49" s="1"/>
  <c r="J40" i="49"/>
  <c r="K40" i="49" s="1"/>
  <c r="J35" i="49"/>
  <c r="K35" i="49" s="1"/>
  <c r="K36" i="49" s="1"/>
  <c r="G542" i="2" s="1"/>
  <c r="H542" i="2" s="1"/>
  <c r="J30" i="49"/>
  <c r="K30" i="49" s="1"/>
  <c r="K31" i="49" s="1"/>
  <c r="G541" i="2" s="1"/>
  <c r="H541" i="2" s="1"/>
  <c r="J25" i="49"/>
  <c r="J24" i="49"/>
  <c r="J23" i="49"/>
  <c r="J22" i="49"/>
  <c r="J17" i="49"/>
  <c r="K17" i="49" s="1"/>
  <c r="J15" i="49"/>
  <c r="K15" i="49" s="1"/>
  <c r="J14" i="49"/>
  <c r="K14" i="49" s="1"/>
  <c r="J13" i="49"/>
  <c r="K13" i="49" s="1"/>
  <c r="J12" i="49"/>
  <c r="K12" i="49" s="1"/>
  <c r="J51" i="48"/>
  <c r="K51" i="48" s="1"/>
  <c r="J50" i="48"/>
  <c r="K50" i="48" s="1"/>
  <c r="J49" i="48"/>
  <c r="K49" i="48" s="1"/>
  <c r="J44" i="48"/>
  <c r="K44" i="48" s="1"/>
  <c r="K45" i="48" s="1"/>
  <c r="G359" i="2" s="1"/>
  <c r="H359" i="2" s="1"/>
  <c r="J39" i="48"/>
  <c r="K39" i="48" s="1"/>
  <c r="K40" i="48" s="1"/>
  <c r="G358" i="2" s="1"/>
  <c r="H358" i="2" s="1"/>
  <c r="J34" i="48"/>
  <c r="J33" i="48"/>
  <c r="J32" i="48"/>
  <c r="J31" i="48"/>
  <c r="J30" i="48"/>
  <c r="J29" i="48"/>
  <c r="J28" i="48"/>
  <c r="J27" i="48"/>
  <c r="J26" i="48"/>
  <c r="J25" i="48"/>
  <c r="J24" i="48"/>
  <c r="J19" i="48"/>
  <c r="K19" i="48" s="1"/>
  <c r="J18" i="48"/>
  <c r="K18" i="48" s="1"/>
  <c r="J17" i="48"/>
  <c r="K17" i="48" s="1"/>
  <c r="J16" i="48"/>
  <c r="K16" i="48" s="1"/>
  <c r="J15" i="48"/>
  <c r="K15" i="48" s="1"/>
  <c r="J9" i="48"/>
  <c r="J8" i="48"/>
  <c r="G8" i="48"/>
  <c r="J7" i="48"/>
  <c r="J6" i="48"/>
  <c r="G9" i="48"/>
  <c r="G24" i="48" s="1"/>
  <c r="K8" i="52" l="1"/>
  <c r="G27" i="50"/>
  <c r="G28" i="50" s="1"/>
  <c r="G29" i="50"/>
  <c r="G6" i="52"/>
  <c r="K6" i="50"/>
  <c r="G6" i="49"/>
  <c r="K6" i="49" s="1"/>
  <c r="F7" i="49"/>
  <c r="G7" i="49" s="1"/>
  <c r="K8" i="48"/>
  <c r="K6" i="52"/>
  <c r="K7" i="50"/>
  <c r="K43" i="49"/>
  <c r="G543" i="2" s="1"/>
  <c r="H543" i="2" s="1"/>
  <c r="K18" i="49"/>
  <c r="G539" i="2" s="1"/>
  <c r="H539" i="2" s="1"/>
  <c r="K7" i="52"/>
  <c r="K23" i="52"/>
  <c r="K9" i="50"/>
  <c r="K51" i="52"/>
  <c r="K19" i="52"/>
  <c r="K9" i="52"/>
  <c r="G24" i="52"/>
  <c r="K53" i="50"/>
  <c r="G386" i="2" s="1"/>
  <c r="H386" i="2" s="1"/>
  <c r="G7" i="48"/>
  <c r="K7" i="48" s="1"/>
  <c r="K9" i="48"/>
  <c r="G6" i="48"/>
  <c r="K6" i="48" s="1"/>
  <c r="K21" i="50"/>
  <c r="G382" i="2" s="1"/>
  <c r="H382" i="2" s="1"/>
  <c r="G8" i="50"/>
  <c r="K8" i="50" s="1"/>
  <c r="K20" i="48"/>
  <c r="G356" i="2" s="1"/>
  <c r="H356" i="2" s="1"/>
  <c r="K52" i="48"/>
  <c r="G360" i="2" s="1"/>
  <c r="H360" i="2" s="1"/>
  <c r="K10" i="52" l="1"/>
  <c r="G22" i="49"/>
  <c r="K7" i="49"/>
  <c r="K8" i="49" s="1"/>
  <c r="G538" i="2" s="1"/>
  <c r="H538" i="2" s="1"/>
  <c r="K11" i="50"/>
  <c r="K12" i="50" s="1"/>
  <c r="G381" i="2" s="1"/>
  <c r="H381" i="2" s="1"/>
  <c r="K11" i="48"/>
  <c r="G355" i="2" s="1"/>
  <c r="H355" i="2" s="1"/>
  <c r="K24" i="52"/>
  <c r="G25" i="52"/>
  <c r="K25" i="52" s="1"/>
  <c r="G26" i="52"/>
  <c r="I25" i="50"/>
  <c r="K25" i="50" s="1"/>
  <c r="I33" i="48"/>
  <c r="K33" i="48" s="1"/>
  <c r="I24" i="49" l="1"/>
  <c r="K24" i="49" s="1"/>
  <c r="I23" i="49"/>
  <c r="K23" i="49" s="1"/>
  <c r="I25" i="49"/>
  <c r="K25" i="49" s="1"/>
  <c r="I22" i="49"/>
  <c r="K22" i="49" s="1"/>
  <c r="I29" i="50"/>
  <c r="K29" i="50" s="1"/>
  <c r="I34" i="50"/>
  <c r="K34" i="50" s="1"/>
  <c r="I33" i="50"/>
  <c r="K33" i="50" s="1"/>
  <c r="I32" i="50"/>
  <c r="K32" i="50" s="1"/>
  <c r="I30" i="50"/>
  <c r="K30" i="50" s="1"/>
  <c r="I28" i="50"/>
  <c r="K28" i="50" s="1"/>
  <c r="I31" i="50"/>
  <c r="K31" i="50" s="1"/>
  <c r="I27" i="50"/>
  <c r="K27" i="50" s="1"/>
  <c r="I35" i="50"/>
  <c r="K35" i="50" s="1"/>
  <c r="I26" i="50"/>
  <c r="K26" i="50" s="1"/>
  <c r="I26" i="48"/>
  <c r="K26" i="48" s="1"/>
  <c r="I34" i="48"/>
  <c r="K34" i="48" s="1"/>
  <c r="I24" i="48"/>
  <c r="K24" i="48" s="1"/>
  <c r="I32" i="48"/>
  <c r="K32" i="48" s="1"/>
  <c r="I31" i="48"/>
  <c r="K31" i="48" s="1"/>
  <c r="I30" i="48"/>
  <c r="K30" i="48" s="1"/>
  <c r="I28" i="48"/>
  <c r="K28" i="48" s="1"/>
  <c r="I27" i="48"/>
  <c r="K27" i="48" s="1"/>
  <c r="I29" i="48"/>
  <c r="K29" i="48" s="1"/>
  <c r="I25" i="48"/>
  <c r="K25" i="48" s="1"/>
  <c r="G27" i="52"/>
  <c r="K27" i="52" s="1"/>
  <c r="K26" i="52"/>
  <c r="K36" i="50" l="1"/>
  <c r="G383" i="2" s="1"/>
  <c r="H383" i="2" s="1"/>
  <c r="H387" i="2" s="1"/>
  <c r="H388" i="2" s="1"/>
  <c r="H389" i="2" s="1"/>
  <c r="H390" i="2" s="1"/>
  <c r="K35" i="48"/>
  <c r="G357" i="2" s="1"/>
  <c r="H357" i="2" s="1"/>
  <c r="H361" i="2" s="1"/>
  <c r="H362" i="2" s="1"/>
  <c r="H363" i="2" s="1"/>
  <c r="H364" i="2" s="1"/>
  <c r="K26" i="49"/>
  <c r="G540" i="2" s="1"/>
  <c r="H540" i="2" s="1"/>
  <c r="H544" i="2" s="1"/>
  <c r="H545" i="2" s="1"/>
  <c r="H546" i="2" s="1"/>
  <c r="K34" i="52"/>
  <c r="G16" i="3" l="1"/>
  <c r="I16" i="3" s="1"/>
  <c r="G150" i="3"/>
  <c r="I150" i="3" s="1"/>
  <c r="G149" i="3"/>
  <c r="I149" i="3" s="1"/>
  <c r="H547" i="2"/>
  <c r="G15" i="13"/>
  <c r="J15" i="13"/>
  <c r="J14" i="13"/>
  <c r="F14" i="13"/>
  <c r="G14" i="13" s="1"/>
  <c r="J13" i="13"/>
  <c r="K15" i="13" l="1"/>
  <c r="K14" i="13"/>
  <c r="K13" i="13"/>
  <c r="J19" i="13" l="1"/>
  <c r="G16" i="8"/>
  <c r="G17" i="8"/>
  <c r="G32" i="8" s="1"/>
  <c r="I33" i="8" s="1"/>
  <c r="K33" i="8" s="1"/>
  <c r="J16" i="8"/>
  <c r="J17" i="8"/>
  <c r="G26" i="7"/>
  <c r="G12" i="7"/>
  <c r="G9" i="12"/>
  <c r="F11" i="12"/>
  <c r="G11" i="12" s="1"/>
  <c r="J11" i="12"/>
  <c r="G19" i="10"/>
  <c r="J19" i="10"/>
  <c r="K19" i="10" l="1"/>
  <c r="K17" i="8"/>
  <c r="K26" i="7"/>
  <c r="K12" i="7"/>
  <c r="K9" i="12"/>
  <c r="K11" i="12"/>
  <c r="F6" i="35" l="1"/>
  <c r="G18" i="35" s="1"/>
  <c r="G19" i="35" s="1"/>
  <c r="G6" i="34"/>
  <c r="G7" i="25"/>
  <c r="J7" i="25"/>
  <c r="I48" i="3" l="1"/>
  <c r="I341" i="3"/>
  <c r="I172" i="3"/>
  <c r="I47" i="3" l="1"/>
  <c r="I54" i="44"/>
  <c r="I55" i="44"/>
  <c r="I56" i="44"/>
  <c r="I57" i="44"/>
  <c r="I53" i="44"/>
  <c r="I63" i="44"/>
  <c r="I64" i="44"/>
  <c r="I65" i="44"/>
  <c r="I66" i="44"/>
  <c r="I62" i="44"/>
  <c r="I60" i="44"/>
  <c r="I59" i="44"/>
  <c r="G8" i="44" l="1"/>
  <c r="H588" i="44"/>
  <c r="H178" i="44"/>
  <c r="H166" i="44" l="1"/>
  <c r="H163" i="44"/>
  <c r="H157" i="44"/>
  <c r="H123" i="44"/>
  <c r="H120" i="44"/>
  <c r="H114" i="44"/>
  <c r="H61" i="44"/>
  <c r="H58" i="44"/>
  <c r="H52" i="44"/>
  <c r="Q7" i="4" l="1"/>
  <c r="Q8" i="4"/>
  <c r="Q9" i="4"/>
  <c r="Q10" i="4"/>
  <c r="Q11" i="4"/>
  <c r="Q12" i="4"/>
  <c r="Q13" i="4"/>
  <c r="Q6" i="4"/>
  <c r="P7" i="4"/>
  <c r="P8" i="4"/>
  <c r="P9" i="4"/>
  <c r="P10" i="4"/>
  <c r="P11" i="4"/>
  <c r="P12" i="4"/>
  <c r="P13" i="4"/>
  <c r="P6" i="4"/>
  <c r="P14" i="4" l="1"/>
  <c r="P15" i="4" s="1"/>
  <c r="P16" i="4" s="1"/>
  <c r="F39" i="4" s="1"/>
  <c r="Q14" i="4"/>
  <c r="Q15" i="4" s="1"/>
  <c r="Q16" i="4" s="1"/>
  <c r="F40" i="4" s="1"/>
  <c r="G8" i="28"/>
  <c r="F7" i="27"/>
  <c r="F8" i="25"/>
  <c r="J12" i="11"/>
  <c r="J24" i="10"/>
  <c r="G11" i="10"/>
  <c r="F6" i="10"/>
  <c r="F29" i="10" s="1"/>
  <c r="F6" i="9"/>
  <c r="F6" i="21"/>
  <c r="F24" i="10"/>
  <c r="G24" i="10" s="1"/>
  <c r="G21" i="10"/>
  <c r="G47" i="10" l="1"/>
  <c r="G46" i="10"/>
  <c r="G6" i="10"/>
  <c r="G29" i="10"/>
  <c r="G45" i="10" s="1"/>
  <c r="G6" i="21"/>
  <c r="F7" i="21"/>
  <c r="G7" i="21" s="1"/>
  <c r="G22" i="21" s="1"/>
  <c r="G25" i="10"/>
  <c r="G27" i="10"/>
  <c r="J32" i="25"/>
  <c r="K32" i="25" s="1"/>
  <c r="K33" i="25" s="1"/>
  <c r="G437" i="2" s="1"/>
  <c r="J43" i="25"/>
  <c r="K43" i="25" s="1"/>
  <c r="J44" i="25"/>
  <c r="K44" i="25" s="1"/>
  <c r="J42" i="25"/>
  <c r="K42" i="25" s="1"/>
  <c r="J37" i="25"/>
  <c r="K37" i="25" s="1"/>
  <c r="K38" i="25" s="1"/>
  <c r="G438" i="2" s="1"/>
  <c r="J27" i="25"/>
  <c r="J26" i="25"/>
  <c r="J25" i="25"/>
  <c r="J24" i="25"/>
  <c r="J16" i="25"/>
  <c r="K16" i="25" s="1"/>
  <c r="J17" i="25"/>
  <c r="K17" i="25" s="1"/>
  <c r="J18" i="25"/>
  <c r="K18" i="25" s="1"/>
  <c r="J19" i="25"/>
  <c r="K19" i="25" s="1"/>
  <c r="J15" i="25"/>
  <c r="K15" i="25" s="1"/>
  <c r="J14" i="25"/>
  <c r="K14" i="25" s="1"/>
  <c r="J8" i="25"/>
  <c r="J6" i="25"/>
  <c r="G8" i="25"/>
  <c r="A2" i="11"/>
  <c r="G50" i="10" l="1"/>
  <c r="G48" i="10"/>
  <c r="G49" i="10" s="1"/>
  <c r="I22" i="21"/>
  <c r="I24" i="21"/>
  <c r="I23" i="21"/>
  <c r="I25" i="21"/>
  <c r="I51" i="10"/>
  <c r="I52" i="10"/>
  <c r="I55" i="10"/>
  <c r="I49" i="10"/>
  <c r="I50" i="10"/>
  <c r="I53" i="10"/>
  <c r="I46" i="10"/>
  <c r="I47" i="10"/>
  <c r="K47" i="10" s="1"/>
  <c r="I48" i="10"/>
  <c r="I45" i="10"/>
  <c r="K7" i="25"/>
  <c r="K45" i="25"/>
  <c r="G439" i="2" s="1"/>
  <c r="K20" i="25"/>
  <c r="G435" i="2" s="1"/>
  <c r="K27" i="25"/>
  <c r="K26" i="25"/>
  <c r="K25" i="25"/>
  <c r="K8" i="25"/>
  <c r="K24" i="25"/>
  <c r="K6" i="25"/>
  <c r="I56" i="10" l="1"/>
  <c r="I54" i="10"/>
  <c r="K10" i="25"/>
  <c r="G434" i="2" s="1"/>
  <c r="K28" i="25"/>
  <c r="G436" i="2" s="1"/>
  <c r="J29" i="33" l="1"/>
  <c r="J34" i="33"/>
  <c r="J40" i="33"/>
  <c r="J41" i="33"/>
  <c r="J39" i="33"/>
  <c r="J21" i="33"/>
  <c r="J22" i="33"/>
  <c r="J23" i="33"/>
  <c r="J24" i="33"/>
  <c r="J20" i="33"/>
  <c r="J19" i="33"/>
  <c r="J18" i="33"/>
  <c r="J17" i="33"/>
  <c r="J12" i="33"/>
  <c r="J11" i="33"/>
  <c r="J6" i="33"/>
  <c r="J39" i="34"/>
  <c r="J40" i="34"/>
  <c r="J38" i="34"/>
  <c r="J33" i="34"/>
  <c r="J23" i="34"/>
  <c r="J28" i="34"/>
  <c r="J6" i="34"/>
  <c r="J22" i="34"/>
  <c r="J21" i="34"/>
  <c r="J20" i="34"/>
  <c r="J19" i="34"/>
  <c r="J18" i="34"/>
  <c r="J17" i="34"/>
  <c r="J12" i="34"/>
  <c r="J11" i="34"/>
  <c r="J12" i="35"/>
  <c r="J11" i="35"/>
  <c r="J22" i="35"/>
  <c r="J21" i="35"/>
  <c r="J20" i="35"/>
  <c r="J19" i="35"/>
  <c r="J18" i="35"/>
  <c r="J17" i="35"/>
  <c r="J27" i="35"/>
  <c r="J32" i="35"/>
  <c r="J39" i="35"/>
  <c r="J38" i="35"/>
  <c r="J37" i="35"/>
  <c r="J39" i="37"/>
  <c r="J38" i="37"/>
  <c r="J37" i="37"/>
  <c r="J38" i="36"/>
  <c r="J39" i="36"/>
  <c r="J37" i="36"/>
  <c r="J32" i="37"/>
  <c r="J32" i="36"/>
  <c r="J27" i="37"/>
  <c r="J22" i="37"/>
  <c r="J21" i="37"/>
  <c r="J20" i="37"/>
  <c r="J19" i="37"/>
  <c r="J18" i="37"/>
  <c r="J17" i="37"/>
  <c r="J21" i="36"/>
  <c r="J22" i="36"/>
  <c r="J20" i="36"/>
  <c r="J19" i="36"/>
  <c r="J18" i="36"/>
  <c r="J17" i="36"/>
  <c r="J27" i="36"/>
  <c r="J12" i="37"/>
  <c r="J11" i="37"/>
  <c r="J12" i="36"/>
  <c r="J11" i="36"/>
  <c r="J38" i="42"/>
  <c r="K38" i="42" s="1"/>
  <c r="K39" i="42" s="1"/>
  <c r="G833" i="2" s="1"/>
  <c r="J49" i="42"/>
  <c r="K49" i="42" s="1"/>
  <c r="J50" i="42"/>
  <c r="K50" i="42" s="1"/>
  <c r="J48" i="42"/>
  <c r="K48" i="42" s="1"/>
  <c r="J43" i="42"/>
  <c r="K43" i="42" s="1"/>
  <c r="K44" i="42" s="1"/>
  <c r="G834" i="2" s="1"/>
  <c r="J29" i="42"/>
  <c r="J28" i="42"/>
  <c r="J27" i="42"/>
  <c r="J26" i="42"/>
  <c r="J30" i="42"/>
  <c r="J31" i="42"/>
  <c r="J32" i="42"/>
  <c r="J33" i="42"/>
  <c r="J25" i="42"/>
  <c r="J16" i="42"/>
  <c r="K16" i="42" s="1"/>
  <c r="J17" i="42"/>
  <c r="K17" i="42" s="1"/>
  <c r="J18" i="42"/>
  <c r="K18" i="42" s="1"/>
  <c r="J19" i="42"/>
  <c r="K19" i="42" s="1"/>
  <c r="J20" i="42"/>
  <c r="K20" i="42" s="1"/>
  <c r="J15" i="42"/>
  <c r="K15" i="42" s="1"/>
  <c r="J9" i="42"/>
  <c r="K9" i="42" s="1"/>
  <c r="J8" i="42"/>
  <c r="J10" i="42"/>
  <c r="J7" i="42"/>
  <c r="G7" i="42"/>
  <c r="F8" i="42" s="1"/>
  <c r="F10" i="42" s="1"/>
  <c r="G10" i="42" s="1"/>
  <c r="G25" i="42" s="1"/>
  <c r="J6" i="37"/>
  <c r="J6" i="36"/>
  <c r="J6" i="35"/>
  <c r="J39" i="38"/>
  <c r="J40" i="38"/>
  <c r="J38" i="38"/>
  <c r="J33" i="38"/>
  <c r="J28" i="38"/>
  <c r="J21" i="38"/>
  <c r="J22" i="38"/>
  <c r="J23" i="38"/>
  <c r="J20" i="38"/>
  <c r="J19" i="38"/>
  <c r="J18" i="38"/>
  <c r="J6" i="38"/>
  <c r="J48" i="40"/>
  <c r="K48" i="40" s="1"/>
  <c r="J47" i="40"/>
  <c r="K47" i="40" s="1"/>
  <c r="J46" i="40"/>
  <c r="K46" i="40" s="1"/>
  <c r="J41" i="40"/>
  <c r="K41" i="40" s="1"/>
  <c r="K42" i="40" s="1"/>
  <c r="G807" i="2" s="1"/>
  <c r="J36" i="40"/>
  <c r="K36" i="40" s="1"/>
  <c r="K37" i="40" s="1"/>
  <c r="G806" i="2" s="1"/>
  <c r="J31" i="40"/>
  <c r="K31" i="40" s="1"/>
  <c r="J30" i="40"/>
  <c r="K30" i="40" s="1"/>
  <c r="J29" i="40"/>
  <c r="K29" i="40" s="1"/>
  <c r="J28" i="40"/>
  <c r="K28" i="40" s="1"/>
  <c r="J27" i="40"/>
  <c r="K27" i="40" s="1"/>
  <c r="J26" i="40"/>
  <c r="K26" i="40" s="1"/>
  <c r="J25" i="40"/>
  <c r="K25" i="40" s="1"/>
  <c r="J24" i="40"/>
  <c r="K24" i="40" s="1"/>
  <c r="J23" i="40"/>
  <c r="K23" i="40" s="1"/>
  <c r="J18" i="40"/>
  <c r="K18" i="40" s="1"/>
  <c r="J17" i="40"/>
  <c r="K17" i="40" s="1"/>
  <c r="J16" i="40"/>
  <c r="K16" i="40" s="1"/>
  <c r="J15" i="40"/>
  <c r="K15" i="40" s="1"/>
  <c r="J14" i="40"/>
  <c r="K14" i="40" s="1"/>
  <c r="J13" i="40"/>
  <c r="K13" i="40" s="1"/>
  <c r="J7" i="40"/>
  <c r="J6" i="40"/>
  <c r="G6" i="40"/>
  <c r="J36" i="39"/>
  <c r="K36" i="39" s="1"/>
  <c r="K37" i="39" s="1"/>
  <c r="G780" i="2" s="1"/>
  <c r="J47" i="39"/>
  <c r="K47" i="39" s="1"/>
  <c r="J48" i="39"/>
  <c r="K48" i="39" s="1"/>
  <c r="J46" i="39"/>
  <c r="K46" i="39" s="1"/>
  <c r="J41" i="39"/>
  <c r="K41" i="39" s="1"/>
  <c r="K42" i="39" s="1"/>
  <c r="G781" i="2" s="1"/>
  <c r="J25" i="39"/>
  <c r="K25" i="39" s="1"/>
  <c r="J26" i="39"/>
  <c r="K26" i="39" s="1"/>
  <c r="J27" i="39"/>
  <c r="K27" i="39" s="1"/>
  <c r="J28" i="39"/>
  <c r="K28" i="39" s="1"/>
  <c r="J29" i="39"/>
  <c r="K29" i="39" s="1"/>
  <c r="J30" i="39"/>
  <c r="K30" i="39" s="1"/>
  <c r="J31" i="39"/>
  <c r="K31" i="39" s="1"/>
  <c r="J24" i="39"/>
  <c r="K24" i="39" s="1"/>
  <c r="J23" i="39"/>
  <c r="K23" i="39" s="1"/>
  <c r="J14" i="39"/>
  <c r="K14" i="39" s="1"/>
  <c r="J15" i="39"/>
  <c r="K15" i="39" s="1"/>
  <c r="J16" i="39"/>
  <c r="K16" i="39" s="1"/>
  <c r="J17" i="39"/>
  <c r="K17" i="39" s="1"/>
  <c r="J18" i="39"/>
  <c r="K18" i="39" s="1"/>
  <c r="J13" i="39"/>
  <c r="K13" i="39" s="1"/>
  <c r="J7" i="39"/>
  <c r="K7" i="39" s="1"/>
  <c r="J6" i="39"/>
  <c r="G6" i="39"/>
  <c r="J51" i="41"/>
  <c r="K51" i="41" s="1"/>
  <c r="J50" i="41"/>
  <c r="K50" i="41" s="1"/>
  <c r="J49" i="41"/>
  <c r="K49" i="41" s="1"/>
  <c r="J44" i="41"/>
  <c r="K44" i="41" s="1"/>
  <c r="K45" i="41" s="1"/>
  <c r="J39" i="41"/>
  <c r="K39" i="41" s="1"/>
  <c r="K40" i="41" s="1"/>
  <c r="J34" i="41"/>
  <c r="K34" i="41" s="1"/>
  <c r="J33" i="41"/>
  <c r="K33" i="41" s="1"/>
  <c r="J32" i="41"/>
  <c r="K32" i="41" s="1"/>
  <c r="J31" i="41"/>
  <c r="K31" i="41" s="1"/>
  <c r="J30" i="41"/>
  <c r="K30" i="41" s="1"/>
  <c r="J29" i="41"/>
  <c r="K29" i="41" s="1"/>
  <c r="J28" i="41"/>
  <c r="K28" i="41" s="1"/>
  <c r="J27" i="41"/>
  <c r="K27" i="41" s="1"/>
  <c r="J26" i="41"/>
  <c r="K26" i="41" s="1"/>
  <c r="J25" i="41"/>
  <c r="J24" i="41"/>
  <c r="K24" i="41" s="1"/>
  <c r="J19" i="41"/>
  <c r="K19" i="41" s="1"/>
  <c r="J18" i="41"/>
  <c r="K18" i="41" s="1"/>
  <c r="J17" i="41"/>
  <c r="K17" i="41" s="1"/>
  <c r="J16" i="41"/>
  <c r="K16" i="41" s="1"/>
  <c r="J15" i="41"/>
  <c r="K15" i="41" s="1"/>
  <c r="J14" i="41"/>
  <c r="K14" i="41" s="1"/>
  <c r="J9" i="41"/>
  <c r="J8" i="41"/>
  <c r="J7" i="41"/>
  <c r="J6" i="41"/>
  <c r="G8" i="41"/>
  <c r="G9" i="41" s="1"/>
  <c r="F8" i="41"/>
  <c r="G25" i="41" s="1"/>
  <c r="D7" i="41"/>
  <c r="G7" i="41" s="1"/>
  <c r="F6" i="41"/>
  <c r="G6" i="41" s="1"/>
  <c r="F6" i="32"/>
  <c r="G6" i="32" s="1"/>
  <c r="J6" i="32"/>
  <c r="D7" i="32"/>
  <c r="F7" i="32" s="1"/>
  <c r="J7" i="32"/>
  <c r="F8" i="32"/>
  <c r="G25" i="32" s="1"/>
  <c r="G8" i="32"/>
  <c r="J8" i="32"/>
  <c r="J9" i="32"/>
  <c r="J14" i="32"/>
  <c r="K14" i="32" s="1"/>
  <c r="J15" i="32"/>
  <c r="K15" i="32" s="1"/>
  <c r="J16" i="32"/>
  <c r="K16" i="32" s="1"/>
  <c r="J17" i="32"/>
  <c r="K17" i="32" s="1"/>
  <c r="J18" i="32"/>
  <c r="K18" i="32" s="1"/>
  <c r="J19" i="32"/>
  <c r="K19" i="32" s="1"/>
  <c r="J24" i="32"/>
  <c r="K24" i="32" s="1"/>
  <c r="J25" i="32"/>
  <c r="J26" i="32"/>
  <c r="K26" i="32" s="1"/>
  <c r="J27" i="32"/>
  <c r="K27" i="32" s="1"/>
  <c r="G28" i="32"/>
  <c r="J28" i="32"/>
  <c r="J29" i="32"/>
  <c r="K29" i="32" s="1"/>
  <c r="J30" i="32"/>
  <c r="K30" i="32" s="1"/>
  <c r="J31" i="32"/>
  <c r="K31" i="32" s="1"/>
  <c r="J32" i="32"/>
  <c r="K32" i="32" s="1"/>
  <c r="J33" i="32"/>
  <c r="K33" i="32" s="1"/>
  <c r="J34" i="32"/>
  <c r="K34" i="32" s="1"/>
  <c r="J39" i="32"/>
  <c r="K39" i="32" s="1"/>
  <c r="K40" i="32" s="1"/>
  <c r="J44" i="32"/>
  <c r="K44" i="32" s="1"/>
  <c r="K45" i="32" s="1"/>
  <c r="J49" i="32"/>
  <c r="K49" i="32" s="1"/>
  <c r="J50" i="32"/>
  <c r="K50" i="32" s="1"/>
  <c r="J51" i="32"/>
  <c r="K51" i="32" s="1"/>
  <c r="J51" i="31"/>
  <c r="K51" i="31" s="1"/>
  <c r="J50" i="31"/>
  <c r="K50" i="31" s="1"/>
  <c r="J49" i="31"/>
  <c r="K49" i="31" s="1"/>
  <c r="J44" i="31"/>
  <c r="J39" i="31"/>
  <c r="K39" i="31" s="1"/>
  <c r="K40" i="31" s="1"/>
  <c r="G727" i="2" s="1"/>
  <c r="J34" i="31"/>
  <c r="J33" i="31"/>
  <c r="J32" i="31"/>
  <c r="J31" i="31"/>
  <c r="J30" i="31"/>
  <c r="J29" i="31"/>
  <c r="J28" i="31"/>
  <c r="J27" i="31"/>
  <c r="J26" i="31"/>
  <c r="J25" i="31"/>
  <c r="J24" i="31"/>
  <c r="J19" i="31"/>
  <c r="K19" i="31" s="1"/>
  <c r="J18" i="31"/>
  <c r="K18" i="31" s="1"/>
  <c r="J17" i="31"/>
  <c r="K17" i="31" s="1"/>
  <c r="J16" i="31"/>
  <c r="K16" i="31" s="1"/>
  <c r="J15" i="31"/>
  <c r="K15" i="31" s="1"/>
  <c r="J14" i="31"/>
  <c r="K14" i="31" s="1"/>
  <c r="J9" i="31"/>
  <c r="J7" i="31"/>
  <c r="J8" i="31"/>
  <c r="J6" i="31"/>
  <c r="K44" i="31"/>
  <c r="K45" i="31" s="1"/>
  <c r="G728" i="2" s="1"/>
  <c r="G7" i="31"/>
  <c r="F7" i="31"/>
  <c r="F8" i="31"/>
  <c r="G6" i="31"/>
  <c r="J50" i="30"/>
  <c r="K50" i="30" s="1"/>
  <c r="J51" i="30"/>
  <c r="K51" i="30" s="1"/>
  <c r="J49" i="30"/>
  <c r="K49" i="30" s="1"/>
  <c r="J27" i="30"/>
  <c r="J28" i="30"/>
  <c r="J29" i="30"/>
  <c r="J30" i="30"/>
  <c r="J31" i="30"/>
  <c r="J32" i="30"/>
  <c r="J33" i="30"/>
  <c r="J34" i="30"/>
  <c r="J26" i="30"/>
  <c r="J25" i="30"/>
  <c r="J24" i="30"/>
  <c r="J15" i="30"/>
  <c r="K15" i="30" s="1"/>
  <c r="J16" i="30"/>
  <c r="K16" i="30" s="1"/>
  <c r="J17" i="30"/>
  <c r="K17" i="30" s="1"/>
  <c r="J18" i="30"/>
  <c r="K18" i="30" s="1"/>
  <c r="J19" i="30"/>
  <c r="K19" i="30" s="1"/>
  <c r="J14" i="30"/>
  <c r="K14" i="30" s="1"/>
  <c r="J44" i="30"/>
  <c r="K44" i="30" s="1"/>
  <c r="K45" i="30" s="1"/>
  <c r="G702" i="2" s="1"/>
  <c r="J39" i="30"/>
  <c r="K39" i="30" s="1"/>
  <c r="K40" i="30" s="1"/>
  <c r="G701" i="2" s="1"/>
  <c r="J9" i="30"/>
  <c r="J8" i="30"/>
  <c r="J6" i="30"/>
  <c r="G9" i="30"/>
  <c r="F8" i="30"/>
  <c r="G8" i="30" s="1"/>
  <c r="G6" i="30"/>
  <c r="G7" i="32" l="1"/>
  <c r="G26" i="42"/>
  <c r="K8" i="41"/>
  <c r="I32" i="30"/>
  <c r="K32" i="30" s="1"/>
  <c r="I25" i="30"/>
  <c r="K25" i="30" s="1"/>
  <c r="I26" i="30"/>
  <c r="K26" i="30" s="1"/>
  <c r="I34" i="30"/>
  <c r="K34" i="30" s="1"/>
  <c r="I31" i="30"/>
  <c r="K31" i="30" s="1"/>
  <c r="K9" i="30"/>
  <c r="G24" i="30"/>
  <c r="I33" i="30" s="1"/>
  <c r="K33" i="30" s="1"/>
  <c r="G25" i="31"/>
  <c r="F9" i="31"/>
  <c r="G9" i="31" s="1"/>
  <c r="G24" i="31" s="1"/>
  <c r="K6" i="31"/>
  <c r="K6" i="32"/>
  <c r="G8" i="42"/>
  <c r="G27" i="42" s="1"/>
  <c r="K10" i="42"/>
  <c r="K6" i="30"/>
  <c r="K6" i="40"/>
  <c r="F7" i="41"/>
  <c r="K6" i="39"/>
  <c r="K8" i="39" s="1"/>
  <c r="G777" i="2" s="1"/>
  <c r="K8" i="32"/>
  <c r="K25" i="41"/>
  <c r="K35" i="41" s="1"/>
  <c r="K7" i="31"/>
  <c r="K25" i="32"/>
  <c r="K20" i="31"/>
  <c r="G725" i="2" s="1"/>
  <c r="H725" i="2" s="1"/>
  <c r="K52" i="32"/>
  <c r="K8" i="30"/>
  <c r="K28" i="32"/>
  <c r="K6" i="41"/>
  <c r="K7" i="32"/>
  <c r="K7" i="41"/>
  <c r="K9" i="41"/>
  <c r="G8" i="31"/>
  <c r="K8" i="31" s="1"/>
  <c r="K51" i="42"/>
  <c r="G835" i="2" s="1"/>
  <c r="H835" i="2" s="1"/>
  <c r="K21" i="42"/>
  <c r="G831" i="2" s="1"/>
  <c r="H831" i="2" s="1"/>
  <c r="K7" i="42"/>
  <c r="K49" i="40"/>
  <c r="G808" i="2" s="1"/>
  <c r="H808" i="2" s="1"/>
  <c r="K32" i="40"/>
  <c r="G805" i="2" s="1"/>
  <c r="H805" i="2" s="1"/>
  <c r="K19" i="40"/>
  <c r="G804" i="2" s="1"/>
  <c r="H804" i="2" s="1"/>
  <c r="K7" i="40"/>
  <c r="K49" i="39"/>
  <c r="G782" i="2" s="1"/>
  <c r="H782" i="2" s="1"/>
  <c r="K32" i="39"/>
  <c r="G779" i="2" s="1"/>
  <c r="H779" i="2" s="1"/>
  <c r="K19" i="39"/>
  <c r="G778" i="2" s="1"/>
  <c r="K52" i="41"/>
  <c r="K20" i="41"/>
  <c r="K20" i="32"/>
  <c r="G9" i="32"/>
  <c r="K9" i="32" s="1"/>
  <c r="K52" i="31"/>
  <c r="G729" i="2" s="1"/>
  <c r="H729" i="2" s="1"/>
  <c r="K52" i="30"/>
  <c r="G703" i="2" s="1"/>
  <c r="H703" i="2" s="1"/>
  <c r="K20" i="30"/>
  <c r="G699" i="2" s="1"/>
  <c r="H699" i="2" s="1"/>
  <c r="J43" i="28"/>
  <c r="K43" i="28" s="1"/>
  <c r="J42" i="28"/>
  <c r="K42" i="28" s="1"/>
  <c r="J41" i="28"/>
  <c r="K41" i="28" s="1"/>
  <c r="J36" i="28"/>
  <c r="K36" i="28" s="1"/>
  <c r="K37" i="28" s="1"/>
  <c r="G886" i="2" s="1"/>
  <c r="H886" i="2" s="1"/>
  <c r="J31" i="28"/>
  <c r="K31" i="28" s="1"/>
  <c r="K32" i="28" s="1"/>
  <c r="G885" i="2" s="1"/>
  <c r="H885" i="2" s="1"/>
  <c r="J26" i="28"/>
  <c r="K26" i="28" s="1"/>
  <c r="J25" i="28"/>
  <c r="K25" i="28" s="1"/>
  <c r="J24" i="28"/>
  <c r="K24" i="28" s="1"/>
  <c r="J23" i="28"/>
  <c r="K23" i="28" s="1"/>
  <c r="J18" i="28"/>
  <c r="K18" i="28" s="1"/>
  <c r="J17" i="28"/>
  <c r="K17" i="28" s="1"/>
  <c r="J16" i="28"/>
  <c r="K16" i="28" s="1"/>
  <c r="J15" i="28"/>
  <c r="K15" i="28" s="1"/>
  <c r="J14" i="28"/>
  <c r="K14" i="28" s="1"/>
  <c r="J13" i="28"/>
  <c r="K13" i="28" s="1"/>
  <c r="J6" i="28"/>
  <c r="G6" i="28"/>
  <c r="B6" i="28"/>
  <c r="J42" i="27"/>
  <c r="K42" i="27" s="1"/>
  <c r="J41" i="27"/>
  <c r="K41" i="27" s="1"/>
  <c r="J40" i="27"/>
  <c r="K40" i="27" s="1"/>
  <c r="J35" i="27"/>
  <c r="K35" i="27" s="1"/>
  <c r="K36" i="27" s="1"/>
  <c r="J30" i="27"/>
  <c r="K30" i="27" s="1"/>
  <c r="K31" i="27" s="1"/>
  <c r="J25" i="27"/>
  <c r="K25" i="27" s="1"/>
  <c r="J24" i="27"/>
  <c r="K24" i="27" s="1"/>
  <c r="J23" i="27"/>
  <c r="K23" i="27" s="1"/>
  <c r="J22" i="27"/>
  <c r="K22" i="27" s="1"/>
  <c r="J17" i="27"/>
  <c r="K17" i="27" s="1"/>
  <c r="J16" i="27"/>
  <c r="K16" i="27" s="1"/>
  <c r="J15" i="27"/>
  <c r="K15" i="27" s="1"/>
  <c r="J14" i="27"/>
  <c r="K14" i="27" s="1"/>
  <c r="J13" i="27"/>
  <c r="K13" i="27" s="1"/>
  <c r="J12" i="27"/>
  <c r="K12" i="27" s="1"/>
  <c r="J7" i="27"/>
  <c r="J6" i="27"/>
  <c r="G7" i="27"/>
  <c r="F6" i="27"/>
  <c r="G6" i="26"/>
  <c r="F8" i="26"/>
  <c r="G8" i="26" s="1"/>
  <c r="J8" i="26"/>
  <c r="J13" i="26"/>
  <c r="K13" i="26" s="1"/>
  <c r="J14" i="26"/>
  <c r="K14" i="26" s="1"/>
  <c r="J15" i="26"/>
  <c r="K15" i="26" s="1"/>
  <c r="J16" i="26"/>
  <c r="K16" i="26" s="1"/>
  <c r="J17" i="26"/>
  <c r="K17" i="26" s="1"/>
  <c r="J18" i="26"/>
  <c r="K18" i="26" s="1"/>
  <c r="J23" i="26"/>
  <c r="J24" i="26"/>
  <c r="J25" i="26"/>
  <c r="J26" i="26"/>
  <c r="J31" i="26"/>
  <c r="K31" i="26" s="1"/>
  <c r="K32" i="26" s="1"/>
  <c r="G463" i="2" s="1"/>
  <c r="H463" i="2" s="1"/>
  <c r="J36" i="26"/>
  <c r="K36" i="26" s="1"/>
  <c r="K37" i="26" s="1"/>
  <c r="G464" i="2" s="1"/>
  <c r="H464" i="2" s="1"/>
  <c r="J41" i="26"/>
  <c r="K41" i="26" s="1"/>
  <c r="J42" i="26"/>
  <c r="K42" i="26" s="1"/>
  <c r="J43" i="26"/>
  <c r="K43" i="26" s="1"/>
  <c r="B6" i="27"/>
  <c r="J52" i="23"/>
  <c r="K52" i="23" s="1"/>
  <c r="J53" i="23"/>
  <c r="K53" i="23" s="1"/>
  <c r="G412" i="2" s="1"/>
  <c r="H412" i="2" s="1"/>
  <c r="J51" i="23"/>
  <c r="K51" i="23" s="1"/>
  <c r="J41" i="23"/>
  <c r="K41" i="23" s="1"/>
  <c r="K42" i="23" s="1"/>
  <c r="G410" i="2" s="1"/>
  <c r="H410" i="2" s="1"/>
  <c r="J46" i="23"/>
  <c r="K46" i="23" s="1"/>
  <c r="K47" i="23" s="1"/>
  <c r="G411" i="2" s="1"/>
  <c r="H411" i="2" s="1"/>
  <c r="J27" i="23"/>
  <c r="J28" i="23"/>
  <c r="J29" i="23"/>
  <c r="J30" i="23"/>
  <c r="J31" i="23"/>
  <c r="J32" i="23"/>
  <c r="J33" i="23"/>
  <c r="J34" i="23"/>
  <c r="J35" i="23"/>
  <c r="J36" i="23"/>
  <c r="J26" i="23"/>
  <c r="J18" i="23"/>
  <c r="K18" i="23" s="1"/>
  <c r="J19" i="23"/>
  <c r="K19" i="23" s="1"/>
  <c r="J20" i="23"/>
  <c r="K20" i="23" s="1"/>
  <c r="J21" i="23"/>
  <c r="K21" i="23" s="1"/>
  <c r="J17" i="23"/>
  <c r="K17" i="23" s="1"/>
  <c r="H124" i="2"/>
  <c r="H125" i="2"/>
  <c r="J41" i="21"/>
  <c r="K41" i="21" s="1"/>
  <c r="J42" i="21"/>
  <c r="K42" i="21" s="1"/>
  <c r="J40" i="21"/>
  <c r="K40" i="21" s="1"/>
  <c r="J30" i="21"/>
  <c r="K30" i="21" s="1"/>
  <c r="K31" i="21" s="1"/>
  <c r="G515" i="2" s="1"/>
  <c r="H515" i="2" s="1"/>
  <c r="J35" i="21"/>
  <c r="K35" i="21" s="1"/>
  <c r="K36" i="21" s="1"/>
  <c r="G516" i="2" s="1"/>
  <c r="H516" i="2" s="1"/>
  <c r="J23" i="21"/>
  <c r="K23" i="21" s="1"/>
  <c r="J24" i="21"/>
  <c r="K24" i="21" s="1"/>
  <c r="J25" i="21"/>
  <c r="K25" i="21" s="1"/>
  <c r="J22" i="21"/>
  <c r="K22" i="21" s="1"/>
  <c r="J13" i="21"/>
  <c r="K13" i="21" s="1"/>
  <c r="J14" i="21"/>
  <c r="K14" i="21" s="1"/>
  <c r="J15" i="21"/>
  <c r="K15" i="21" s="1"/>
  <c r="J16" i="21"/>
  <c r="K16" i="21" s="1"/>
  <c r="J17" i="21"/>
  <c r="K17" i="21" s="1"/>
  <c r="J12" i="21"/>
  <c r="K12" i="21" s="1"/>
  <c r="K7" i="21"/>
  <c r="K6" i="21"/>
  <c r="J53" i="20"/>
  <c r="K53" i="20" s="1"/>
  <c r="J52" i="20"/>
  <c r="K52" i="20" s="1"/>
  <c r="J51" i="20"/>
  <c r="K51" i="20" s="1"/>
  <c r="J46" i="20"/>
  <c r="K46" i="20" s="1"/>
  <c r="K47" i="20" s="1"/>
  <c r="G333" i="2" s="1"/>
  <c r="H333" i="2" s="1"/>
  <c r="J41" i="20"/>
  <c r="K41" i="20" s="1"/>
  <c r="K42" i="20" s="1"/>
  <c r="G332" i="2" s="1"/>
  <c r="H332" i="2" s="1"/>
  <c r="J25" i="19"/>
  <c r="J26" i="19"/>
  <c r="J27" i="19"/>
  <c r="J28" i="19"/>
  <c r="J29" i="19"/>
  <c r="J30" i="19"/>
  <c r="J31" i="19"/>
  <c r="J32" i="19"/>
  <c r="J33" i="19"/>
  <c r="J34" i="19"/>
  <c r="J35" i="19"/>
  <c r="J36" i="19"/>
  <c r="J20" i="20"/>
  <c r="K20" i="20" s="1"/>
  <c r="J19" i="20"/>
  <c r="K19" i="20" s="1"/>
  <c r="J18" i="20"/>
  <c r="K18" i="20" s="1"/>
  <c r="J17" i="20"/>
  <c r="K17" i="20" s="1"/>
  <c r="J16" i="20"/>
  <c r="K16" i="20" s="1"/>
  <c r="J15" i="20"/>
  <c r="K15" i="20" s="1"/>
  <c r="J41" i="19"/>
  <c r="K41" i="19" s="1"/>
  <c r="K42" i="19" s="1"/>
  <c r="G306" i="2" s="1"/>
  <c r="H306" i="2" s="1"/>
  <c r="J52" i="19"/>
  <c r="K52" i="19" s="1"/>
  <c r="J53" i="19"/>
  <c r="J51" i="19"/>
  <c r="K51" i="19" s="1"/>
  <c r="J46" i="19"/>
  <c r="K46" i="19" s="1"/>
  <c r="K47" i="19" s="1"/>
  <c r="G307" i="2" s="1"/>
  <c r="H307" i="2" s="1"/>
  <c r="J16" i="19"/>
  <c r="K16" i="19" s="1"/>
  <c r="J17" i="19"/>
  <c r="K17" i="19" s="1"/>
  <c r="J18" i="19"/>
  <c r="K18" i="19" s="1"/>
  <c r="J19" i="19"/>
  <c r="K19" i="19" s="1"/>
  <c r="J20" i="19"/>
  <c r="K20" i="19" s="1"/>
  <c r="J15" i="19"/>
  <c r="K15" i="19" s="1"/>
  <c r="J10" i="19"/>
  <c r="J8" i="19"/>
  <c r="K40" i="38"/>
  <c r="K39" i="38"/>
  <c r="K38" i="38"/>
  <c r="K33" i="38"/>
  <c r="K34" i="38" s="1"/>
  <c r="G754" i="2" s="1"/>
  <c r="H754" i="2" s="1"/>
  <c r="K28" i="38"/>
  <c r="K29" i="38" s="1"/>
  <c r="G753" i="2" s="1"/>
  <c r="H753" i="2" s="1"/>
  <c r="G6" i="38"/>
  <c r="K39" i="37"/>
  <c r="K38" i="37"/>
  <c r="K37" i="37"/>
  <c r="K32" i="37"/>
  <c r="K33" i="37" s="1"/>
  <c r="G675" i="2" s="1"/>
  <c r="H675" i="2" s="1"/>
  <c r="K27" i="37"/>
  <c r="K28" i="37" s="1"/>
  <c r="G674" i="2" s="1"/>
  <c r="H674" i="2" s="1"/>
  <c r="K12" i="37"/>
  <c r="K11" i="37"/>
  <c r="G6" i="37"/>
  <c r="K6" i="37" s="1"/>
  <c r="K7" i="37" s="1"/>
  <c r="G671" i="2" s="1"/>
  <c r="H671" i="2" s="1"/>
  <c r="K39" i="36"/>
  <c r="K38" i="36"/>
  <c r="K37" i="36"/>
  <c r="K32" i="36"/>
  <c r="K33" i="36" s="1"/>
  <c r="G648" i="2" s="1"/>
  <c r="H648" i="2" s="1"/>
  <c r="K27" i="36"/>
  <c r="K28" i="36" s="1"/>
  <c r="G647" i="2" s="1"/>
  <c r="H647" i="2" s="1"/>
  <c r="K12" i="36"/>
  <c r="K11" i="36"/>
  <c r="K6" i="36"/>
  <c r="K7" i="36" s="1"/>
  <c r="G644" i="2" s="1"/>
  <c r="H644" i="2" s="1"/>
  <c r="F6" i="36"/>
  <c r="K39" i="35"/>
  <c r="K38" i="35"/>
  <c r="K37" i="35"/>
  <c r="K32" i="35"/>
  <c r="K33" i="35" s="1"/>
  <c r="G621" i="2" s="1"/>
  <c r="H621" i="2" s="1"/>
  <c r="K27" i="35"/>
  <c r="K28" i="35" s="1"/>
  <c r="G620" i="2" s="1"/>
  <c r="H620" i="2" s="1"/>
  <c r="K12" i="35"/>
  <c r="K11" i="35"/>
  <c r="K6" i="35"/>
  <c r="K7" i="35" s="1"/>
  <c r="G617" i="2" s="1"/>
  <c r="H617" i="2" s="1"/>
  <c r="G17" i="35"/>
  <c r="K40" i="34"/>
  <c r="K39" i="34"/>
  <c r="K38" i="34"/>
  <c r="K33" i="34"/>
  <c r="K34" i="34" s="1"/>
  <c r="G595" i="2" s="1"/>
  <c r="H595" i="2" s="1"/>
  <c r="K28" i="34"/>
  <c r="K29" i="34" s="1"/>
  <c r="G594" i="2" s="1"/>
  <c r="H594" i="2" s="1"/>
  <c r="K23" i="34"/>
  <c r="K22" i="34"/>
  <c r="K21" i="34"/>
  <c r="K20" i="34"/>
  <c r="K19" i="34"/>
  <c r="K12" i="34"/>
  <c r="K11" i="34"/>
  <c r="K6" i="34"/>
  <c r="K7" i="34" s="1"/>
  <c r="G591" i="2" s="1"/>
  <c r="H591" i="2" s="1"/>
  <c r="K41" i="33"/>
  <c r="K40" i="33"/>
  <c r="K39" i="33"/>
  <c r="K34" i="33"/>
  <c r="K35" i="33" s="1"/>
  <c r="G569" i="2" s="1"/>
  <c r="H569" i="2" s="1"/>
  <c r="K29" i="33"/>
  <c r="K30" i="33" s="1"/>
  <c r="G568" i="2" s="1"/>
  <c r="H568" i="2" s="1"/>
  <c r="K12" i="33"/>
  <c r="K11" i="33"/>
  <c r="J7" i="19"/>
  <c r="J6" i="19"/>
  <c r="K53" i="19"/>
  <c r="F8" i="19"/>
  <c r="G27" i="19" s="1"/>
  <c r="G30" i="19" s="1"/>
  <c r="F7" i="19"/>
  <c r="F6" i="19"/>
  <c r="G10" i="19" s="1"/>
  <c r="G25" i="19" s="1"/>
  <c r="J44" i="18"/>
  <c r="K44" i="18" s="1"/>
  <c r="K45" i="18" s="1"/>
  <c r="G280" i="2" s="1"/>
  <c r="H280" i="2" s="1"/>
  <c r="J55" i="18"/>
  <c r="K55" i="18" s="1"/>
  <c r="J56" i="18"/>
  <c r="K56" i="18" s="1"/>
  <c r="J54" i="18"/>
  <c r="K54" i="18" s="1"/>
  <c r="J49" i="18"/>
  <c r="K49" i="18" s="1"/>
  <c r="K50" i="18" s="1"/>
  <c r="G281" i="2" s="1"/>
  <c r="H281" i="2" s="1"/>
  <c r="J21" i="18"/>
  <c r="K21" i="18" s="1"/>
  <c r="J22" i="18"/>
  <c r="K22" i="18" s="1"/>
  <c r="J23" i="18"/>
  <c r="K23" i="18" s="1"/>
  <c r="J24" i="18"/>
  <c r="K24" i="18" s="1"/>
  <c r="J25" i="18"/>
  <c r="K25" i="18" s="1"/>
  <c r="J20" i="18"/>
  <c r="K20" i="18" s="1"/>
  <c r="J15" i="18"/>
  <c r="J12" i="18"/>
  <c r="J55" i="17"/>
  <c r="K55" i="17" s="1"/>
  <c r="J56" i="17"/>
  <c r="K56" i="17" s="1"/>
  <c r="J54" i="17"/>
  <c r="K54" i="17" s="1"/>
  <c r="J49" i="17"/>
  <c r="K49" i="17" s="1"/>
  <c r="K50" i="17" s="1"/>
  <c r="G255" i="2" s="1"/>
  <c r="H255" i="2" s="1"/>
  <c r="J44" i="17"/>
  <c r="K44" i="17" s="1"/>
  <c r="K45" i="17" s="1"/>
  <c r="G254" i="2" s="1"/>
  <c r="H254" i="2" s="1"/>
  <c r="J31" i="17"/>
  <c r="J32" i="17"/>
  <c r="J33" i="17"/>
  <c r="J34" i="17"/>
  <c r="J35" i="17"/>
  <c r="J36" i="17"/>
  <c r="J37" i="17"/>
  <c r="J38" i="17"/>
  <c r="J39" i="17"/>
  <c r="J30" i="17"/>
  <c r="J29" i="17"/>
  <c r="J28" i="17"/>
  <c r="J23" i="17"/>
  <c r="K23" i="17" s="1"/>
  <c r="J19" i="17"/>
  <c r="K19" i="17" s="1"/>
  <c r="J20" i="17"/>
  <c r="K20" i="17" s="1"/>
  <c r="J21" i="17"/>
  <c r="K21" i="17" s="1"/>
  <c r="J22" i="17"/>
  <c r="K22" i="17" s="1"/>
  <c r="J18" i="17"/>
  <c r="K18" i="17" s="1"/>
  <c r="J13" i="17"/>
  <c r="J11" i="17"/>
  <c r="K11" i="17" s="1"/>
  <c r="J9" i="17"/>
  <c r="J8" i="17"/>
  <c r="J7" i="17"/>
  <c r="J6" i="17"/>
  <c r="F9" i="17"/>
  <c r="G10" i="17"/>
  <c r="F8" i="17"/>
  <c r="G8" i="17" s="1"/>
  <c r="G7" i="17"/>
  <c r="F6" i="17"/>
  <c r="K33" i="16"/>
  <c r="K31" i="16"/>
  <c r="K30" i="16"/>
  <c r="K29" i="16"/>
  <c r="K28" i="16"/>
  <c r="K27" i="16"/>
  <c r="K18" i="16"/>
  <c r="K14" i="16"/>
  <c r="K15" i="16"/>
  <c r="K16" i="16"/>
  <c r="K13" i="16"/>
  <c r="J38" i="16"/>
  <c r="K38" i="16" s="1"/>
  <c r="K39" i="16" s="1"/>
  <c r="G150" i="2" s="1"/>
  <c r="H150" i="2" s="1"/>
  <c r="J43" i="16"/>
  <c r="K43" i="16" s="1"/>
  <c r="K44" i="16" s="1"/>
  <c r="G151" i="2" s="1"/>
  <c r="H151" i="2" s="1"/>
  <c r="K50" i="16"/>
  <c r="K49" i="16"/>
  <c r="K48" i="16"/>
  <c r="J53" i="14"/>
  <c r="K53" i="14" s="1"/>
  <c r="J52" i="14"/>
  <c r="K52" i="14" s="1"/>
  <c r="J51" i="14"/>
  <c r="K51" i="14" s="1"/>
  <c r="J46" i="14"/>
  <c r="K46" i="14" s="1"/>
  <c r="K47" i="14" s="1"/>
  <c r="G229" i="2" s="1"/>
  <c r="H229" i="2" s="1"/>
  <c r="J41" i="14"/>
  <c r="K41" i="14" s="1"/>
  <c r="K42" i="14" s="1"/>
  <c r="G228" i="2" s="1"/>
  <c r="H228" i="2" s="1"/>
  <c r="J36" i="14"/>
  <c r="J35" i="14"/>
  <c r="J34" i="14"/>
  <c r="J33" i="14"/>
  <c r="J32" i="14"/>
  <c r="J31" i="14"/>
  <c r="J30" i="14"/>
  <c r="J29" i="14"/>
  <c r="J28" i="14"/>
  <c r="J27" i="14"/>
  <c r="J26" i="14"/>
  <c r="J21" i="14"/>
  <c r="K21" i="14" s="1"/>
  <c r="J20" i="14"/>
  <c r="K20" i="14" s="1"/>
  <c r="J19" i="14"/>
  <c r="K19" i="14" s="1"/>
  <c r="J18" i="14"/>
  <c r="K18" i="14" s="1"/>
  <c r="J17" i="14"/>
  <c r="K17" i="14" s="1"/>
  <c r="J16" i="14"/>
  <c r="K16" i="14" s="1"/>
  <c r="J49" i="13"/>
  <c r="K49" i="13" s="1"/>
  <c r="K50" i="13" s="1"/>
  <c r="G202" i="2" s="1"/>
  <c r="H202" i="2" s="1"/>
  <c r="J60" i="13"/>
  <c r="K60" i="13" s="1"/>
  <c r="J61" i="13"/>
  <c r="K61" i="13" s="1"/>
  <c r="J59" i="13"/>
  <c r="K59" i="13" s="1"/>
  <c r="J54" i="13"/>
  <c r="K54" i="13" s="1"/>
  <c r="K55" i="13" s="1"/>
  <c r="G203" i="2" s="1"/>
  <c r="H203" i="2" s="1"/>
  <c r="J35" i="13"/>
  <c r="J36" i="13"/>
  <c r="J37" i="13"/>
  <c r="J38" i="13"/>
  <c r="J39" i="13"/>
  <c r="J40" i="13"/>
  <c r="J41" i="13"/>
  <c r="J42" i="13"/>
  <c r="J43" i="13"/>
  <c r="J44" i="13"/>
  <c r="J34" i="13"/>
  <c r="J29" i="13"/>
  <c r="K29" i="13" s="1"/>
  <c r="J25" i="13"/>
  <c r="K25" i="13" s="1"/>
  <c r="J26" i="13"/>
  <c r="K26" i="13" s="1"/>
  <c r="J27" i="13"/>
  <c r="K27" i="13" s="1"/>
  <c r="J28" i="13"/>
  <c r="K28" i="13" s="1"/>
  <c r="J24" i="13"/>
  <c r="K24" i="13" s="1"/>
  <c r="J12" i="13"/>
  <c r="J6" i="13"/>
  <c r="G36" i="13"/>
  <c r="G12" i="13"/>
  <c r="F6" i="13"/>
  <c r="F19" i="13" s="1"/>
  <c r="J49" i="12"/>
  <c r="K49" i="12" s="1"/>
  <c r="K50" i="12" s="1"/>
  <c r="G98" i="2" s="1"/>
  <c r="H98" i="2" s="1"/>
  <c r="J60" i="12"/>
  <c r="K60" i="12" s="1"/>
  <c r="J61" i="12"/>
  <c r="K61" i="12" s="1"/>
  <c r="J59" i="12"/>
  <c r="K59" i="12" s="1"/>
  <c r="J54" i="12"/>
  <c r="K54" i="12" s="1"/>
  <c r="K55" i="12" s="1"/>
  <c r="G99" i="2" s="1"/>
  <c r="H99" i="2" s="1"/>
  <c r="J44" i="12"/>
  <c r="J43" i="12"/>
  <c r="J42" i="12"/>
  <c r="J41" i="12"/>
  <c r="J40" i="12"/>
  <c r="J39" i="12"/>
  <c r="J38" i="12"/>
  <c r="J37" i="12"/>
  <c r="J36" i="12"/>
  <c r="J35" i="12"/>
  <c r="J34" i="12"/>
  <c r="J25" i="12"/>
  <c r="K25" i="12" s="1"/>
  <c r="J26" i="12"/>
  <c r="K26" i="12" s="1"/>
  <c r="J27" i="12"/>
  <c r="K27" i="12" s="1"/>
  <c r="J28" i="12"/>
  <c r="K28" i="12" s="1"/>
  <c r="J29" i="12"/>
  <c r="K29" i="12" s="1"/>
  <c r="J24" i="12"/>
  <c r="K24" i="12" s="1"/>
  <c r="J18" i="12"/>
  <c r="J17" i="12"/>
  <c r="J10" i="12"/>
  <c r="J14" i="12"/>
  <c r="J8" i="12"/>
  <c r="F16" i="12"/>
  <c r="F17" i="12"/>
  <c r="F14" i="12"/>
  <c r="G14" i="12" s="1"/>
  <c r="G6" i="12"/>
  <c r="J44" i="11"/>
  <c r="K44" i="11" s="1"/>
  <c r="K45" i="11" s="1"/>
  <c r="G72" i="2" s="1"/>
  <c r="H72" i="2" s="1"/>
  <c r="J55" i="11"/>
  <c r="K55" i="11" s="1"/>
  <c r="J56" i="11"/>
  <c r="K56" i="11" s="1"/>
  <c r="J54" i="11"/>
  <c r="K54" i="11" s="1"/>
  <c r="J49" i="11"/>
  <c r="K49" i="11" s="1"/>
  <c r="K50" i="11" s="1"/>
  <c r="G73" i="2" s="1"/>
  <c r="H73" i="2" s="1"/>
  <c r="J30" i="11"/>
  <c r="K30" i="11" s="1"/>
  <c r="J31" i="11"/>
  <c r="K31" i="11" s="1"/>
  <c r="J32" i="11"/>
  <c r="K32" i="11" s="1"/>
  <c r="J33" i="11"/>
  <c r="K33" i="11" s="1"/>
  <c r="J34" i="11"/>
  <c r="K34" i="11" s="1"/>
  <c r="J35" i="11"/>
  <c r="K35" i="11" s="1"/>
  <c r="J36" i="11"/>
  <c r="K36" i="11" s="1"/>
  <c r="J37" i="11"/>
  <c r="K37" i="11" s="1"/>
  <c r="J38" i="11"/>
  <c r="K38" i="11" s="1"/>
  <c r="J39" i="11"/>
  <c r="K39" i="11" s="1"/>
  <c r="J29" i="11"/>
  <c r="K29" i="11" s="1"/>
  <c r="J20" i="11"/>
  <c r="K20" i="11" s="1"/>
  <c r="J21" i="11"/>
  <c r="K21" i="11" s="1"/>
  <c r="J22" i="11"/>
  <c r="K22" i="11" s="1"/>
  <c r="J23" i="11"/>
  <c r="K23" i="11" s="1"/>
  <c r="J24" i="11"/>
  <c r="K24" i="11" s="1"/>
  <c r="J19" i="11"/>
  <c r="K19" i="11" s="1"/>
  <c r="J14" i="11"/>
  <c r="J11" i="11"/>
  <c r="J13" i="11"/>
  <c r="J10" i="11"/>
  <c r="J9" i="11"/>
  <c r="J8" i="11"/>
  <c r="J7" i="11"/>
  <c r="J6" i="11"/>
  <c r="G14" i="11"/>
  <c r="G12" i="11"/>
  <c r="F12" i="11"/>
  <c r="G11" i="11"/>
  <c r="F11" i="11"/>
  <c r="F10" i="11"/>
  <c r="G9" i="11"/>
  <c r="F9" i="11"/>
  <c r="G8" i="11"/>
  <c r="F8" i="11"/>
  <c r="G7" i="11"/>
  <c r="F7" i="11"/>
  <c r="G6" i="11"/>
  <c r="F6" i="11"/>
  <c r="J66" i="10"/>
  <c r="K66" i="10" s="1"/>
  <c r="K67" i="10" s="1"/>
  <c r="G47" i="2" s="1"/>
  <c r="H47" i="2" s="1"/>
  <c r="J72" i="10"/>
  <c r="K72" i="10" s="1"/>
  <c r="J73" i="10"/>
  <c r="K73" i="10" s="1"/>
  <c r="J71" i="10"/>
  <c r="K71" i="10" s="1"/>
  <c r="J61" i="10"/>
  <c r="K61" i="10" s="1"/>
  <c r="K62" i="10" s="1"/>
  <c r="G46" i="2" s="1"/>
  <c r="H46" i="2" s="1"/>
  <c r="J46" i="10"/>
  <c r="J48" i="10"/>
  <c r="J49" i="10"/>
  <c r="J50" i="10"/>
  <c r="J51" i="10"/>
  <c r="K51" i="10" s="1"/>
  <c r="J52" i="10"/>
  <c r="K52" i="10" s="1"/>
  <c r="J53" i="10"/>
  <c r="K53" i="10" s="1"/>
  <c r="J54" i="10"/>
  <c r="K54" i="10" s="1"/>
  <c r="J55" i="10"/>
  <c r="K55" i="10" s="1"/>
  <c r="J56" i="10"/>
  <c r="K56" i="10" s="1"/>
  <c r="J45" i="10"/>
  <c r="J35" i="10"/>
  <c r="K35" i="10" s="1"/>
  <c r="J36" i="10"/>
  <c r="K36" i="10" s="1"/>
  <c r="J37" i="10"/>
  <c r="K37" i="10" s="1"/>
  <c r="J38" i="10"/>
  <c r="K38" i="10" s="1"/>
  <c r="J39" i="10"/>
  <c r="K39" i="10" s="1"/>
  <c r="J34" i="10"/>
  <c r="K34" i="10" s="1"/>
  <c r="K29" i="10"/>
  <c r="J27" i="10"/>
  <c r="J25" i="10"/>
  <c r="K25" i="10" s="1"/>
  <c r="J21" i="10"/>
  <c r="J11" i="10"/>
  <c r="K24" i="10"/>
  <c r="J56" i="9"/>
  <c r="K56" i="9" s="1"/>
  <c r="K57" i="9" s="1"/>
  <c r="G859" i="2" s="1"/>
  <c r="H859" i="2" s="1"/>
  <c r="J67" i="9"/>
  <c r="J68" i="9"/>
  <c r="J66" i="9"/>
  <c r="J61" i="9"/>
  <c r="J43" i="9"/>
  <c r="J44" i="9"/>
  <c r="J45" i="9"/>
  <c r="J46" i="9"/>
  <c r="J47" i="9"/>
  <c r="J48" i="9"/>
  <c r="J49" i="9"/>
  <c r="J50" i="9"/>
  <c r="J51" i="9"/>
  <c r="J42" i="9"/>
  <c r="J41" i="9"/>
  <c r="J40" i="9"/>
  <c r="J31" i="9"/>
  <c r="J32" i="9"/>
  <c r="J33" i="9"/>
  <c r="J34" i="9"/>
  <c r="J35" i="9"/>
  <c r="J30" i="9"/>
  <c r="J25" i="9"/>
  <c r="J8" i="9"/>
  <c r="J13" i="9"/>
  <c r="J12" i="9"/>
  <c r="K12" i="9" s="1"/>
  <c r="J6" i="9"/>
  <c r="J7" i="9"/>
  <c r="I68" i="9"/>
  <c r="I67" i="9"/>
  <c r="I66" i="9"/>
  <c r="I35" i="9"/>
  <c r="I34" i="9"/>
  <c r="I33" i="9"/>
  <c r="I32" i="9"/>
  <c r="I31" i="9"/>
  <c r="I30" i="9"/>
  <c r="F25" i="9"/>
  <c r="G25" i="9" s="1"/>
  <c r="G40" i="9" s="1"/>
  <c r="G8" i="9"/>
  <c r="G14" i="9"/>
  <c r="G11" i="9"/>
  <c r="G7" i="9"/>
  <c r="G6" i="9"/>
  <c r="J48" i="8"/>
  <c r="J59" i="8"/>
  <c r="J60" i="8"/>
  <c r="J58" i="8"/>
  <c r="J53" i="8"/>
  <c r="J34" i="8"/>
  <c r="J35" i="8"/>
  <c r="J36" i="8"/>
  <c r="J37" i="8"/>
  <c r="J38" i="8"/>
  <c r="J39" i="8"/>
  <c r="J40" i="8"/>
  <c r="J41" i="8"/>
  <c r="J42" i="8"/>
  <c r="J43" i="8"/>
  <c r="J32" i="8"/>
  <c r="J23" i="8"/>
  <c r="J24" i="8"/>
  <c r="J25" i="8"/>
  <c r="J26" i="8"/>
  <c r="J27" i="8"/>
  <c r="J22" i="8"/>
  <c r="K16" i="8"/>
  <c r="J13" i="8"/>
  <c r="J11" i="8"/>
  <c r="J10" i="8"/>
  <c r="J9" i="8"/>
  <c r="J14" i="8"/>
  <c r="J7" i="8"/>
  <c r="J8" i="8"/>
  <c r="J6" i="8"/>
  <c r="I60" i="8"/>
  <c r="I59" i="8"/>
  <c r="I58" i="8"/>
  <c r="I27" i="8"/>
  <c r="I26" i="8"/>
  <c r="I25" i="8"/>
  <c r="I24" i="8"/>
  <c r="I23" i="8"/>
  <c r="I22" i="8"/>
  <c r="F13" i="8"/>
  <c r="G13" i="8" s="1"/>
  <c r="I41" i="8"/>
  <c r="J74" i="7"/>
  <c r="J75" i="7"/>
  <c r="J73" i="7"/>
  <c r="J68" i="7"/>
  <c r="J63" i="7"/>
  <c r="K63" i="7" s="1"/>
  <c r="K64" i="7" s="1"/>
  <c r="G20" i="2" s="1"/>
  <c r="H20" i="2" s="1"/>
  <c r="J38" i="7"/>
  <c r="J39" i="7"/>
  <c r="J40" i="7"/>
  <c r="J41" i="7"/>
  <c r="J42" i="7"/>
  <c r="J37" i="7"/>
  <c r="J29" i="7"/>
  <c r="J28" i="7"/>
  <c r="J27" i="7"/>
  <c r="K27" i="7" s="1"/>
  <c r="J30" i="7"/>
  <c r="J23" i="7"/>
  <c r="J20" i="7"/>
  <c r="J17" i="7"/>
  <c r="J16" i="7"/>
  <c r="J11" i="7"/>
  <c r="J10" i="7"/>
  <c r="J8" i="7"/>
  <c r="J13" i="7"/>
  <c r="J7" i="7"/>
  <c r="J6" i="7"/>
  <c r="I75" i="7"/>
  <c r="I74" i="7"/>
  <c r="I73" i="7"/>
  <c r="I42" i="7"/>
  <c r="I41" i="7"/>
  <c r="I40" i="7"/>
  <c r="I39" i="7"/>
  <c r="I38" i="7"/>
  <c r="I37" i="7"/>
  <c r="G29" i="7"/>
  <c r="F28" i="7"/>
  <c r="G28" i="7" s="1"/>
  <c r="F25" i="7"/>
  <c r="G25" i="7" s="1"/>
  <c r="F13" i="7"/>
  <c r="G13" i="7" s="1"/>
  <c r="G23" i="7"/>
  <c r="G20" i="7"/>
  <c r="G17" i="7"/>
  <c r="G16" i="7"/>
  <c r="G11" i="7"/>
  <c r="F8" i="7"/>
  <c r="G8" i="7" s="1"/>
  <c r="F7" i="7"/>
  <c r="G6" i="7"/>
  <c r="G4" i="2"/>
  <c r="H4" i="2" s="1"/>
  <c r="H11" i="2" s="1"/>
  <c r="H834" i="2"/>
  <c r="H833" i="2"/>
  <c r="H824" i="2"/>
  <c r="H825" i="2" s="1"/>
  <c r="H826" i="2" s="1"/>
  <c r="H807" i="2"/>
  <c r="H806" i="2"/>
  <c r="H797" i="2"/>
  <c r="H798" i="2" s="1"/>
  <c r="H799" i="2" s="1"/>
  <c r="H800" i="2" s="1"/>
  <c r="H781" i="2"/>
  <c r="H780" i="2"/>
  <c r="H771" i="2"/>
  <c r="H772" i="2" s="1"/>
  <c r="H773" i="2" s="1"/>
  <c r="H774" i="2" s="1"/>
  <c r="H744" i="2"/>
  <c r="H745" i="2" s="1"/>
  <c r="H746" i="2" s="1"/>
  <c r="H747" i="2" s="1"/>
  <c r="H665" i="2"/>
  <c r="H666" i="2" s="1"/>
  <c r="H667" i="2" s="1"/>
  <c r="H638" i="2"/>
  <c r="H639" i="2" s="1"/>
  <c r="H640" i="2" s="1"/>
  <c r="H611" i="2"/>
  <c r="H612" i="2" s="1"/>
  <c r="H613" i="2" s="1"/>
  <c r="H585" i="2"/>
  <c r="H586" i="2" s="1"/>
  <c r="H559" i="2"/>
  <c r="H728" i="2"/>
  <c r="H727" i="2"/>
  <c r="H718" i="2"/>
  <c r="H719" i="2" s="1"/>
  <c r="H720" i="2" s="1"/>
  <c r="H721" i="2" s="1"/>
  <c r="H722" i="2" s="1"/>
  <c r="H702" i="2"/>
  <c r="H701" i="2"/>
  <c r="H692" i="2"/>
  <c r="H693" i="2" s="1"/>
  <c r="H694" i="2" s="1"/>
  <c r="H695" i="2" s="1"/>
  <c r="H696" i="2" s="1"/>
  <c r="H454" i="2"/>
  <c r="H455" i="2" s="1"/>
  <c r="H456" i="2" s="1"/>
  <c r="H457" i="2" s="1"/>
  <c r="H458" i="2" s="1"/>
  <c r="H328" i="3" s="1"/>
  <c r="H439" i="2"/>
  <c r="H438" i="2"/>
  <c r="H437" i="2"/>
  <c r="H436" i="2"/>
  <c r="H435" i="2"/>
  <c r="H434" i="2"/>
  <c r="H428" i="2"/>
  <c r="H429" i="2" s="1"/>
  <c r="H430" i="2" s="1"/>
  <c r="H431" i="2" s="1"/>
  <c r="H432" i="2" s="1"/>
  <c r="H153" i="3" s="1"/>
  <c r="H115" i="2"/>
  <c r="H116" i="2" s="1"/>
  <c r="H117" i="2" s="1"/>
  <c r="H118" i="2" s="1"/>
  <c r="H119" i="2" s="1"/>
  <c r="H10" i="3" s="1"/>
  <c r="H506" i="2"/>
  <c r="H507" i="2" s="1"/>
  <c r="H508" i="2" s="1"/>
  <c r="H509" i="2" s="1"/>
  <c r="H510" i="2" s="1"/>
  <c r="H15" i="3" s="1"/>
  <c r="H323" i="2"/>
  <c r="H324" i="2" s="1"/>
  <c r="H325" i="2" s="1"/>
  <c r="H326" i="2" s="1"/>
  <c r="H327" i="2" s="1"/>
  <c r="H148" i="3" s="1"/>
  <c r="H297" i="2"/>
  <c r="H298" i="2" s="1"/>
  <c r="H299" i="2" s="1"/>
  <c r="H300" i="2" s="1"/>
  <c r="H301" i="2" s="1"/>
  <c r="H147" i="3" s="1"/>
  <c r="H271" i="2"/>
  <c r="H272" i="2" s="1"/>
  <c r="H273" i="2" s="1"/>
  <c r="H274" i="2" s="1"/>
  <c r="H275" i="2" s="1"/>
  <c r="H245" i="2"/>
  <c r="H246" i="2" s="1"/>
  <c r="H247" i="2" s="1"/>
  <c r="H248" i="2" s="1"/>
  <c r="H249" i="2" s="1"/>
  <c r="H146" i="3" s="1"/>
  <c r="H141" i="2"/>
  <c r="H142" i="2" s="1"/>
  <c r="H143" i="2" s="1"/>
  <c r="H144" i="2" s="1"/>
  <c r="H145" i="2" s="1"/>
  <c r="H11" i="3" s="1"/>
  <c r="H219" i="2"/>
  <c r="H220" i="2" s="1"/>
  <c r="H221" i="2" s="1"/>
  <c r="H222" i="2" s="1"/>
  <c r="H223" i="2" s="1"/>
  <c r="H145" i="3" s="1"/>
  <c r="H193" i="2"/>
  <c r="H194" i="2" s="1"/>
  <c r="H195" i="2" s="1"/>
  <c r="H196" i="2" s="1"/>
  <c r="H197" i="2" s="1"/>
  <c r="H144" i="3" s="1"/>
  <c r="H89" i="2"/>
  <c r="H90" i="2" s="1"/>
  <c r="H91" i="2" s="1"/>
  <c r="H92" i="2" s="1"/>
  <c r="H93" i="2" s="1"/>
  <c r="H63" i="2"/>
  <c r="H64" i="2" s="1"/>
  <c r="H65" i="2" s="1"/>
  <c r="H66" i="2" s="1"/>
  <c r="H67" i="2" s="1"/>
  <c r="H37" i="2"/>
  <c r="H38" i="2" s="1"/>
  <c r="H39" i="2" s="1"/>
  <c r="H40" i="2" s="1"/>
  <c r="H41" i="2" s="1"/>
  <c r="H850" i="2"/>
  <c r="H851" i="2" s="1"/>
  <c r="H852" i="2" s="1"/>
  <c r="H853" i="2" s="1"/>
  <c r="H854" i="2" s="1"/>
  <c r="H325" i="3" s="1"/>
  <c r="I28" i="30" l="1"/>
  <c r="K28" i="30" s="1"/>
  <c r="G9" i="17"/>
  <c r="G29" i="17" s="1"/>
  <c r="G30" i="17"/>
  <c r="G7" i="19"/>
  <c r="G26" i="19" s="1"/>
  <c r="G28" i="19"/>
  <c r="G29" i="19" s="1"/>
  <c r="G28" i="42"/>
  <c r="I31" i="42" s="1"/>
  <c r="K31" i="42" s="1"/>
  <c r="I27" i="42"/>
  <c r="G27" i="31"/>
  <c r="G26" i="31"/>
  <c r="G7" i="7"/>
  <c r="F10" i="7"/>
  <c r="I24" i="30"/>
  <c r="K24" i="30" s="1"/>
  <c r="I30" i="30"/>
  <c r="K30" i="30" s="1"/>
  <c r="I26" i="42"/>
  <c r="K26" i="42" s="1"/>
  <c r="G19" i="36"/>
  <c r="G18" i="36"/>
  <c r="G17" i="36"/>
  <c r="G26" i="26"/>
  <c r="G25" i="26"/>
  <c r="I25" i="26" s="1"/>
  <c r="G24" i="26"/>
  <c r="G23" i="26"/>
  <c r="K6" i="26"/>
  <c r="I29" i="30"/>
  <c r="K29" i="30" s="1"/>
  <c r="I27" i="30"/>
  <c r="K27" i="30" s="1"/>
  <c r="I25" i="42"/>
  <c r="K25" i="42" s="1"/>
  <c r="K67" i="9"/>
  <c r="K17" i="7"/>
  <c r="H33" i="3"/>
  <c r="K32" i="18"/>
  <c r="K37" i="18"/>
  <c r="K38" i="18"/>
  <c r="K39" i="18"/>
  <c r="K33" i="18"/>
  <c r="K30" i="18"/>
  <c r="K34" i="18"/>
  <c r="K35" i="18"/>
  <c r="K36" i="18"/>
  <c r="I32" i="14"/>
  <c r="K32" i="14" s="1"/>
  <c r="I33" i="14"/>
  <c r="K33" i="14" s="1"/>
  <c r="I34" i="14"/>
  <c r="K34" i="14" s="1"/>
  <c r="I31" i="14"/>
  <c r="K31" i="14" s="1"/>
  <c r="I27" i="14"/>
  <c r="K27" i="14" s="1"/>
  <c r="I35" i="14"/>
  <c r="K35" i="14" s="1"/>
  <c r="I28" i="14"/>
  <c r="K28" i="14" s="1"/>
  <c r="I36" i="14"/>
  <c r="K36" i="14" s="1"/>
  <c r="I29" i="14"/>
  <c r="K29" i="14" s="1"/>
  <c r="I26" i="14"/>
  <c r="K26" i="14" s="1"/>
  <c r="I30" i="14"/>
  <c r="K30" i="14" s="1"/>
  <c r="I17" i="37"/>
  <c r="I19" i="37"/>
  <c r="K19" i="37" s="1"/>
  <c r="I18" i="37"/>
  <c r="K18" i="37" s="1"/>
  <c r="I20" i="37"/>
  <c r="K20" i="37" s="1"/>
  <c r="I21" i="37"/>
  <c r="K21" i="37" s="1"/>
  <c r="I22" i="37"/>
  <c r="K22" i="37" s="1"/>
  <c r="K41" i="10"/>
  <c r="H331" i="3"/>
  <c r="H157" i="3"/>
  <c r="K9" i="31"/>
  <c r="K10" i="31" s="1"/>
  <c r="G724" i="2" s="1"/>
  <c r="H724" i="2" s="1"/>
  <c r="K15" i="18"/>
  <c r="K10" i="18"/>
  <c r="K8" i="42"/>
  <c r="K54" i="19"/>
  <c r="G13" i="9"/>
  <c r="G41" i="9" s="1"/>
  <c r="G43" i="9"/>
  <c r="K7" i="19"/>
  <c r="K27" i="42"/>
  <c r="K6" i="28"/>
  <c r="K6" i="18"/>
  <c r="K73" i="7"/>
  <c r="K12" i="18"/>
  <c r="K16" i="7"/>
  <c r="K8" i="11"/>
  <c r="G6" i="17"/>
  <c r="K6" i="17" s="1"/>
  <c r="F13" i="17"/>
  <c r="G13" i="17" s="1"/>
  <c r="G28" i="17" s="1"/>
  <c r="G17" i="12"/>
  <c r="K17" i="12" s="1"/>
  <c r="F18" i="12"/>
  <c r="G35" i="12" s="1"/>
  <c r="G8" i="12"/>
  <c r="H12" i="2"/>
  <c r="H13" i="2" s="1"/>
  <c r="H14" i="2" s="1"/>
  <c r="H15" i="2" s="1"/>
  <c r="K25" i="9"/>
  <c r="K6" i="9"/>
  <c r="K30" i="9"/>
  <c r="K14" i="9"/>
  <c r="K35" i="9"/>
  <c r="K34" i="9"/>
  <c r="K20" i="7"/>
  <c r="K8" i="7"/>
  <c r="H154" i="3"/>
  <c r="H13" i="3"/>
  <c r="H8" i="3"/>
  <c r="G10" i="44"/>
  <c r="G78" i="44"/>
  <c r="G16" i="44"/>
  <c r="G141" i="44"/>
  <c r="G91" i="44"/>
  <c r="G29" i="44"/>
  <c r="H748" i="2"/>
  <c r="H28" i="3" s="1"/>
  <c r="G21" i="44"/>
  <c r="G83" i="44"/>
  <c r="H587" i="2"/>
  <c r="H588" i="2" s="1"/>
  <c r="H589" i="2" s="1"/>
  <c r="G79" i="44"/>
  <c r="G17" i="44"/>
  <c r="G93" i="44"/>
  <c r="G31" i="44"/>
  <c r="H19" i="3"/>
  <c r="G96" i="44"/>
  <c r="G34" i="44"/>
  <c r="H775" i="2"/>
  <c r="H30" i="3" s="1"/>
  <c r="G22" i="44"/>
  <c r="G84" i="44"/>
  <c r="G80" i="44"/>
  <c r="G18" i="44"/>
  <c r="G23" i="44"/>
  <c r="G85" i="44"/>
  <c r="H614" i="2"/>
  <c r="H615" i="2" s="1"/>
  <c r="H827" i="2"/>
  <c r="H828" i="2" s="1"/>
  <c r="H340" i="3" s="1"/>
  <c r="H9" i="3"/>
  <c r="G12" i="44"/>
  <c r="G86" i="44"/>
  <c r="G24" i="44"/>
  <c r="G139" i="44"/>
  <c r="G89" i="44"/>
  <c r="G27" i="44"/>
  <c r="H18" i="3"/>
  <c r="G95" i="44"/>
  <c r="G33" i="44"/>
  <c r="H641" i="2"/>
  <c r="H642" i="2" s="1"/>
  <c r="H337" i="3" s="1"/>
  <c r="G14" i="44"/>
  <c r="G76" i="44"/>
  <c r="G81" i="44"/>
  <c r="G19" i="44"/>
  <c r="G138" i="44"/>
  <c r="G88" i="44"/>
  <c r="G26" i="44"/>
  <c r="H560" i="2"/>
  <c r="H561" i="2" s="1"/>
  <c r="H562" i="2" s="1"/>
  <c r="H563" i="2" s="1"/>
  <c r="H21" i="3" s="1"/>
  <c r="H668" i="2"/>
  <c r="H669" i="2" s="1"/>
  <c r="H338" i="3" s="1"/>
  <c r="H801" i="2"/>
  <c r="H31" i="3" s="1"/>
  <c r="G9" i="44"/>
  <c r="G136" i="44"/>
  <c r="G15" i="44"/>
  <c r="G77" i="44"/>
  <c r="G20" i="44"/>
  <c r="G82" i="44"/>
  <c r="G140" i="44"/>
  <c r="G90" i="44"/>
  <c r="G28" i="44"/>
  <c r="I43" i="8"/>
  <c r="K43" i="8" s="1"/>
  <c r="I38" i="8"/>
  <c r="K38" i="8" s="1"/>
  <c r="I35" i="8"/>
  <c r="K35" i="8" s="1"/>
  <c r="I34" i="8"/>
  <c r="K34" i="8" s="1"/>
  <c r="I42" i="8"/>
  <c r="K42" i="8" s="1"/>
  <c r="I36" i="8"/>
  <c r="K36" i="8" s="1"/>
  <c r="I37" i="8"/>
  <c r="K37" i="8" s="1"/>
  <c r="I39" i="8"/>
  <c r="K39" i="8" s="1"/>
  <c r="I40" i="8"/>
  <c r="K40" i="8" s="1"/>
  <c r="I32" i="8"/>
  <c r="K32" i="8" s="1"/>
  <c r="G19" i="13"/>
  <c r="K26" i="8"/>
  <c r="K60" i="8"/>
  <c r="K11" i="8"/>
  <c r="K11" i="7"/>
  <c r="K25" i="7"/>
  <c r="K13" i="7"/>
  <c r="G11" i="44"/>
  <c r="G16" i="12"/>
  <c r="K16" i="12" s="1"/>
  <c r="K6" i="12"/>
  <c r="K19" i="12"/>
  <c r="G98" i="44"/>
  <c r="G36" i="44"/>
  <c r="G97" i="44"/>
  <c r="G35" i="44"/>
  <c r="K8" i="40"/>
  <c r="G803" i="2" s="1"/>
  <c r="H803" i="2" s="1"/>
  <c r="H809" i="2" s="1"/>
  <c r="H810" i="2" s="1"/>
  <c r="K25" i="8"/>
  <c r="K58" i="8"/>
  <c r="K75" i="7"/>
  <c r="K28" i="7"/>
  <c r="K7" i="8"/>
  <c r="K61" i="9"/>
  <c r="K62" i="9" s="1"/>
  <c r="G860" i="2" s="1"/>
  <c r="H860" i="2" s="1"/>
  <c r="G6" i="19"/>
  <c r="K6" i="19" s="1"/>
  <c r="K23" i="7"/>
  <c r="K6" i="7"/>
  <c r="F13" i="11"/>
  <c r="G13" i="11" s="1"/>
  <c r="K10" i="17"/>
  <c r="K41" i="7"/>
  <c r="K33" i="9"/>
  <c r="K40" i="7"/>
  <c r="G10" i="8"/>
  <c r="K10" i="8" s="1"/>
  <c r="K68" i="9"/>
  <c r="K10" i="41"/>
  <c r="K74" i="7"/>
  <c r="K22" i="8"/>
  <c r="K10" i="30"/>
  <c r="G698" i="2" s="1"/>
  <c r="H698" i="2" s="1"/>
  <c r="K37" i="7"/>
  <c r="G6" i="13"/>
  <c r="K6" i="13" s="1"/>
  <c r="K8" i="17"/>
  <c r="K35" i="32"/>
  <c r="K8" i="26"/>
  <c r="K26" i="27"/>
  <c r="K22" i="14"/>
  <c r="G226" i="2" s="1"/>
  <c r="H226" i="2" s="1"/>
  <c r="K62" i="12"/>
  <c r="G100" i="2" s="1"/>
  <c r="H100" i="2" s="1"/>
  <c r="K7" i="7"/>
  <c r="K42" i="7"/>
  <c r="K7" i="16"/>
  <c r="K6" i="33"/>
  <c r="K7" i="33" s="1"/>
  <c r="G565" i="2" s="1"/>
  <c r="H565" i="2" s="1"/>
  <c r="K12" i="11"/>
  <c r="K31" i="9"/>
  <c r="G308" i="2"/>
  <c r="H308" i="2" s="1"/>
  <c r="K32" i="9"/>
  <c r="G6" i="27"/>
  <c r="K6" i="27" s="1"/>
  <c r="K68" i="7"/>
  <c r="K69" i="7" s="1"/>
  <c r="G21" i="2" s="1"/>
  <c r="H21" i="2" s="1"/>
  <c r="K59" i="8"/>
  <c r="K10" i="19"/>
  <c r="K21" i="20"/>
  <c r="G330" i="2" s="1"/>
  <c r="H330" i="2" s="1"/>
  <c r="K11" i="11"/>
  <c r="K24" i="8"/>
  <c r="K11" i="18"/>
  <c r="K7" i="27"/>
  <c r="K27" i="28"/>
  <c r="G884" i="2" s="1"/>
  <c r="H884" i="2" s="1"/>
  <c r="G8" i="19"/>
  <c r="K8" i="19" s="1"/>
  <c r="K39" i="7"/>
  <c r="K6" i="16"/>
  <c r="K23" i="8"/>
  <c r="K8" i="9"/>
  <c r="K66" i="9"/>
  <c r="K10" i="32"/>
  <c r="K29" i="7"/>
  <c r="F18" i="9"/>
  <c r="G18" i="9" s="1"/>
  <c r="K18" i="9" s="1"/>
  <c r="G18" i="12"/>
  <c r="K18" i="12" s="1"/>
  <c r="K30" i="12"/>
  <c r="G96" i="2" s="1"/>
  <c r="H96" i="2" s="1"/>
  <c r="K8" i="28"/>
  <c r="K11" i="10"/>
  <c r="K21" i="10"/>
  <c r="K6" i="10"/>
  <c r="H440" i="2"/>
  <c r="H441" i="2" s="1"/>
  <c r="H442" i="2" s="1"/>
  <c r="G153" i="3" s="1"/>
  <c r="I153" i="3" s="1"/>
  <c r="K42" i="33"/>
  <c r="G570" i="2" s="1"/>
  <c r="H570" i="2" s="1"/>
  <c r="K13" i="33"/>
  <c r="G566" i="2" s="1"/>
  <c r="H566" i="2" s="1"/>
  <c r="K13" i="34"/>
  <c r="G592" i="2" s="1"/>
  <c r="H592" i="2" s="1"/>
  <c r="K13" i="37"/>
  <c r="G672" i="2" s="1"/>
  <c r="H672" i="2" s="1"/>
  <c r="K40" i="37"/>
  <c r="G676" i="2" s="1"/>
  <c r="H676" i="2" s="1"/>
  <c r="K41" i="38"/>
  <c r="G755" i="2" s="1"/>
  <c r="H755" i="2" s="1"/>
  <c r="K41" i="34"/>
  <c r="G596" i="2" s="1"/>
  <c r="H596" i="2" s="1"/>
  <c r="K40" i="35"/>
  <c r="G622" i="2" s="1"/>
  <c r="H622" i="2" s="1"/>
  <c r="K40" i="36"/>
  <c r="G649" i="2" s="1"/>
  <c r="H649" i="2" s="1"/>
  <c r="K6" i="38"/>
  <c r="K7" i="38" s="1"/>
  <c r="G750" i="2" s="1"/>
  <c r="H750" i="2" s="1"/>
  <c r="K53" i="8"/>
  <c r="K54" i="8" s="1"/>
  <c r="G177" i="2" s="1"/>
  <c r="H177" i="2" s="1"/>
  <c r="K48" i="8"/>
  <c r="K49" i="8" s="1"/>
  <c r="G176" i="2" s="1"/>
  <c r="H176" i="2" s="1"/>
  <c r="K17" i="34"/>
  <c r="K13" i="38"/>
  <c r="G751" i="2" s="1"/>
  <c r="H751" i="2" s="1"/>
  <c r="K44" i="28"/>
  <c r="G887" i="2" s="1"/>
  <c r="H887" i="2" s="1"/>
  <c r="K19" i="28"/>
  <c r="G883" i="2" s="1"/>
  <c r="H883" i="2" s="1"/>
  <c r="K43" i="27"/>
  <c r="K18" i="27"/>
  <c r="K44" i="26"/>
  <c r="G465" i="2" s="1"/>
  <c r="H465" i="2" s="1"/>
  <c r="K19" i="26"/>
  <c r="G461" i="2" s="1"/>
  <c r="H461" i="2" s="1"/>
  <c r="K54" i="23"/>
  <c r="K22" i="23"/>
  <c r="H126" i="2"/>
  <c r="H122" i="2"/>
  <c r="K43" i="21"/>
  <c r="G517" i="2" s="1"/>
  <c r="H517" i="2" s="1"/>
  <c r="K26" i="21"/>
  <c r="G514" i="2" s="1"/>
  <c r="H514" i="2" s="1"/>
  <c r="K18" i="21"/>
  <c r="G513" i="2" s="1"/>
  <c r="H513" i="2" s="1"/>
  <c r="K8" i="21"/>
  <c r="G512" i="2" s="1"/>
  <c r="K54" i="20"/>
  <c r="G334" i="2" s="1"/>
  <c r="H334" i="2" s="1"/>
  <c r="K6" i="20"/>
  <c r="K11" i="20" s="1"/>
  <c r="K21" i="19"/>
  <c r="G304" i="2" s="1"/>
  <c r="H304" i="2" s="1"/>
  <c r="G17" i="38"/>
  <c r="K13" i="36"/>
  <c r="G645" i="2" s="1"/>
  <c r="H645" i="2" s="1"/>
  <c r="K13" i="35"/>
  <c r="G618" i="2" s="1"/>
  <c r="H618" i="2" s="1"/>
  <c r="K18" i="34"/>
  <c r="K57" i="18"/>
  <c r="G282" i="2" s="1"/>
  <c r="H282" i="2" s="1"/>
  <c r="K26" i="18"/>
  <c r="G278" i="2" s="1"/>
  <c r="H278" i="2" s="1"/>
  <c r="K57" i="17"/>
  <c r="G256" i="2" s="1"/>
  <c r="H256" i="2" s="1"/>
  <c r="K24" i="17"/>
  <c r="G252" i="2" s="1"/>
  <c r="H252" i="2" s="1"/>
  <c r="K9" i="17"/>
  <c r="K7" i="17"/>
  <c r="K19" i="16"/>
  <c r="G148" i="2" s="1"/>
  <c r="H148" i="2" s="1"/>
  <c r="K51" i="16"/>
  <c r="G152" i="2" s="1"/>
  <c r="H152" i="2" s="1"/>
  <c r="K23" i="16"/>
  <c r="K54" i="14"/>
  <c r="G230" i="2" s="1"/>
  <c r="H230" i="2" s="1"/>
  <c r="K6" i="14"/>
  <c r="K62" i="13"/>
  <c r="G204" i="2" s="1"/>
  <c r="H204" i="2" s="1"/>
  <c r="K12" i="13"/>
  <c r="K30" i="13"/>
  <c r="G200" i="2" s="1"/>
  <c r="H200" i="2" s="1"/>
  <c r="K14" i="12"/>
  <c r="K8" i="12"/>
  <c r="G10" i="12"/>
  <c r="K10" i="12" s="1"/>
  <c r="K57" i="11"/>
  <c r="G74" i="2" s="1"/>
  <c r="H74" i="2" s="1"/>
  <c r="K40" i="11"/>
  <c r="G71" i="2" s="1"/>
  <c r="H71" i="2" s="1"/>
  <c r="K25" i="11"/>
  <c r="G70" i="2" s="1"/>
  <c r="H70" i="2" s="1"/>
  <c r="K7" i="11"/>
  <c r="K9" i="11"/>
  <c r="K14" i="11"/>
  <c r="K6" i="11"/>
  <c r="G10" i="11"/>
  <c r="K10" i="11" s="1"/>
  <c r="K74" i="10"/>
  <c r="K45" i="10"/>
  <c r="K27" i="10"/>
  <c r="K48" i="10"/>
  <c r="K46" i="10"/>
  <c r="K7" i="9"/>
  <c r="K11" i="9"/>
  <c r="K41" i="8"/>
  <c r="K27" i="8"/>
  <c r="K13" i="8"/>
  <c r="K9" i="8"/>
  <c r="K6" i="8"/>
  <c r="K14" i="8"/>
  <c r="K8" i="8"/>
  <c r="K38" i="7"/>
  <c r="K35" i="30" l="1"/>
  <c r="G700" i="2" s="1"/>
  <c r="H700" i="2" s="1"/>
  <c r="I18" i="36"/>
  <c r="K18" i="36" s="1"/>
  <c r="I33" i="42"/>
  <c r="K33" i="42" s="1"/>
  <c r="I29" i="42"/>
  <c r="K29" i="42" s="1"/>
  <c r="I32" i="42"/>
  <c r="K32" i="42" s="1"/>
  <c r="F30" i="7"/>
  <c r="G30" i="7" s="1"/>
  <c r="G10" i="7"/>
  <c r="G28" i="31"/>
  <c r="I26" i="31" s="1"/>
  <c r="K26" i="31" s="1"/>
  <c r="G36" i="12"/>
  <c r="G37" i="12" s="1"/>
  <c r="I42" i="12" s="1"/>
  <c r="K42" i="12" s="1"/>
  <c r="G38" i="12"/>
  <c r="I26" i="26"/>
  <c r="K26" i="26" s="1"/>
  <c r="I19" i="36"/>
  <c r="K19" i="36" s="1"/>
  <c r="G19" i="38"/>
  <c r="G18" i="38"/>
  <c r="I23" i="26"/>
  <c r="K23" i="26" s="1"/>
  <c r="I30" i="31"/>
  <c r="K30" i="31" s="1"/>
  <c r="I31" i="31"/>
  <c r="K31" i="31" s="1"/>
  <c r="I28" i="42"/>
  <c r="K28" i="42" s="1"/>
  <c r="I30" i="42"/>
  <c r="K30" i="42" s="1"/>
  <c r="I24" i="26"/>
  <c r="K24" i="26" s="1"/>
  <c r="I21" i="36"/>
  <c r="K21" i="36" s="1"/>
  <c r="I22" i="36"/>
  <c r="K22" i="36" s="1"/>
  <c r="I17" i="36"/>
  <c r="K17" i="36" s="1"/>
  <c r="I20" i="36"/>
  <c r="K20" i="36" s="1"/>
  <c r="G33" i="17"/>
  <c r="G31" i="17"/>
  <c r="G32" i="17" s="1"/>
  <c r="K25" i="26"/>
  <c r="I34" i="31"/>
  <c r="K34" i="31" s="1"/>
  <c r="H159" i="3"/>
  <c r="K40" i="18"/>
  <c r="G279" i="2" s="1"/>
  <c r="H279" i="2" s="1"/>
  <c r="K11" i="42"/>
  <c r="G830" i="2" s="1"/>
  <c r="H830" i="2" s="1"/>
  <c r="K17" i="37"/>
  <c r="K23" i="37" s="1"/>
  <c r="G673" i="2" s="1"/>
  <c r="H673" i="2" s="1"/>
  <c r="H677" i="2" s="1"/>
  <c r="K37" i="14"/>
  <c r="G227" i="2" s="1"/>
  <c r="H227" i="2" s="1"/>
  <c r="K13" i="17"/>
  <c r="K14" i="17" s="1"/>
  <c r="G251" i="2" s="1"/>
  <c r="I41" i="12"/>
  <c r="K41" i="12" s="1"/>
  <c r="I39" i="12"/>
  <c r="K39" i="12" s="1"/>
  <c r="I40" i="12"/>
  <c r="K40" i="12" s="1"/>
  <c r="I43" i="12"/>
  <c r="K43" i="12" s="1"/>
  <c r="I37" i="12"/>
  <c r="K37" i="12" s="1"/>
  <c r="I38" i="12"/>
  <c r="K38" i="12" s="1"/>
  <c r="K13" i="9"/>
  <c r="K26" i="9" s="1"/>
  <c r="G856" i="2" s="1"/>
  <c r="H856" i="2" s="1"/>
  <c r="H23" i="3"/>
  <c r="H335" i="3"/>
  <c r="H25" i="3"/>
  <c r="H333" i="3"/>
  <c r="H22" i="3"/>
  <c r="H334" i="3"/>
  <c r="K16" i="18"/>
  <c r="G277" i="2" s="1"/>
  <c r="H277" i="2" s="1"/>
  <c r="K13" i="23"/>
  <c r="K11" i="19"/>
  <c r="G303" i="2" s="1"/>
  <c r="H303" i="2" s="1"/>
  <c r="K76" i="7"/>
  <c r="G22" i="2" s="1"/>
  <c r="H22" i="2" s="1"/>
  <c r="K8" i="27"/>
  <c r="K61" i="8"/>
  <c r="G178" i="2" s="1"/>
  <c r="H178" i="2" s="1"/>
  <c r="G74" i="44"/>
  <c r="G7" i="44"/>
  <c r="H7" i="3"/>
  <c r="K20" i="12"/>
  <c r="G95" i="2" s="1"/>
  <c r="K30" i="10"/>
  <c r="K69" i="9"/>
  <c r="G861" i="2" s="1"/>
  <c r="H861" i="2" s="1"/>
  <c r="H26" i="3"/>
  <c r="H164" i="3"/>
  <c r="H163" i="3"/>
  <c r="H161" i="3"/>
  <c r="H160" i="3"/>
  <c r="K9" i="26"/>
  <c r="G460" i="2" s="1"/>
  <c r="H460" i="2" s="1"/>
  <c r="G408" i="2"/>
  <c r="H408" i="2" s="1"/>
  <c r="G153" i="44"/>
  <c r="G110" i="44"/>
  <c r="G48" i="44"/>
  <c r="G147" i="44"/>
  <c r="G104" i="44"/>
  <c r="G42" i="44"/>
  <c r="G112" i="44"/>
  <c r="G155" i="44"/>
  <c r="G50" i="44"/>
  <c r="G105" i="44"/>
  <c r="G148" i="44"/>
  <c r="G43" i="44"/>
  <c r="G102" i="44"/>
  <c r="G145" i="44"/>
  <c r="G40" i="44"/>
  <c r="G113" i="44"/>
  <c r="G156" i="44"/>
  <c r="G51" i="44"/>
  <c r="G100" i="44"/>
  <c r="G143" i="44"/>
  <c r="G38" i="44"/>
  <c r="G107" i="44"/>
  <c r="G150" i="44"/>
  <c r="G45" i="44"/>
  <c r="G101" i="44"/>
  <c r="G144" i="44"/>
  <c r="G39" i="44"/>
  <c r="G152" i="44"/>
  <c r="G109" i="44"/>
  <c r="G47" i="44"/>
  <c r="K19" i="13"/>
  <c r="K20" i="13" s="1"/>
  <c r="G37" i="13"/>
  <c r="G34" i="13"/>
  <c r="K44" i="8"/>
  <c r="G175" i="2" s="1"/>
  <c r="H175" i="2" s="1"/>
  <c r="F98" i="44"/>
  <c r="H98" i="44" s="1"/>
  <c r="F36" i="44"/>
  <c r="H36" i="44" s="1"/>
  <c r="H811" i="2"/>
  <c r="G31" i="3" s="1"/>
  <c r="H704" i="2"/>
  <c r="H705" i="2" s="1"/>
  <c r="H706" i="2" s="1"/>
  <c r="F88" i="44"/>
  <c r="H88" i="44" s="1"/>
  <c r="F138" i="44"/>
  <c r="H138" i="44" s="1"/>
  <c r="F26" i="44"/>
  <c r="H26" i="44" s="1"/>
  <c r="G329" i="2"/>
  <c r="H329" i="2" s="1"/>
  <c r="K36" i="9"/>
  <c r="G857" i="2" s="1"/>
  <c r="H857" i="2" s="1"/>
  <c r="K13" i="11"/>
  <c r="K15" i="11" s="1"/>
  <c r="G69" i="2" s="1"/>
  <c r="H69" i="2" s="1"/>
  <c r="H75" i="2" s="1"/>
  <c r="H76" i="2" s="1"/>
  <c r="H77" i="2" s="1"/>
  <c r="K9" i="28"/>
  <c r="G882" i="2" s="1"/>
  <c r="H882" i="2" s="1"/>
  <c r="H888" i="2" s="1"/>
  <c r="H889" i="2" s="1"/>
  <c r="H890" i="2" s="1"/>
  <c r="G329" i="3" s="1"/>
  <c r="I329" i="3" s="1"/>
  <c r="K43" i="7"/>
  <c r="G18" i="2" s="1"/>
  <c r="H18" i="2" s="1"/>
  <c r="H443" i="2"/>
  <c r="G48" i="2"/>
  <c r="H48" i="2" s="1"/>
  <c r="K12" i="14"/>
  <c r="G225" i="2" s="1"/>
  <c r="H225" i="2" s="1"/>
  <c r="G44" i="2"/>
  <c r="H44" i="2" s="1"/>
  <c r="K28" i="8"/>
  <c r="G174" i="2" s="1"/>
  <c r="H174" i="2" s="1"/>
  <c r="K24" i="34"/>
  <c r="G593" i="2" s="1"/>
  <c r="H593" i="2" s="1"/>
  <c r="H597" i="2" s="1"/>
  <c r="H598" i="2" s="1"/>
  <c r="H599" i="2" s="1"/>
  <c r="G334" i="3" s="1"/>
  <c r="K8" i="16"/>
  <c r="K24" i="16"/>
  <c r="K50" i="10"/>
  <c r="K49" i="10"/>
  <c r="G44" i="9"/>
  <c r="K18" i="8"/>
  <c r="G173" i="2" s="1"/>
  <c r="H173" i="2" s="1"/>
  <c r="I35" i="12" l="1"/>
  <c r="K35" i="12" s="1"/>
  <c r="I34" i="12"/>
  <c r="K34" i="12" s="1"/>
  <c r="I36" i="12"/>
  <c r="K36" i="12" s="1"/>
  <c r="I44" i="12"/>
  <c r="K44" i="12" s="1"/>
  <c r="K34" i="42"/>
  <c r="G832" i="2" s="1"/>
  <c r="H832" i="2" s="1"/>
  <c r="H836" i="2" s="1"/>
  <c r="H837" i="2" s="1"/>
  <c r="H838" i="2" s="1"/>
  <c r="K23" i="36"/>
  <c r="G646" i="2" s="1"/>
  <c r="H646" i="2" s="1"/>
  <c r="H650" i="2" s="1"/>
  <c r="H651" i="2" s="1"/>
  <c r="H652" i="2" s="1"/>
  <c r="G337" i="3" s="1"/>
  <c r="I28" i="31"/>
  <c r="K28" i="31" s="1"/>
  <c r="I33" i="31"/>
  <c r="K33" i="31" s="1"/>
  <c r="I29" i="31"/>
  <c r="K29" i="31" s="1"/>
  <c r="I24" i="31"/>
  <c r="K24" i="31" s="1"/>
  <c r="G48" i="7"/>
  <c r="K10" i="7"/>
  <c r="G49" i="7"/>
  <c r="K27" i="26"/>
  <c r="G462" i="2" s="1"/>
  <c r="H462" i="2" s="1"/>
  <c r="H466" i="2" s="1"/>
  <c r="H467" i="2" s="1"/>
  <c r="H468" i="2" s="1"/>
  <c r="I25" i="31"/>
  <c r="K25" i="31" s="1"/>
  <c r="G47" i="7"/>
  <c r="K30" i="7"/>
  <c r="I27" i="31"/>
  <c r="K27" i="31" s="1"/>
  <c r="I32" i="31"/>
  <c r="K32" i="31" s="1"/>
  <c r="H283" i="2"/>
  <c r="H284" i="2" s="1"/>
  <c r="H285" i="2" s="1"/>
  <c r="G33" i="3" s="1"/>
  <c r="I35" i="23"/>
  <c r="K35" i="23" s="1"/>
  <c r="I36" i="23"/>
  <c r="K36" i="23" s="1"/>
  <c r="I26" i="23"/>
  <c r="K26" i="23" s="1"/>
  <c r="I31" i="23"/>
  <c r="K31" i="23" s="1"/>
  <c r="I32" i="23"/>
  <c r="K32" i="23" s="1"/>
  <c r="I33" i="23"/>
  <c r="K33" i="23" s="1"/>
  <c r="I34" i="23"/>
  <c r="K34" i="23" s="1"/>
  <c r="I27" i="23"/>
  <c r="K27" i="23" s="1"/>
  <c r="I28" i="23"/>
  <c r="K28" i="23" s="1"/>
  <c r="I30" i="23"/>
  <c r="K30" i="23" s="1"/>
  <c r="I29" i="23"/>
  <c r="K29" i="23" s="1"/>
  <c r="H231" i="2"/>
  <c r="H232" i="2" s="1"/>
  <c r="H233" i="2" s="1"/>
  <c r="G145" i="3" s="1"/>
  <c r="I145" i="3" s="1"/>
  <c r="I35" i="17"/>
  <c r="K35" i="17" s="1"/>
  <c r="I36" i="17"/>
  <c r="K36" i="17" s="1"/>
  <c r="I29" i="17"/>
  <c r="K29" i="17" s="1"/>
  <c r="I37" i="17"/>
  <c r="K37" i="17" s="1"/>
  <c r="I38" i="17"/>
  <c r="K38" i="17" s="1"/>
  <c r="I31" i="17"/>
  <c r="K31" i="17" s="1"/>
  <c r="I28" i="17"/>
  <c r="K28" i="17" s="1"/>
  <c r="I34" i="17"/>
  <c r="K34" i="17" s="1"/>
  <c r="I30" i="17"/>
  <c r="K30" i="17" s="1"/>
  <c r="I39" i="17"/>
  <c r="K39" i="17" s="1"/>
  <c r="I32" i="17"/>
  <c r="K32" i="17" s="1"/>
  <c r="I33" i="17"/>
  <c r="K33" i="17" s="1"/>
  <c r="K45" i="12"/>
  <c r="G97" i="2" s="1"/>
  <c r="H97" i="2" s="1"/>
  <c r="I23" i="33"/>
  <c r="K23" i="33" s="1"/>
  <c r="I24" i="33"/>
  <c r="K24" i="33" s="1"/>
  <c r="I17" i="33"/>
  <c r="K17" i="33" s="1"/>
  <c r="I18" i="33"/>
  <c r="K18" i="33" s="1"/>
  <c r="I19" i="33"/>
  <c r="K19" i="33" s="1"/>
  <c r="I20" i="33"/>
  <c r="K20" i="33" s="1"/>
  <c r="I21" i="33"/>
  <c r="K21" i="33" s="1"/>
  <c r="I22" i="33"/>
  <c r="K22" i="33" s="1"/>
  <c r="I21" i="35"/>
  <c r="K21" i="35" s="1"/>
  <c r="I18" i="35"/>
  <c r="K18" i="35" s="1"/>
  <c r="I19" i="35"/>
  <c r="K19" i="35" s="1"/>
  <c r="I20" i="35"/>
  <c r="K20" i="35" s="1"/>
  <c r="I22" i="35"/>
  <c r="K22" i="35" s="1"/>
  <c r="I17" i="35"/>
  <c r="K17" i="35" s="1"/>
  <c r="I334" i="3"/>
  <c r="G22" i="3"/>
  <c r="I22" i="3" s="1"/>
  <c r="G38" i="13"/>
  <c r="I42" i="13" s="1"/>
  <c r="K42" i="13" s="1"/>
  <c r="H891" i="2"/>
  <c r="H812" i="2"/>
  <c r="I31" i="3"/>
  <c r="G160" i="3"/>
  <c r="I160" i="3" s="1"/>
  <c r="H95" i="2"/>
  <c r="G407" i="2"/>
  <c r="H407" i="2" s="1"/>
  <c r="F141" i="44"/>
  <c r="H141" i="44" s="1"/>
  <c r="F91" i="44"/>
  <c r="H91" i="44" s="1"/>
  <c r="F29" i="44"/>
  <c r="H29" i="44" s="1"/>
  <c r="F90" i="44"/>
  <c r="H90" i="44" s="1"/>
  <c r="F140" i="44"/>
  <c r="H140" i="44" s="1"/>
  <c r="F28" i="44"/>
  <c r="H28" i="44" s="1"/>
  <c r="G18" i="3"/>
  <c r="I18" i="3" s="1"/>
  <c r="F33" i="44"/>
  <c r="H33" i="44" s="1"/>
  <c r="F156" i="44"/>
  <c r="H156" i="44" s="1"/>
  <c r="F113" i="44"/>
  <c r="H113" i="44" s="1"/>
  <c r="F51" i="44"/>
  <c r="H51" i="44" s="1"/>
  <c r="H121" i="2"/>
  <c r="G199" i="2"/>
  <c r="H199" i="2" s="1"/>
  <c r="H78" i="2"/>
  <c r="F11" i="44"/>
  <c r="H11" i="44" s="1"/>
  <c r="F97" i="44"/>
  <c r="H97" i="44" s="1"/>
  <c r="F35" i="44"/>
  <c r="H35" i="44" s="1"/>
  <c r="F110" i="44"/>
  <c r="H110" i="44" s="1"/>
  <c r="F153" i="44"/>
  <c r="H153" i="44" s="1"/>
  <c r="F48" i="44"/>
  <c r="H48" i="44" s="1"/>
  <c r="H678" i="2"/>
  <c r="H679" i="2" s="1"/>
  <c r="F101" i="44"/>
  <c r="H101" i="44" s="1"/>
  <c r="F144" i="44"/>
  <c r="H144" i="44" s="1"/>
  <c r="F39" i="44"/>
  <c r="H39" i="44" s="1"/>
  <c r="F95" i="44"/>
  <c r="H95" i="44" s="1"/>
  <c r="H707" i="2"/>
  <c r="H179" i="2"/>
  <c r="H180" i="2" s="1"/>
  <c r="H181" i="2" s="1"/>
  <c r="G142" i="3" s="1"/>
  <c r="H600" i="2"/>
  <c r="G43" i="2"/>
  <c r="H43" i="2" s="1"/>
  <c r="K9" i="16"/>
  <c r="G147" i="2" s="1"/>
  <c r="H147" i="2" s="1"/>
  <c r="K26" i="16"/>
  <c r="K25" i="16"/>
  <c r="K57" i="10"/>
  <c r="G45" i="9"/>
  <c r="F19" i="44" l="1"/>
  <c r="H19" i="44" s="1"/>
  <c r="F81" i="44"/>
  <c r="H81" i="44" s="1"/>
  <c r="H286" i="2"/>
  <c r="F89" i="44"/>
  <c r="H89" i="44" s="1"/>
  <c r="H87" i="44" s="1"/>
  <c r="F139" i="44"/>
  <c r="H139" i="44" s="1"/>
  <c r="H137" i="44" s="1"/>
  <c r="G154" i="3"/>
  <c r="I154" i="3" s="1"/>
  <c r="I152" i="3" s="1"/>
  <c r="H469" i="2"/>
  <c r="F27" i="44"/>
  <c r="H27" i="44" s="1"/>
  <c r="H25" i="44" s="1"/>
  <c r="G328" i="3"/>
  <c r="I328" i="3" s="1"/>
  <c r="G13" i="3"/>
  <c r="I13" i="3" s="1"/>
  <c r="I12" i="3" s="1"/>
  <c r="I37" i="13"/>
  <c r="K37" i="13" s="1"/>
  <c r="I34" i="13"/>
  <c r="K34" i="13" s="1"/>
  <c r="I43" i="13"/>
  <c r="K43" i="13" s="1"/>
  <c r="K33" i="7"/>
  <c r="G17" i="2" s="1"/>
  <c r="H17" i="2" s="1"/>
  <c r="I41" i="13"/>
  <c r="K41" i="13" s="1"/>
  <c r="I39" i="13"/>
  <c r="K39" i="13" s="1"/>
  <c r="G52" i="7"/>
  <c r="G50" i="7"/>
  <c r="I36" i="13"/>
  <c r="K36" i="13" s="1"/>
  <c r="I44" i="13"/>
  <c r="K44" i="13" s="1"/>
  <c r="I38" i="13"/>
  <c r="K38" i="13" s="1"/>
  <c r="K35" i="31"/>
  <c r="G726" i="2" s="1"/>
  <c r="H726" i="2" s="1"/>
  <c r="H730" i="2" s="1"/>
  <c r="H731" i="2" s="1"/>
  <c r="H732" i="2" s="1"/>
  <c r="I35" i="13"/>
  <c r="K35" i="13" s="1"/>
  <c r="I40" i="13"/>
  <c r="K40" i="13" s="1"/>
  <c r="F77" i="44"/>
  <c r="H77" i="44" s="1"/>
  <c r="F15" i="44"/>
  <c r="H15" i="44" s="1"/>
  <c r="H234" i="2"/>
  <c r="K37" i="23"/>
  <c r="G409" i="2" s="1"/>
  <c r="H409" i="2" s="1"/>
  <c r="H413" i="2" s="1"/>
  <c r="H414" i="2" s="1"/>
  <c r="H415" i="2" s="1"/>
  <c r="I33" i="3"/>
  <c r="G340" i="3"/>
  <c r="I340" i="3" s="1"/>
  <c r="K32" i="20"/>
  <c r="K25" i="20"/>
  <c r="K31" i="20"/>
  <c r="K35" i="20"/>
  <c r="K33" i="20"/>
  <c r="K26" i="20"/>
  <c r="K36" i="20"/>
  <c r="K27" i="20"/>
  <c r="K34" i="20"/>
  <c r="K40" i="17"/>
  <c r="G253" i="2" s="1"/>
  <c r="H253" i="2" s="1"/>
  <c r="H101" i="2"/>
  <c r="H102" i="2" s="1"/>
  <c r="H103" i="2" s="1"/>
  <c r="K25" i="33"/>
  <c r="G567" i="2" s="1"/>
  <c r="H567" i="2" s="1"/>
  <c r="H571" i="2" s="1"/>
  <c r="H572" i="2" s="1"/>
  <c r="H573" i="2" s="1"/>
  <c r="G21" i="3" s="1"/>
  <c r="K23" i="35"/>
  <c r="G619" i="2" s="1"/>
  <c r="H619" i="2" s="1"/>
  <c r="H623" i="2" s="1"/>
  <c r="H624" i="2" s="1"/>
  <c r="H625" i="2" s="1"/>
  <c r="G335" i="3" s="1"/>
  <c r="I23" i="38"/>
  <c r="K23" i="38" s="1"/>
  <c r="I17" i="38"/>
  <c r="K17" i="38" s="1"/>
  <c r="I18" i="38"/>
  <c r="K18" i="38" s="1"/>
  <c r="I19" i="38"/>
  <c r="K19" i="38" s="1"/>
  <c r="I20" i="38"/>
  <c r="K20" i="38" s="1"/>
  <c r="I21" i="38"/>
  <c r="K21" i="38" s="1"/>
  <c r="I22" i="38"/>
  <c r="K22" i="38" s="1"/>
  <c r="G338" i="3"/>
  <c r="I338" i="3" s="1"/>
  <c r="I337" i="3"/>
  <c r="G25" i="3"/>
  <c r="I25" i="3" s="1"/>
  <c r="I142" i="3"/>
  <c r="H680" i="2"/>
  <c r="G26" i="3"/>
  <c r="I26" i="3" s="1"/>
  <c r="G164" i="3"/>
  <c r="I164" i="3" s="1"/>
  <c r="G163" i="3"/>
  <c r="I163" i="3" s="1"/>
  <c r="F86" i="44"/>
  <c r="H86" i="44" s="1"/>
  <c r="F24" i="44"/>
  <c r="H24" i="44" s="1"/>
  <c r="F16" i="44"/>
  <c r="H16" i="44" s="1"/>
  <c r="F78" i="44"/>
  <c r="H78" i="44" s="1"/>
  <c r="F8" i="44"/>
  <c r="H8" i="44" s="1"/>
  <c r="H182" i="2"/>
  <c r="F112" i="44"/>
  <c r="H112" i="44" s="1"/>
  <c r="H111" i="44" s="1"/>
  <c r="F155" i="44"/>
  <c r="H155" i="44" s="1"/>
  <c r="H154" i="44" s="1"/>
  <c r="F50" i="44"/>
  <c r="H50" i="44" s="1"/>
  <c r="H49" i="44" s="1"/>
  <c r="H839" i="2"/>
  <c r="F105" i="44"/>
  <c r="H105" i="44" s="1"/>
  <c r="F148" i="44"/>
  <c r="H148" i="44" s="1"/>
  <c r="F43" i="44"/>
  <c r="H43" i="44" s="1"/>
  <c r="F104" i="44"/>
  <c r="H104" i="44" s="1"/>
  <c r="F147" i="44"/>
  <c r="H147" i="44" s="1"/>
  <c r="F42" i="44"/>
  <c r="H42" i="44" s="1"/>
  <c r="H653" i="2"/>
  <c r="K28" i="20"/>
  <c r="H123" i="2"/>
  <c r="H127" i="2" s="1"/>
  <c r="H128" i="2" s="1"/>
  <c r="H129" i="2" s="1"/>
  <c r="G10" i="3" s="1"/>
  <c r="I10" i="3" s="1"/>
  <c r="G45" i="2"/>
  <c r="K34" i="16"/>
  <c r="G149" i="2" s="1"/>
  <c r="H149" i="2" s="1"/>
  <c r="H153" i="2" s="1"/>
  <c r="H154" i="2" s="1"/>
  <c r="H155" i="2" s="1"/>
  <c r="G11" i="3" s="1"/>
  <c r="I11" i="3" s="1"/>
  <c r="I45" i="9"/>
  <c r="K45" i="9" s="1"/>
  <c r="I43" i="9"/>
  <c r="K43" i="9" s="1"/>
  <c r="I40" i="9"/>
  <c r="K40" i="9" s="1"/>
  <c r="I47" i="9"/>
  <c r="K47" i="9" s="1"/>
  <c r="I50" i="9"/>
  <c r="K50" i="9" s="1"/>
  <c r="I49" i="9"/>
  <c r="K49" i="9" s="1"/>
  <c r="I46" i="9"/>
  <c r="K46" i="9" s="1"/>
  <c r="I48" i="9"/>
  <c r="K48" i="9" s="1"/>
  <c r="I41" i="9"/>
  <c r="K41" i="9" s="1"/>
  <c r="I42" i="9"/>
  <c r="K42" i="9" s="1"/>
  <c r="I51" i="9"/>
  <c r="K51" i="9" s="1"/>
  <c r="I44" i="9"/>
  <c r="K44" i="9" s="1"/>
  <c r="I327" i="3" l="1"/>
  <c r="K45" i="13"/>
  <c r="G201" i="2" s="1"/>
  <c r="H201" i="2" s="1"/>
  <c r="H205" i="2" s="1"/>
  <c r="H206" i="2" s="1"/>
  <c r="H207" i="2" s="1"/>
  <c r="F14" i="44" s="1"/>
  <c r="H14" i="44" s="1"/>
  <c r="F34" i="44"/>
  <c r="H34" i="44" s="1"/>
  <c r="H32" i="44" s="1"/>
  <c r="F96" i="44"/>
  <c r="H96" i="44" s="1"/>
  <c r="H94" i="44" s="1"/>
  <c r="H734" i="2"/>
  <c r="G19" i="3"/>
  <c r="I19" i="3" s="1"/>
  <c r="G51" i="7"/>
  <c r="H416" i="2"/>
  <c r="G151" i="3"/>
  <c r="I151" i="3" s="1"/>
  <c r="G333" i="3"/>
  <c r="I333" i="3" s="1"/>
  <c r="G159" i="3"/>
  <c r="I159" i="3" s="1"/>
  <c r="I21" i="3"/>
  <c r="I339" i="3"/>
  <c r="H104" i="2"/>
  <c r="G9" i="3"/>
  <c r="I9" i="3" s="1"/>
  <c r="F12" i="44"/>
  <c r="H12" i="44" s="1"/>
  <c r="K29" i="20"/>
  <c r="K37" i="20" s="1"/>
  <c r="G331" i="2" s="1"/>
  <c r="H331" i="2" s="1"/>
  <c r="H335" i="2" s="1"/>
  <c r="H336" i="2" s="1"/>
  <c r="H337" i="2" s="1"/>
  <c r="I30" i="19"/>
  <c r="K30" i="19" s="1"/>
  <c r="I27" i="19"/>
  <c r="K27" i="19" s="1"/>
  <c r="I35" i="19"/>
  <c r="K35" i="19" s="1"/>
  <c r="I33" i="19"/>
  <c r="K33" i="19" s="1"/>
  <c r="I34" i="19"/>
  <c r="K34" i="19" s="1"/>
  <c r="I31" i="19"/>
  <c r="K31" i="19" s="1"/>
  <c r="I25" i="19"/>
  <c r="K25" i="19" s="1"/>
  <c r="I32" i="19"/>
  <c r="K32" i="19" s="1"/>
  <c r="I28" i="19"/>
  <c r="K28" i="19" s="1"/>
  <c r="I26" i="19"/>
  <c r="K26" i="19" s="1"/>
  <c r="I29" i="19"/>
  <c r="K29" i="19" s="1"/>
  <c r="I36" i="19"/>
  <c r="K36" i="19" s="1"/>
  <c r="F38" i="44"/>
  <c r="H38" i="44" s="1"/>
  <c r="H574" i="2"/>
  <c r="F100" i="44"/>
  <c r="H100" i="44" s="1"/>
  <c r="F143" i="44"/>
  <c r="H143" i="44" s="1"/>
  <c r="K24" i="38"/>
  <c r="G752" i="2" s="1"/>
  <c r="H752" i="2" s="1"/>
  <c r="H756" i="2" s="1"/>
  <c r="H757" i="2" s="1"/>
  <c r="H758" i="2" s="1"/>
  <c r="G28" i="3" s="1"/>
  <c r="I28" i="3" s="1"/>
  <c r="I335" i="3"/>
  <c r="G23" i="3"/>
  <c r="I23" i="3" s="1"/>
  <c r="I336" i="3"/>
  <c r="I32" i="3"/>
  <c r="H626" i="2"/>
  <c r="G161" i="3"/>
  <c r="I161" i="3" s="1"/>
  <c r="H45" i="2"/>
  <c r="H49" i="2" s="1"/>
  <c r="H50" i="2" s="1"/>
  <c r="H51" i="2" s="1"/>
  <c r="H103" i="44"/>
  <c r="H146" i="44"/>
  <c r="F79" i="44"/>
  <c r="H79" i="44" s="1"/>
  <c r="F17" i="44"/>
  <c r="H17" i="44" s="1"/>
  <c r="H130" i="2"/>
  <c r="F85" i="44"/>
  <c r="H85" i="44" s="1"/>
  <c r="F23" i="44"/>
  <c r="H23" i="44" s="1"/>
  <c r="H41" i="44"/>
  <c r="F102" i="44"/>
  <c r="H102" i="44" s="1"/>
  <c r="F145" i="44"/>
  <c r="H145" i="44" s="1"/>
  <c r="F40" i="44"/>
  <c r="H40" i="44" s="1"/>
  <c r="H156" i="2"/>
  <c r="K52" i="9"/>
  <c r="G858" i="2" s="1"/>
  <c r="G144" i="3" l="1"/>
  <c r="I144" i="3" s="1"/>
  <c r="F76" i="44"/>
  <c r="H76" i="44" s="1"/>
  <c r="H208" i="2"/>
  <c r="I51" i="7"/>
  <c r="K51" i="7" s="1"/>
  <c r="I47" i="7"/>
  <c r="K47" i="7" s="1"/>
  <c r="I53" i="7"/>
  <c r="K53" i="7" s="1"/>
  <c r="I55" i="7"/>
  <c r="K55" i="7" s="1"/>
  <c r="I49" i="7"/>
  <c r="K49" i="7" s="1"/>
  <c r="I58" i="7"/>
  <c r="K58" i="7" s="1"/>
  <c r="I52" i="7"/>
  <c r="K52" i="7" s="1"/>
  <c r="I54" i="7"/>
  <c r="K54" i="7" s="1"/>
  <c r="I48" i="7"/>
  <c r="K48" i="7" s="1"/>
  <c r="I17" i="3"/>
  <c r="I50" i="7"/>
  <c r="K50" i="7" s="1"/>
  <c r="I57" i="7"/>
  <c r="K57" i="7" s="1"/>
  <c r="I56" i="7"/>
  <c r="K56" i="7" s="1"/>
  <c r="I27" i="3"/>
  <c r="H37" i="44"/>
  <c r="G148" i="3"/>
  <c r="I148" i="3" s="1"/>
  <c r="H338" i="2"/>
  <c r="F21" i="44"/>
  <c r="H21" i="44" s="1"/>
  <c r="F83" i="44"/>
  <c r="H83" i="44" s="1"/>
  <c r="K37" i="19"/>
  <c r="G305" i="2" s="1"/>
  <c r="H305" i="2" s="1"/>
  <c r="H309" i="2" s="1"/>
  <c r="H310" i="2" s="1"/>
  <c r="H311" i="2" s="1"/>
  <c r="G147" i="3" s="1"/>
  <c r="I147" i="3" s="1"/>
  <c r="H99" i="44"/>
  <c r="H142" i="44"/>
  <c r="F107" i="44"/>
  <c r="H107" i="44" s="1"/>
  <c r="H106" i="44" s="1"/>
  <c r="F45" i="44"/>
  <c r="H45" i="44" s="1"/>
  <c r="H44" i="44" s="1"/>
  <c r="H759" i="2"/>
  <c r="F150" i="44"/>
  <c r="H150" i="44" s="1"/>
  <c r="H149" i="44" s="1"/>
  <c r="I332" i="3"/>
  <c r="I20" i="3"/>
  <c r="I158" i="3"/>
  <c r="I24" i="3"/>
  <c r="I162" i="3"/>
  <c r="F10" i="44"/>
  <c r="H10" i="44" s="1"/>
  <c r="H52" i="2"/>
  <c r="G8" i="3"/>
  <c r="H858" i="2"/>
  <c r="H862" i="2" s="1"/>
  <c r="H863" i="2" s="1"/>
  <c r="H864" i="2" s="1"/>
  <c r="G325" i="3" s="1"/>
  <c r="I325" i="3" s="1"/>
  <c r="H512" i="2"/>
  <c r="H518" i="2" s="1"/>
  <c r="H519" i="2" s="1"/>
  <c r="H520" i="2" s="1"/>
  <c r="G15" i="3" s="1"/>
  <c r="K59" i="7" l="1"/>
  <c r="G19" i="2" s="1"/>
  <c r="H19" i="2" s="1"/>
  <c r="H23" i="2" s="1"/>
  <c r="H24" i="2" s="1"/>
  <c r="H25" i="2" s="1"/>
  <c r="F20" i="44"/>
  <c r="H20" i="44" s="1"/>
  <c r="F82" i="44"/>
  <c r="H82" i="44" s="1"/>
  <c r="H312" i="2"/>
  <c r="G331" i="3"/>
  <c r="I331" i="3" s="1"/>
  <c r="G157" i="3"/>
  <c r="I157" i="3" s="1"/>
  <c r="I15" i="3"/>
  <c r="I8" i="3"/>
  <c r="F136" i="44"/>
  <c r="H136" i="44" s="1"/>
  <c r="H865" i="2"/>
  <c r="F9" i="44"/>
  <c r="H9" i="44" s="1"/>
  <c r="F84" i="44"/>
  <c r="H84" i="44" s="1"/>
  <c r="F22" i="44"/>
  <c r="H22" i="44" s="1"/>
  <c r="H521" i="2"/>
  <c r="H251" i="2"/>
  <c r="H257" i="2" s="1"/>
  <c r="H258" i="2" s="1"/>
  <c r="H259" i="2" s="1"/>
  <c r="G146" i="3" s="1"/>
  <c r="I146" i="3" s="1"/>
  <c r="G7" i="3" l="1"/>
  <c r="I7" i="3" s="1"/>
  <c r="F74" i="44"/>
  <c r="H74" i="44" s="1"/>
  <c r="H26" i="2"/>
  <c r="F7" i="44"/>
  <c r="H7" i="44" s="1"/>
  <c r="I330" i="3"/>
  <c r="I324" i="3" s="1"/>
  <c r="I14" i="3"/>
  <c r="F18" i="44"/>
  <c r="H18" i="44" s="1"/>
  <c r="H13" i="44" s="1"/>
  <c r="F80" i="44"/>
  <c r="H80" i="44" s="1"/>
  <c r="H75" i="44" s="1"/>
  <c r="F93" i="44"/>
  <c r="H93" i="44" s="1"/>
  <c r="H92" i="44" s="1"/>
  <c r="F31" i="44"/>
  <c r="H31" i="44" s="1"/>
  <c r="H30" i="44" s="1"/>
  <c r="H260" i="2"/>
  <c r="I323" i="3" l="1"/>
  <c r="I156" i="3"/>
  <c r="H778" i="2"/>
  <c r="H777" i="2"/>
  <c r="H783" i="2" l="1"/>
  <c r="H784" i="2" s="1"/>
  <c r="C7" i="1" l="1"/>
  <c r="H785" i="2"/>
  <c r="I143" i="3"/>
  <c r="I141" i="3" l="1"/>
  <c r="I140" i="3" s="1"/>
  <c r="H786" i="2"/>
  <c r="G30" i="3"/>
  <c r="I30" i="3" s="1"/>
  <c r="F152" i="44"/>
  <c r="H152" i="44" s="1"/>
  <c r="H151" i="44" s="1"/>
  <c r="H135" i="44" s="1"/>
  <c r="F109" i="44"/>
  <c r="H109" i="44" s="1"/>
  <c r="H108" i="44" s="1"/>
  <c r="H73" i="44" s="1"/>
  <c r="F47" i="44"/>
  <c r="H47" i="44" s="1"/>
  <c r="H46" i="44" s="1"/>
  <c r="H6" i="44" s="1"/>
  <c r="C6" i="1" l="1"/>
  <c r="I29" i="3"/>
  <c r="H5" i="44"/>
  <c r="H637" i="44" s="1"/>
  <c r="I6" i="3" l="1"/>
  <c r="I5" i="3" l="1"/>
  <c r="C5" i="1" s="1"/>
  <c r="I434" i="3" l="1"/>
  <c r="I546" i="3" s="1"/>
  <c r="C8" i="1" l="1"/>
  <c r="C13" i="1" s="1"/>
</calcChain>
</file>

<file path=xl/sharedStrings.xml><?xml version="1.0" encoding="utf-8"?>
<sst xmlns="http://schemas.openxmlformats.org/spreadsheetml/2006/main" count="14832" uniqueCount="2445">
  <si>
    <t>RESUMO  DA PLANILHA ESTIMATIVA DE REFERÊNCIA</t>
  </si>
  <si>
    <t>ITEM</t>
  </si>
  <si>
    <t>DESCRIÇÃO</t>
  </si>
  <si>
    <t>VALOR TOTAL</t>
  </si>
  <si>
    <t>INFRAESTRUTURA</t>
  </si>
  <si>
    <t>GERADORES</t>
  </si>
  <si>
    <t>PAINEL DE LED E DELAYS</t>
  </si>
  <si>
    <t>SERVIÇOS DE CAPTAÇÃO E TRANSMISSÃO DE IMAGENS</t>
  </si>
  <si>
    <t>TOTAL</t>
  </si>
  <si>
    <t>COMPOSIÇÃO DE PREÇOS UNITÁRIOS</t>
  </si>
  <si>
    <t xml:space="preserve">PALCO GRANDE PORTE COM COMPLEMENTOS (Pátio de Eventos Luiz Gonzaga) </t>
  </si>
  <si>
    <t>MÃO DE OBRA</t>
  </si>
  <si>
    <t>COMPOSIÇÃO</t>
  </si>
  <si>
    <t>UNIDADE</t>
  </si>
  <si>
    <t>QUANT</t>
  </si>
  <si>
    <t>VALOR (R$)</t>
  </si>
  <si>
    <t>TOTAL (R$)</t>
  </si>
  <si>
    <t>Encarregado</t>
  </si>
  <si>
    <t>H/H</t>
  </si>
  <si>
    <t>Montador</t>
  </si>
  <si>
    <t>Ajudante</t>
  </si>
  <si>
    <t>Carpinteiro</t>
  </si>
  <si>
    <t>Eletricista</t>
  </si>
  <si>
    <t>Vigilante</t>
  </si>
  <si>
    <t>Auxiliar de Serviços Gerais</t>
  </si>
  <si>
    <t>SUB-TOTAL</t>
  </si>
  <si>
    <t>ENCARGOS SOCIAIS</t>
  </si>
  <si>
    <t>BDI</t>
  </si>
  <si>
    <t>VALOR UNITÁRIO MÃO OBRA</t>
  </si>
  <si>
    <t>LOCAÇÃO / MATERIAL</t>
  </si>
  <si>
    <t>CPU-AX 01</t>
  </si>
  <si>
    <t>Infra-estrutura</t>
  </si>
  <si>
    <t>UD</t>
  </si>
  <si>
    <t>CPU-AX 02</t>
  </si>
  <si>
    <t>equipamentos e ferramentas</t>
  </si>
  <si>
    <t>Coef.</t>
  </si>
  <si>
    <t>CPU-AX 03</t>
  </si>
  <si>
    <t>Materias diversos( prego, arame, tinta, abraçadeiras plásticas ETC)</t>
  </si>
  <si>
    <t>LOGISTICA</t>
  </si>
  <si>
    <t>CPU-AX 04</t>
  </si>
  <si>
    <t>Refeição</t>
  </si>
  <si>
    <t>CPU-AX 05</t>
  </si>
  <si>
    <t>Hospedagem</t>
  </si>
  <si>
    <t>CPU-AX 06</t>
  </si>
  <si>
    <t xml:space="preserve">Transporte </t>
  </si>
  <si>
    <t>VALOR UNITÁRIO LOCAÇÃO</t>
  </si>
  <si>
    <t xml:space="preserve">TOTAL GERAL </t>
  </si>
  <si>
    <t xml:space="preserve">Montador </t>
  </si>
  <si>
    <t xml:space="preserve">Ajudante </t>
  </si>
  <si>
    <t>CPU-AX 07</t>
  </si>
  <si>
    <t>CPU-AX 08</t>
  </si>
  <si>
    <t>CPU-AX 09</t>
  </si>
  <si>
    <t>CPU-AX 10</t>
  </si>
  <si>
    <t>CPU-AX 11</t>
  </si>
  <si>
    <t>CPU-AX 12</t>
  </si>
  <si>
    <t>PAVILHÃO  POLO ALTO DO MOURA</t>
  </si>
  <si>
    <t>CPU-AX 49</t>
  </si>
  <si>
    <t>CPU-AX 50</t>
  </si>
  <si>
    <t>CPU-AX 51</t>
  </si>
  <si>
    <t>CPU-AX 52</t>
  </si>
  <si>
    <t>CPU-AX 53</t>
  </si>
  <si>
    <t>CPU-AX 54</t>
  </si>
  <si>
    <t>1.3</t>
  </si>
  <si>
    <t>CPU-AX 13</t>
  </si>
  <si>
    <t>CPU-AX 14</t>
  </si>
  <si>
    <t>Equipamentos e ferramentas</t>
  </si>
  <si>
    <t>CPU-AX 15</t>
  </si>
  <si>
    <t>CPU-AX 16</t>
  </si>
  <si>
    <t>CPU-AX 17</t>
  </si>
  <si>
    <t>CPU-AX 18</t>
  </si>
  <si>
    <t>CAMAROTE B</t>
  </si>
  <si>
    <t>CPU-AX 67</t>
  </si>
  <si>
    <t>CPU-AX 68</t>
  </si>
  <si>
    <t>CPU-AX 69</t>
  </si>
  <si>
    <t>CPU-AX 70</t>
  </si>
  <si>
    <t>CPU-AX 71</t>
  </si>
  <si>
    <t>CPU-AX 72</t>
  </si>
  <si>
    <t>PAVILHÃO IGREJA CENOGRÁFICA</t>
  </si>
  <si>
    <t>CPU-AX 37</t>
  </si>
  <si>
    <t>CPU-AX 38</t>
  </si>
  <si>
    <t>CPU-AX 39</t>
  </si>
  <si>
    <t>CPU-AX 40</t>
  </si>
  <si>
    <t>CPU-AX 41</t>
  </si>
  <si>
    <t>CPU-AX 42</t>
  </si>
  <si>
    <t>CPU-AX 43</t>
  </si>
  <si>
    <t>CPU-AX 44</t>
  </si>
  <si>
    <t>CPU-AX 45</t>
  </si>
  <si>
    <t>CPU-AX 46</t>
  </si>
  <si>
    <t>CPU-AX 47</t>
  </si>
  <si>
    <t>CPU-AX 48</t>
  </si>
  <si>
    <t>PAVILHÃO  MERCADO DE ARETESANATO</t>
  </si>
  <si>
    <t>PAVILHÃO  MERCADO CRIATIVO</t>
  </si>
  <si>
    <t>1.7.9</t>
  </si>
  <si>
    <t>COMBOIO DA CULTURA</t>
  </si>
  <si>
    <t>1.8</t>
  </si>
  <si>
    <t>CPU-AX 31</t>
  </si>
  <si>
    <t>CPU-AX 32</t>
  </si>
  <si>
    <t>CPU-AX 33</t>
  </si>
  <si>
    <t>CPU-AX 34</t>
  </si>
  <si>
    <t>CPU-AX 35</t>
  </si>
  <si>
    <t>CPU-AX 36</t>
  </si>
  <si>
    <t>1.9</t>
  </si>
  <si>
    <t>POLO JUAREZ SANTIAGO</t>
  </si>
  <si>
    <t>1.10</t>
  </si>
  <si>
    <t>PORTICOS</t>
  </si>
  <si>
    <t>1.10.1</t>
  </si>
  <si>
    <t>CPU-AX 109</t>
  </si>
  <si>
    <t>CPU-AX 110</t>
  </si>
  <si>
    <t>CPU-AX 111</t>
  </si>
  <si>
    <t>CPU-AX 112</t>
  </si>
  <si>
    <t>CPU-AX 113</t>
  </si>
  <si>
    <t>CPU-AX 114</t>
  </si>
  <si>
    <t>1.10.2</t>
  </si>
  <si>
    <t>CPU-AX 115</t>
  </si>
  <si>
    <t>CPU-AX 116</t>
  </si>
  <si>
    <t>CPU-AX 117</t>
  </si>
  <si>
    <t>CPU-AX 118</t>
  </si>
  <si>
    <t>CPU-AX 119</t>
  </si>
  <si>
    <t>CPU-AX 120</t>
  </si>
  <si>
    <t>1.10.3</t>
  </si>
  <si>
    <t>CPU-AX 121</t>
  </si>
  <si>
    <t>CPU-AX 122</t>
  </si>
  <si>
    <t>CPU-AX 123</t>
  </si>
  <si>
    <t>CPU-AX 124</t>
  </si>
  <si>
    <t>CPU-AX 125</t>
  </si>
  <si>
    <t>CPU-AX 126</t>
  </si>
  <si>
    <t>1.10.4</t>
  </si>
  <si>
    <t>CPU-AX 127</t>
  </si>
  <si>
    <t>CPU-AX 128</t>
  </si>
  <si>
    <t>CPU-AX 129</t>
  </si>
  <si>
    <t>CPU-AX 130</t>
  </si>
  <si>
    <t>CPU-AX 131</t>
  </si>
  <si>
    <t>CPU-AX 132</t>
  </si>
  <si>
    <t>1.11</t>
  </si>
  <si>
    <t>TORRE TIPO I</t>
  </si>
  <si>
    <t>1.12</t>
  </si>
  <si>
    <t>PASSARELAS</t>
  </si>
  <si>
    <t>1.12.1</t>
  </si>
  <si>
    <t>PASSARELA TIPO I</t>
  </si>
  <si>
    <t>CPU-AX 133</t>
  </si>
  <si>
    <t>CPU-AX 134</t>
  </si>
  <si>
    <t>CPU-AX 135</t>
  </si>
  <si>
    <t>CPU-AX 136</t>
  </si>
  <si>
    <t>CPU-AX 137</t>
  </si>
  <si>
    <t>CPU-AX 138</t>
  </si>
  <si>
    <t>1.7.2</t>
  </si>
  <si>
    <t>PASSARELA TIPO II</t>
  </si>
  <si>
    <t>CPU-AX 139</t>
  </si>
  <si>
    <t>CPU-AX 140</t>
  </si>
  <si>
    <t>CPU-AX 141</t>
  </si>
  <si>
    <t>CPU-AX 142</t>
  </si>
  <si>
    <t>CPU-AX 143</t>
  </si>
  <si>
    <t>CPU-AX 144</t>
  </si>
  <si>
    <t>1.7.3</t>
  </si>
  <si>
    <t>CPU-AX 145</t>
  </si>
  <si>
    <t>CPU-AX 146</t>
  </si>
  <si>
    <t>CPU-AX 147</t>
  </si>
  <si>
    <t>CPU-AX 148</t>
  </si>
  <si>
    <t>CPU-AX 149</t>
  </si>
  <si>
    <t>CPU-AX 150</t>
  </si>
  <si>
    <t>1.7.4</t>
  </si>
  <si>
    <t>CPU-AX 151</t>
  </si>
  <si>
    <t>CPU-AX 152</t>
  </si>
  <si>
    <t>CPU-AX 153</t>
  </si>
  <si>
    <t>CPU-AX 154</t>
  </si>
  <si>
    <t>CPU-AX 155</t>
  </si>
  <si>
    <t>CPU-AX 156</t>
  </si>
  <si>
    <t>1.13</t>
  </si>
  <si>
    <t>FECHAMENTOS/DISCIPLINADORES/BARRICADAS</t>
  </si>
  <si>
    <t>1.13.1</t>
  </si>
  <si>
    <t>FECHAMENTOS</t>
  </si>
  <si>
    <t>CPU-AX 157</t>
  </si>
  <si>
    <t>CPU-AX 158</t>
  </si>
  <si>
    <t>CPU-AX 159</t>
  </si>
  <si>
    <t>CPU-AX 160</t>
  </si>
  <si>
    <t>CPU-AX 161</t>
  </si>
  <si>
    <t>CPU-AX 162</t>
  </si>
  <si>
    <t>1.13.2</t>
  </si>
  <si>
    <t>DISCIPLINADORES</t>
  </si>
  <si>
    <t>CPU-AX 163</t>
  </si>
  <si>
    <t>CPU-AX 164</t>
  </si>
  <si>
    <t>CPU-AX 165</t>
  </si>
  <si>
    <t>CPU-AX 166</t>
  </si>
  <si>
    <t>CPU-AX 167</t>
  </si>
  <si>
    <t>CPU-AX 168</t>
  </si>
  <si>
    <t>1.13.3</t>
  </si>
  <si>
    <t>BARRICADAS</t>
  </si>
  <si>
    <t>CPU-AX 169</t>
  </si>
  <si>
    <t>CPU-AX 170</t>
  </si>
  <si>
    <t>CPU-AX 171</t>
  </si>
  <si>
    <t>CPU-AX 172</t>
  </si>
  <si>
    <t>CPU-AX 173</t>
  </si>
  <si>
    <t>CPU-AX 174</t>
  </si>
  <si>
    <t>1.14</t>
  </si>
  <si>
    <t>BARRACA_TIPO_I</t>
  </si>
  <si>
    <t>1.14.1</t>
  </si>
  <si>
    <r>
      <t>BARRACAS</t>
    </r>
    <r>
      <rPr>
        <sz val="11"/>
        <color rgb="FF000000"/>
        <rFont val="Calibri"/>
        <family val="2"/>
      </rPr>
      <t xml:space="preserve"> (2,00x2,00m)</t>
    </r>
  </si>
  <si>
    <t>CPU-AX 175</t>
  </si>
  <si>
    <t>CPU-AX 176</t>
  </si>
  <si>
    <t>CPU-AX 177</t>
  </si>
  <si>
    <t>CPU-AX 178</t>
  </si>
  <si>
    <t>CPU-AX 179</t>
  </si>
  <si>
    <t>CPU-AX 180</t>
  </si>
  <si>
    <t>BARRACA_TIPO_II</t>
  </si>
  <si>
    <t>1.14.2</t>
  </si>
  <si>
    <r>
      <t>BARRACAS</t>
    </r>
    <r>
      <rPr>
        <sz val="11"/>
        <color rgb="FF000000"/>
        <rFont val="Calibri"/>
        <family val="2"/>
      </rPr>
      <t xml:space="preserve"> (5,00x2,00m)</t>
    </r>
  </si>
  <si>
    <t>1.15</t>
  </si>
  <si>
    <t>CPU-AX 187</t>
  </si>
  <si>
    <t>CPU-AX 188</t>
  </si>
  <si>
    <t>CPU-AX 189</t>
  </si>
  <si>
    <t>CPU-AX 190</t>
  </si>
  <si>
    <t>CPU-AX 191</t>
  </si>
  <si>
    <t>CPU-AX 192</t>
  </si>
  <si>
    <t>1.16</t>
  </si>
  <si>
    <t>TOLDOS</t>
  </si>
  <si>
    <t>1.16.1</t>
  </si>
  <si>
    <t>CPU-AX 199</t>
  </si>
  <si>
    <t>CPU-AX 200</t>
  </si>
  <si>
    <t>CPU-AX 201</t>
  </si>
  <si>
    <t>CPU-AX 202</t>
  </si>
  <si>
    <t>CPU-AX 203</t>
  </si>
  <si>
    <t>CPU-AX 204</t>
  </si>
  <si>
    <t>1.16.2</t>
  </si>
  <si>
    <t>1.17</t>
  </si>
  <si>
    <t>ESTANDES</t>
  </si>
  <si>
    <t>1.17.1</t>
  </si>
  <si>
    <t>ESTANDE TIPO I - COI</t>
  </si>
  <si>
    <t>CPU-AX 205</t>
  </si>
  <si>
    <t>CPU-AX 206</t>
  </si>
  <si>
    <t>CPU-AX 207</t>
  </si>
  <si>
    <t>CPU-AX 208</t>
  </si>
  <si>
    <t>CPU-AX 209</t>
  </si>
  <si>
    <t>CPU-AX 210</t>
  </si>
  <si>
    <t>1.17.2</t>
  </si>
  <si>
    <t>CPU-AX 211</t>
  </si>
  <si>
    <t>CPU-AX 212</t>
  </si>
  <si>
    <t>CPU-AX 213</t>
  </si>
  <si>
    <t>CPU-AX 214</t>
  </si>
  <si>
    <t>CPU-AX 215</t>
  </si>
  <si>
    <t>CPU-AX 216</t>
  </si>
  <si>
    <t>PLANILHA ESTIMATIVA DE REFERÊNCIA</t>
  </si>
  <si>
    <t>REFERÊNCIA</t>
  </si>
  <si>
    <t>LOCAÇÃO</t>
  </si>
  <si>
    <t>M.OBRA</t>
  </si>
  <si>
    <t xml:space="preserve">VALOR TOTAL </t>
  </si>
  <si>
    <t>1.</t>
  </si>
  <si>
    <t>1.1</t>
  </si>
  <si>
    <t>PALCO GRANDE PORTE COM COMPLEMENTOS</t>
  </si>
  <si>
    <t>MÊS</t>
  </si>
  <si>
    <t>1.2</t>
  </si>
  <si>
    <t>PALCO MÉDIO PORTE COM COMPLEMENTOS</t>
  </si>
  <si>
    <t>POLO ALTO DO MOURA</t>
  </si>
  <si>
    <t>1.4</t>
  </si>
  <si>
    <t>CAMAROTE TIPO A</t>
  </si>
  <si>
    <t>1.5</t>
  </si>
  <si>
    <t>CAMAROTE TIPO B</t>
  </si>
  <si>
    <t>1.6</t>
  </si>
  <si>
    <t>CAMAROTE TIPO C COM RESTAURANTES</t>
  </si>
  <si>
    <t>1.7</t>
  </si>
  <si>
    <t xml:space="preserve">PAVILHÕES ESTAÇÃO FERROVIARIA </t>
  </si>
  <si>
    <t>1.7.1</t>
  </si>
  <si>
    <t>POLO MESTRE CAMARÃO</t>
  </si>
  <si>
    <t>PAVILHÃO TIPO FOOD TRUCKS</t>
  </si>
  <si>
    <t xml:space="preserve">PAVILHÃO ATIVAÇÃO </t>
  </si>
  <si>
    <t>1.7.5</t>
  </si>
  <si>
    <t>PAVILHÃO POLO DO REPENTE / CASA DO FORRÓ</t>
  </si>
  <si>
    <t>1.7.6</t>
  </si>
  <si>
    <t>PAVILHÃO POLO MONTE BOM JESUS</t>
  </si>
  <si>
    <t>1.7.7</t>
  </si>
  <si>
    <t>PAVILHÃO MERCADO DE ARTESANATO</t>
  </si>
  <si>
    <t>1.7.8</t>
  </si>
  <si>
    <t>PAVILHÃO MERCADO CRIATIVO</t>
  </si>
  <si>
    <t>PAVILHÃO QUADRILHA</t>
  </si>
  <si>
    <t>PÓRTICOS</t>
  </si>
  <si>
    <t>PÓRTICO TIPO I</t>
  </si>
  <si>
    <t>PÓRTICO TIPO II</t>
  </si>
  <si>
    <t>PÓRTICO TIPO III</t>
  </si>
  <si>
    <t>PÓRTICO TIPO IV</t>
  </si>
  <si>
    <t>TORRE DE TRANSMISSÃO DOS SHOWS</t>
  </si>
  <si>
    <t>1.11.1</t>
  </si>
  <si>
    <t>01 PASSARELA TIPO I</t>
  </si>
  <si>
    <t>1.12.2</t>
  </si>
  <si>
    <t>01 PASSARELA TIPO II</t>
  </si>
  <si>
    <t>1.12.3</t>
  </si>
  <si>
    <t>01 PASSARELA TIPO III</t>
  </si>
  <si>
    <t>1.12.4</t>
  </si>
  <si>
    <t>01 PASSARELA TIPO IV</t>
  </si>
  <si>
    <t>3.000 metros lineares de FECHAMENTO</t>
  </si>
  <si>
    <t>2.500 metros de DISCIPLINADORES</t>
  </si>
  <si>
    <t>450 metros lineares de BARRICADAS</t>
  </si>
  <si>
    <t>BARRACAS</t>
  </si>
  <si>
    <t>BARRACAS (165und - 2,00m x2,00m)</t>
  </si>
  <si>
    <t>BARRACAS (15und - 5,00m x2,00m)</t>
  </si>
  <si>
    <t>PISO</t>
  </si>
  <si>
    <t>1.15.1</t>
  </si>
  <si>
    <t>450m² de PISO</t>
  </si>
  <si>
    <t>TOLDO TIPO I</t>
  </si>
  <si>
    <t>TOLDO TIPO II</t>
  </si>
  <si>
    <t>ESTANDES TIPO I - COI</t>
  </si>
  <si>
    <t>ESTANDES TIPO II</t>
  </si>
  <si>
    <t>1.18</t>
  </si>
  <si>
    <t>MOBILIÁRIO/AMBIENTAÇÃO</t>
  </si>
  <si>
    <t>1.18.1</t>
  </si>
  <si>
    <t>Cotação</t>
  </si>
  <si>
    <t>900 CADEIRAS - PVC branco sem braços</t>
  </si>
  <si>
    <t>DIÁRIA</t>
  </si>
  <si>
    <t>1.18.2</t>
  </si>
  <si>
    <t>300 MESAS - PVC branco com 4 lugares</t>
  </si>
  <si>
    <t>1.18.3</t>
  </si>
  <si>
    <t>30 SOFÁS TIPO I - 3 lugares</t>
  </si>
  <si>
    <t>1.18.4</t>
  </si>
  <si>
    <t>30 SOFÁS TIPO II - 2 lugares</t>
  </si>
  <si>
    <t>1.18.5</t>
  </si>
  <si>
    <t>2.000 m² CARPETE</t>
  </si>
  <si>
    <t>1.19</t>
  </si>
  <si>
    <t>CABINES SANITÁRIAS</t>
  </si>
  <si>
    <t>1.19.1.</t>
  </si>
  <si>
    <t>600 CABINES SANITÁRIA TIPO I - Standard</t>
  </si>
  <si>
    <t>1.19.2.</t>
  </si>
  <si>
    <t>22 CABINES SANITÁRIA TIPO II - PNE</t>
  </si>
  <si>
    <t>1.20</t>
  </si>
  <si>
    <t xml:space="preserve"> CONTEINERS</t>
  </si>
  <si>
    <t>1.20.1</t>
  </si>
  <si>
    <t>02 CONTEINERS TIPO CAMARIM</t>
  </si>
  <si>
    <t>1.20.2</t>
  </si>
  <si>
    <t>03 CONTAINERS ESCRITÓRIO SEM BANHEIRO</t>
  </si>
  <si>
    <t>1.20.3</t>
  </si>
  <si>
    <t>03 CONTAINERS TIPO WC FEMININO</t>
  </si>
  <si>
    <t>1.20.4</t>
  </si>
  <si>
    <t>03 CONTAINERS TIPO WC MASCULINO</t>
  </si>
  <si>
    <t>1.20.5</t>
  </si>
  <si>
    <t>02 CONTAINERS TIPO WC PCD</t>
  </si>
  <si>
    <t>2.</t>
  </si>
  <si>
    <t xml:space="preserve">ELETRO-ELETRONICOS </t>
  </si>
  <si>
    <t>2.1</t>
  </si>
  <si>
    <t>SOM PÁTIO DE EVENTOS – PALCO PRINCIPAL</t>
  </si>
  <si>
    <t>2.1.1</t>
  </si>
  <si>
    <t>01 CONSOLE DIGITAL 74 CANAIS</t>
  </si>
  <si>
    <t>2.1.2</t>
  </si>
  <si>
    <t>01 CONSOLE DIGITAL 48 CANAIS</t>
  </si>
  <si>
    <t>2.1.3</t>
  </si>
  <si>
    <t>01 PROCESSADORES DIGITAL 4 CANAIS</t>
  </si>
  <si>
    <t>2.1.4</t>
  </si>
  <si>
    <t>01 PROCESSADOR DIGITAL 2 CANAIS</t>
  </si>
  <si>
    <t>2.1.5</t>
  </si>
  <si>
    <t>01 SISTEMA ANALIZADOR DE ESPECTRO</t>
  </si>
  <si>
    <t>2.1.6</t>
  </si>
  <si>
    <t>10 CANAIS DE ISOLADORES TIPO PRESS BOX</t>
  </si>
  <si>
    <t>2.1.7</t>
  </si>
  <si>
    <t>01 SISTEMA DE INTERCOMUNICAÇÃO</t>
  </si>
  <si>
    <t>2.1.8</t>
  </si>
  <si>
    <t>40 CAIXAS ACUSTICAS</t>
  </si>
  <si>
    <t>2.1.9</t>
  </si>
  <si>
    <t>2.1.10</t>
  </si>
  <si>
    <t>08 CAIXAS ACUSTICAS</t>
  </si>
  <si>
    <t>2.1.11</t>
  </si>
  <si>
    <t>BUMPER E PINAGEM</t>
  </si>
  <si>
    <t>2.1.12</t>
  </si>
  <si>
    <t>02 SISTEMAS PARA OUTFILL</t>
  </si>
  <si>
    <t>2.1.13</t>
  </si>
  <si>
    <t>06 SISTEMAS DE SOM PARA TORRES DE REPETIÇÃO</t>
  </si>
  <si>
    <t>2.1.14</t>
  </si>
  <si>
    <t>CABEAMENTO DE SINAL E AC</t>
  </si>
  <si>
    <t>2.1.15</t>
  </si>
  <si>
    <t>02 MULTICABOS DIGITAL 64</t>
  </si>
  <si>
    <t>2.1.16</t>
  </si>
  <si>
    <t>01 MULTICABO ANALOGICO 56</t>
  </si>
  <si>
    <t>2.1.17</t>
  </si>
  <si>
    <t>01 ANALIZADOR DE ESPECTRO</t>
  </si>
  <si>
    <t>2.1.18</t>
  </si>
  <si>
    <t>CABEAMENTO DE AC</t>
  </si>
  <si>
    <t>2.1.19</t>
  </si>
  <si>
    <t>18 TALHAS</t>
  </si>
  <si>
    <t>2.1.20</t>
  </si>
  <si>
    <t>60 PROTETORES DE CABOS</t>
  </si>
  <si>
    <t>2.1.21</t>
  </si>
  <si>
    <t>02 CONSOLE DIGITAL 74 CANAIS</t>
  </si>
  <si>
    <t>2.1.22</t>
  </si>
  <si>
    <t>2.1.23</t>
  </si>
  <si>
    <t>02 SIDEFILL</t>
  </si>
  <si>
    <t>2.1.24</t>
  </si>
  <si>
    <t>02 PROCESSADOR DE SISTEMA DIGITAL</t>
  </si>
  <si>
    <t>2.1.25</t>
  </si>
  <si>
    <t>02 CAIXAS ACUSTICAS (BATERIA)</t>
  </si>
  <si>
    <t>2.1.26</t>
  </si>
  <si>
    <t>04 CAIXAS ACUSTICAS 18”</t>
  </si>
  <si>
    <t>2.1.27</t>
  </si>
  <si>
    <t>24 CAIXAS ACUSTICAS TIPO MONITOR</t>
  </si>
  <si>
    <t>2.1.28</t>
  </si>
  <si>
    <t>02 SISTEMAS DE DE MONITOR COM FIO</t>
  </si>
  <si>
    <t>2.1.29</t>
  </si>
  <si>
    <t>08 SISTEMAS DE MONITOR IN-EAR</t>
  </si>
  <si>
    <t>2.1.30</t>
  </si>
  <si>
    <t>01 CONSOLE DIGITAL 32 CANAIS</t>
  </si>
  <si>
    <t>2.1.31</t>
  </si>
  <si>
    <t>08 ISOLADORES PRESSBOX</t>
  </si>
  <si>
    <t>2.1.32</t>
  </si>
  <si>
    <t>100M CABEAMENTO</t>
  </si>
  <si>
    <t>2.1.33</t>
  </si>
  <si>
    <t>90 MICROFONES DINAMICOS</t>
  </si>
  <si>
    <t>2.1.34</t>
  </si>
  <si>
    <t>26 MICROFONES CONSADORES</t>
  </si>
  <si>
    <t>2.1.35</t>
  </si>
  <si>
    <t>08 SISTEMAS DE MICROFONE SEM FIO UHF</t>
  </si>
  <si>
    <t>2.1.36</t>
  </si>
  <si>
    <t>40 DIRECT BOX</t>
  </si>
  <si>
    <t>2.1.37</t>
  </si>
  <si>
    <t>90 PEDESTAIS</t>
  </si>
  <si>
    <t>2.1.38</t>
  </si>
  <si>
    <t>300 CABOS XLR</t>
  </si>
  <si>
    <t>2.1.39</t>
  </si>
  <si>
    <t>02 MICROFONES SHOTGUN</t>
  </si>
  <si>
    <t>2.1.40</t>
  </si>
  <si>
    <t>26 GARRAS PARA MICROFONES EM INSTRUMENTOS</t>
  </si>
  <si>
    <t>2.1.41</t>
  </si>
  <si>
    <t>03 KITS DE MICROFONES DE BATERIA</t>
  </si>
  <si>
    <t>2.1.42</t>
  </si>
  <si>
    <t>01 KIT PARA DJ</t>
  </si>
  <si>
    <t>2.1.43</t>
  </si>
  <si>
    <t>02 AMPLIFICADORES VALVULADOS PARA GUITARRA</t>
  </si>
  <si>
    <t>2.1.44</t>
  </si>
  <si>
    <t>02 SISTEMAS DE AMPLIFICAÇÃO PARA GUITARRA</t>
  </si>
  <si>
    <t>2.1.45</t>
  </si>
  <si>
    <t>03 SISTEMAS DE AMPLIFICAÇÃO PARA CONTRA BAIXO</t>
  </si>
  <si>
    <t>2.1.46</t>
  </si>
  <si>
    <t>02 CAIXAS INDUSTRIALIZADAS PARA CONTRA BAIXO</t>
  </si>
  <si>
    <t>2.1.47</t>
  </si>
  <si>
    <t>01 BATERIA COMPLETA COM BUMBO DE 20’</t>
  </si>
  <si>
    <t>2.1.48</t>
  </si>
  <si>
    <t>02 BATERIAS COMPLETAS COM BUMBO DE 22’</t>
  </si>
  <si>
    <t>2.1.49</t>
  </si>
  <si>
    <t>40 PLATAFORMAS TELESCÓPICAS COM RODAS</t>
  </si>
  <si>
    <t>2.1.50</t>
  </si>
  <si>
    <t>03 PERCUSSÕES</t>
  </si>
  <si>
    <t>2.1.51</t>
  </si>
  <si>
    <t>1 INSTRUMENTO TIMBAU</t>
  </si>
  <si>
    <t>2.1.52</t>
  </si>
  <si>
    <t>1 PAR DE TIMBALES</t>
  </si>
  <si>
    <t>2.1.53</t>
  </si>
  <si>
    <t>1 PAR DE INSTRUMENTO BONGO</t>
  </si>
  <si>
    <t>2.1.54</t>
  </si>
  <si>
    <t>1 CONJUNTO DE EFEITOS SONOROS</t>
  </si>
  <si>
    <t>2.2.</t>
  </si>
  <si>
    <t>ILUMINAÇÃO DO PÁTIO DE EVENTOS</t>
  </si>
  <si>
    <t>2.2.1</t>
  </si>
  <si>
    <t>01 CONSOLE DIGITAL DE ILUMINAÇÃO 256 UNIVERSOS DMX</t>
  </si>
  <si>
    <t>2.2.2</t>
  </si>
  <si>
    <t>01 CONSOLE DIGITAL DE ILUMINAÇÃO 16 UNIVERSOS</t>
  </si>
  <si>
    <t>2.2.3</t>
  </si>
  <si>
    <t>01 CONSOLE DIGITAL DE ILUMINAÇÃO TIPO PC 6 SAÍDAS DMX</t>
  </si>
  <si>
    <t>2.2.4</t>
  </si>
  <si>
    <t>24 MOVE SPOT</t>
  </si>
  <si>
    <t>2.2.5</t>
  </si>
  <si>
    <t>48 REFLETORES PAR LED RGBW 3W</t>
  </si>
  <si>
    <t>2.2.6</t>
  </si>
  <si>
    <t>40 PAR LED 300W</t>
  </si>
  <si>
    <t>2.2.7</t>
  </si>
  <si>
    <t>26 X5 STROBO</t>
  </si>
  <si>
    <t>2.2.8</t>
  </si>
  <si>
    <t>68 MOVING HEAD BEM 9R</t>
  </si>
  <si>
    <t>2.2.9</t>
  </si>
  <si>
    <t>36 MOVING HEAD WASH LED 15W</t>
  </si>
  <si>
    <t>2.2.10</t>
  </si>
  <si>
    <t>36 P5 COLOR</t>
  </si>
  <si>
    <t>2.2.11</t>
  </si>
  <si>
    <t>24MINI-BRUTEDWE (4 LAMPADAS DE LED)</t>
  </si>
  <si>
    <t>2.2.12</t>
  </si>
  <si>
    <t>120 STRIP LED RGB1M</t>
  </si>
  <si>
    <t>2.2.13</t>
  </si>
  <si>
    <t>03 MAQUINAS DE FUMAÇA DMX 512 DE 3000 WATTS</t>
  </si>
  <si>
    <t>2.2.14</t>
  </si>
  <si>
    <t>16 SPLITTER OU BEFFER PADRÃO 19 COM 01 ENTRADA E 06 SAÍDAS</t>
  </si>
  <si>
    <t>2.2.15</t>
  </si>
  <si>
    <t>10 SPLITTER BOX  OU RACK PADRÃO 19 COM 01 ENTRADA E 04 SAÍDAS</t>
  </si>
  <si>
    <t>2.2.16</t>
  </si>
  <si>
    <t>07 SISTEMAS DE DISTRIBUIÇÃO DE ENERGIA</t>
  </si>
  <si>
    <t>2.2.17</t>
  </si>
  <si>
    <t>01 SISTEMA DE INTERCOMUNICAÇÃO DE 04 PONTOS</t>
  </si>
  <si>
    <t>2.2.18</t>
  </si>
  <si>
    <t>01 SISTEMA AC DISTRIBUIDOR DE ENERGIA</t>
  </si>
  <si>
    <t>2.2.19</t>
  </si>
  <si>
    <t>10 REFLETORES DE LED TIPO SETLIGHT DE 50 WATTS</t>
  </si>
  <si>
    <t>2.2.20</t>
  </si>
  <si>
    <t>36 TALHAS E CINTAS DE 2T</t>
  </si>
  <si>
    <t>2.2.21</t>
  </si>
  <si>
    <t>CABOS (AC E SINAL) E ACESSÓRIOS</t>
  </si>
  <si>
    <t>2.2.22</t>
  </si>
  <si>
    <t>150M DE ESTRUTURAS EM BOX TRUSS Q30 E Q50</t>
  </si>
  <si>
    <t>2.2.23</t>
  </si>
  <si>
    <t>40 REFLETORES PAR LED</t>
  </si>
  <si>
    <t>2.2.24</t>
  </si>
  <si>
    <t>150M DE FITA LED RGBWA</t>
  </si>
  <si>
    <t>2.2.25</t>
  </si>
  <si>
    <t>15 CAIXAS DE GERENCIAMENTO DMX</t>
  </si>
  <si>
    <t>2.2.26</t>
  </si>
  <si>
    <t>10 SISTEMAS DE FONTE DE DISTRIBUIÇÃO</t>
  </si>
  <si>
    <t>2.3</t>
  </si>
  <si>
    <t>EFEITOS DO PÁTIO DE EVENTOS</t>
  </si>
  <si>
    <t>2.3.1</t>
  </si>
  <si>
    <t>08 LAZERS RGB 60W</t>
  </si>
  <si>
    <t>2.3.2</t>
  </si>
  <si>
    <t>01 NOTBOOK COM SOFTWARE BEYOND LICENÇA ADVANCED</t>
  </si>
  <si>
    <t>2.3.3</t>
  </si>
  <si>
    <t>50 KITS DE EFEITOS CENOGRÁFICOS</t>
  </si>
  <si>
    <t>2.3.4</t>
  </si>
  <si>
    <t>50 KITS DE EFEITOS DE CENOGRAFIA</t>
  </si>
  <si>
    <t>2.3.5</t>
  </si>
  <si>
    <t>03 PROJETORES DE 15K</t>
  </si>
  <si>
    <t>2.3.6</t>
  </si>
  <si>
    <t>02 NOTBOOKS SERVIDORES COM SOFTWERE PARA MAPPING</t>
  </si>
  <si>
    <t>2.4</t>
  </si>
  <si>
    <t>SOM PÁTIO DE EVENTOS – PALCO 180</t>
  </si>
  <si>
    <t>2.4.1</t>
  </si>
  <si>
    <t>2.4.2</t>
  </si>
  <si>
    <t>01 PROCESSADOR DE SISTEMA DIGITAL 04 CANAIS DE ENTRADA</t>
  </si>
  <si>
    <t>2.4.3</t>
  </si>
  <si>
    <t>01 PROCESSADOR DE SISTEMA DIGITAL 02 CANAIS DE ENTRADA</t>
  </si>
  <si>
    <t>2.4.4</t>
  </si>
  <si>
    <t>2.4.5</t>
  </si>
  <si>
    <t>10 CANAIS DE ISOLADORES PRESS BOX</t>
  </si>
  <si>
    <t>2.4.6</t>
  </si>
  <si>
    <t>32 CAIXAS ACUSTICAS</t>
  </si>
  <si>
    <t>2.4.7</t>
  </si>
  <si>
    <t>24 CAIXAS ACUSTICAS</t>
  </si>
  <si>
    <t>2.4.8</t>
  </si>
  <si>
    <t>04 CAIXAS ACUSTICAS</t>
  </si>
  <si>
    <t>2.4.9</t>
  </si>
  <si>
    <t>2.4.10</t>
  </si>
  <si>
    <t>01 MULTICABO DIGITAL 48 VIAS</t>
  </si>
  <si>
    <t>2.4.11</t>
  </si>
  <si>
    <t>01 MULTICABO ANALOGICO 48 VIAS</t>
  </si>
  <si>
    <t>2.4.12</t>
  </si>
  <si>
    <t>CABEAMENTO AC 70M</t>
  </si>
  <si>
    <t>2.4.13</t>
  </si>
  <si>
    <t>08 TALHAS 1T</t>
  </si>
  <si>
    <t>2.4.14</t>
  </si>
  <si>
    <t>40 PROTETORES DE CABOS</t>
  </si>
  <si>
    <t>2.4.15</t>
  </si>
  <si>
    <t>2.4.16</t>
  </si>
  <si>
    <t>02 CAIXAS ACUSTICAS</t>
  </si>
  <si>
    <t>2.4.17</t>
  </si>
  <si>
    <t>2.4.18</t>
  </si>
  <si>
    <t>16 CAIXAS ACUSTICAS</t>
  </si>
  <si>
    <t>2.4.19</t>
  </si>
  <si>
    <t>02 SISTEMAS DE MONITOR</t>
  </si>
  <si>
    <t>2.4.20</t>
  </si>
  <si>
    <t>20 MICROFONES DINÂMICOS</t>
  </si>
  <si>
    <t>2.4.21</t>
  </si>
  <si>
    <t>16 MICROFONES COM CAPSULA</t>
  </si>
  <si>
    <t>2.4.22</t>
  </si>
  <si>
    <t>04 SISTEMAS DE MICROFONES SEM FIO UHF</t>
  </si>
  <si>
    <t>2.4.23</t>
  </si>
  <si>
    <t>24 DIRECT BOX</t>
  </si>
  <si>
    <t>2.4.24</t>
  </si>
  <si>
    <t>24 PEDESTAIS PARA MICROFONE</t>
  </si>
  <si>
    <t>2.4.25</t>
  </si>
  <si>
    <t>60 CABOS DE MICROFONE</t>
  </si>
  <si>
    <t>2.4.26</t>
  </si>
  <si>
    <t>8 GARRAS PARA MICROFONES</t>
  </si>
  <si>
    <t>2.4.27</t>
  </si>
  <si>
    <t>02 KITS DE MICROFONES PARA BATERIA</t>
  </si>
  <si>
    <t>2.5</t>
  </si>
  <si>
    <t>ILUMINAÇÃO DO PALCO 180 GRAUS</t>
  </si>
  <si>
    <t>2.5.1</t>
  </si>
  <si>
    <t>2.5.2</t>
  </si>
  <si>
    <t>32 REFLETORES PAR LED RGBW</t>
  </si>
  <si>
    <t>2.5.3</t>
  </si>
  <si>
    <t>8 FRESNEIS 1000W COM BANDOOR</t>
  </si>
  <si>
    <t>2.5.4</t>
  </si>
  <si>
    <t>12 MOVING HEAD WASH LED</t>
  </si>
  <si>
    <t>2.5.5</t>
  </si>
  <si>
    <t>8 MOVING HEAD BEAM / SPOT 5R</t>
  </si>
  <si>
    <t>2.5.6</t>
  </si>
  <si>
    <t>8 REFLETORES DMX 512 3000W</t>
  </si>
  <si>
    <t>2.5.7</t>
  </si>
  <si>
    <t>4 REFLETORES MINI-BRUTEDWE 4 LAMPADAS LED</t>
  </si>
  <si>
    <t>2.5.8</t>
  </si>
  <si>
    <t>02 MAQUINAS DE FUMAÇA DMX 512 3000W</t>
  </si>
  <si>
    <t>2.5.9</t>
  </si>
  <si>
    <t>02 SISTEMAS DE DISTRIBUIÇÃO DE ENERGIA</t>
  </si>
  <si>
    <t>2.5.10</t>
  </si>
  <si>
    <t>2.5.11</t>
  </si>
  <si>
    <t>8 REFLETORES DE LED 50W</t>
  </si>
  <si>
    <t>2.5.12</t>
  </si>
  <si>
    <t>TALHAS, CINTAS E BOX TRUSS</t>
  </si>
  <si>
    <t>2.6</t>
  </si>
  <si>
    <t>SOM POLO MESTRE CAMARÂO</t>
  </si>
  <si>
    <t>2.6.1</t>
  </si>
  <si>
    <t>01 CONSOLE DIGITAL, MÍNIMO DE 48 CANAIS</t>
  </si>
  <si>
    <t>2.6.2</t>
  </si>
  <si>
    <t>01 PROCESSADOR DE SISTEMA DIGITAL</t>
  </si>
  <si>
    <t>2.6.3</t>
  </si>
  <si>
    <t>01 REPRODUTOR DE CD/DVD/MP3;</t>
  </si>
  <si>
    <t>2.6.4</t>
  </si>
  <si>
    <t>2.6.5</t>
  </si>
  <si>
    <t>16 CAIXAS ACÚSTICAS</t>
  </si>
  <si>
    <t>2.6.6</t>
  </si>
  <si>
    <t>12 CAIXAS ACÚSTICAS</t>
  </si>
  <si>
    <t>2.6.7</t>
  </si>
  <si>
    <t>02 CAIXAS ACÚSTICAS</t>
  </si>
  <si>
    <t>2.6.8</t>
  </si>
  <si>
    <t>01 MULTICABO ANALÓGICO 48 VIAS</t>
  </si>
  <si>
    <t>2.6.9</t>
  </si>
  <si>
    <t>CABEAMENTO DE AC COM 70M</t>
  </si>
  <si>
    <t>2.6.10</t>
  </si>
  <si>
    <t>20 PROTETORES DE CABOS</t>
  </si>
  <si>
    <t>2.6.11</t>
  </si>
  <si>
    <t>2.6.12</t>
  </si>
  <si>
    <t>02 SIDEFILL COM 02 SUB-WOOFER</t>
  </si>
  <si>
    <t>2.6.13</t>
  </si>
  <si>
    <t>2.6.14</t>
  </si>
  <si>
    <t>01 CAIXA ACÚSTICA TIPO MONITOR PARA BATERIAS</t>
  </si>
  <si>
    <t>2.6.15</t>
  </si>
  <si>
    <t>02 CAIXAS ACÚSTICAS DOTADAS AUTO FALANTE DE 18”</t>
  </si>
  <si>
    <t>2.6.16</t>
  </si>
  <si>
    <t>12 CAIXAS ACÚSTICAS TIPO MONITOR DE CHÃO</t>
  </si>
  <si>
    <t>2.6.17</t>
  </si>
  <si>
    <t>01 SISTEMA DE MONITOR COM FIO DE 12 CANAIS</t>
  </si>
  <si>
    <t>2.6.18</t>
  </si>
  <si>
    <t>02 SISTEMAS DE MONITOR IN-EAR SEM FIO</t>
  </si>
  <si>
    <t>2.6.19</t>
  </si>
  <si>
    <t>50 MICROFONES DINÂMICOS PADRÃO</t>
  </si>
  <si>
    <t>2.6.20</t>
  </si>
  <si>
    <t>12 MICROFONES COM CÁPSULA A CONDENSADOR</t>
  </si>
  <si>
    <t>2.6.21</t>
  </si>
  <si>
    <t>2.6.22</t>
  </si>
  <si>
    <t>20 DIRECT BOX ATIVOS E PASSIVOS</t>
  </si>
  <si>
    <t>2.6.23</t>
  </si>
  <si>
    <t>50 PEDESTAIS PARA MICROFONE MODELO GIRAFA</t>
  </si>
  <si>
    <t>2.6.24</t>
  </si>
  <si>
    <t>150 CABOS DE MICROFONE CONECTORES XLR</t>
  </si>
  <si>
    <t>2.6.25</t>
  </si>
  <si>
    <t>12 GARRAS DE MICROFONES EM INSTRUMENTOS</t>
  </si>
  <si>
    <t>2.6.26</t>
  </si>
  <si>
    <t>02 KITS DE MICROFONES PARA BATERIA ACÚSTICA</t>
  </si>
  <si>
    <t>2.6.27</t>
  </si>
  <si>
    <t>01 KIT PARA DJ 02 APARELHOS DE CD</t>
  </si>
  <si>
    <t>2.6.28</t>
  </si>
  <si>
    <t>FIOS E CABOS PARA LIGAÇÃO DO SISTEMA</t>
  </si>
  <si>
    <t>2.6.29</t>
  </si>
  <si>
    <t>2.6.30</t>
  </si>
  <si>
    <t>02 SISTEMAS DE AMPLIFICAÇÃO PARA CONTRABAIXO</t>
  </si>
  <si>
    <t>2.6.31</t>
  </si>
  <si>
    <t>02 BATERIAS FABRICADAS COM MADEIRA</t>
  </si>
  <si>
    <t>2.6.32</t>
  </si>
  <si>
    <t>20 PLATAFORMAS TELESCÓPICAS COM RODAS</t>
  </si>
  <si>
    <t>2.7</t>
  </si>
  <si>
    <t>LUZ POLO MESTRE CAMARÂO</t>
  </si>
  <si>
    <t>2.7.1</t>
  </si>
  <si>
    <t>UNIVERSOS CANAIS DMX MIXER DE DIMMER CONTROLE MOVING</t>
  </si>
  <si>
    <t>2.7.2</t>
  </si>
  <si>
    <t>12 REFLETORES PAR 64</t>
  </si>
  <si>
    <t>2.7.3</t>
  </si>
  <si>
    <t>24 REFLETORES PAR LEDRGBW, DMX 512</t>
  </si>
  <si>
    <t>2.7.4</t>
  </si>
  <si>
    <t>16 MOVINGHEAD'S 198W</t>
  </si>
  <si>
    <t>2.7.5</t>
  </si>
  <si>
    <t>04 REFLETORES STROBODMX 512 3000W</t>
  </si>
  <si>
    <t>2.7.6</t>
  </si>
  <si>
    <t>04 REFLETORES MINI-BRUTEDWE 03 LAMPADAS 650W</t>
  </si>
  <si>
    <t>2.7.7</t>
  </si>
  <si>
    <t>01 MÁQUINA DE FUMAÇA DMX 512 2000W</t>
  </si>
  <si>
    <t>2.7.8</t>
  </si>
  <si>
    <t>04 SPLITTER OU BUFFER PADRÃO 19</t>
  </si>
  <si>
    <t>2.7.9</t>
  </si>
  <si>
    <t>06 SPLITTER BOX OU RACK PADRÃO 19</t>
  </si>
  <si>
    <t>2.7.10</t>
  </si>
  <si>
    <t>04 SISTEMAS DE DISTRIBUIÇÃO DE ENERGIA</t>
  </si>
  <si>
    <t>2.7.11</t>
  </si>
  <si>
    <t>2.7.12</t>
  </si>
  <si>
    <t>12 REFLETORES DE LED TIPO SETLIGHT</t>
  </si>
  <si>
    <t>2.7.13</t>
  </si>
  <si>
    <t>2.7.14</t>
  </si>
  <si>
    <t>30M DE ESTRUTURAS EM BOX TRUSS Q30 E Q50</t>
  </si>
  <si>
    <t>2.8</t>
  </si>
  <si>
    <t>SOM POLO ALTO DO MOURA</t>
  </si>
  <si>
    <t>2.8.1</t>
  </si>
  <si>
    <t xml:space="preserve"> 01 CONSOLE DIGITAL, MÍNIMO DE 48 CANAIS</t>
  </si>
  <si>
    <t>2.8.2</t>
  </si>
  <si>
    <t>2.8.3</t>
  </si>
  <si>
    <t>2.8.4</t>
  </si>
  <si>
    <t xml:space="preserve"> 01 SISTEMA DE INTERCOMUNICAÇÃO</t>
  </si>
  <si>
    <t>2.8.5</t>
  </si>
  <si>
    <t>2.8.6</t>
  </si>
  <si>
    <t>2.8.7</t>
  </si>
  <si>
    <t>2.8.8</t>
  </si>
  <si>
    <t>2.8.9</t>
  </si>
  <si>
    <t>2.8.10</t>
  </si>
  <si>
    <t>2.8.11</t>
  </si>
  <si>
    <t>2.8.12</t>
  </si>
  <si>
    <t>2.8.13</t>
  </si>
  <si>
    <t>2.8.14</t>
  </si>
  <si>
    <t>2.8.15</t>
  </si>
  <si>
    <t>01 CAIXA ACÚSTICA TIPO MONITOR</t>
  </si>
  <si>
    <t>2.8.16</t>
  </si>
  <si>
    <t>2.8.17</t>
  </si>
  <si>
    <t>2.8.18</t>
  </si>
  <si>
    <t>01 SISTEMA DE MONITOR 12 CANAIS</t>
  </si>
  <si>
    <t>2.8.19</t>
  </si>
  <si>
    <t>02 SISTEMAS DE MONITOR IN-EAR</t>
  </si>
  <si>
    <t>2.8.20</t>
  </si>
  <si>
    <t>50 MICROFONES DINÂMICOS</t>
  </si>
  <si>
    <t>2.8.21</t>
  </si>
  <si>
    <t>12 MICROFONES COM CAPSULA</t>
  </si>
  <si>
    <t>2.8.22</t>
  </si>
  <si>
    <t>2.8.23</t>
  </si>
  <si>
    <t>20 DIRECT BOX</t>
  </si>
  <si>
    <t>2.8.24</t>
  </si>
  <si>
    <t>50 PEDESTAIS PARA MICROFONE</t>
  </si>
  <si>
    <t>2.8.25</t>
  </si>
  <si>
    <t>150 CABOS DE MICROFONE</t>
  </si>
  <si>
    <t>2.8.26</t>
  </si>
  <si>
    <t>12 GARRAS PARA USO DE MICROFONES</t>
  </si>
  <si>
    <t>2.8.27</t>
  </si>
  <si>
    <t>02 KITS DE MICROFONES PARA BATERIA ACUSTICA</t>
  </si>
  <si>
    <t>2.8.28</t>
  </si>
  <si>
    <t>2.8.29</t>
  </si>
  <si>
    <t>2.8.30</t>
  </si>
  <si>
    <t>02 AMPLIFICADORES VALVULADOS</t>
  </si>
  <si>
    <t>2.8.31</t>
  </si>
  <si>
    <t>02 SISTEMAS DE AMPLIFICAÇÃO PARA CONTRA BAIXO</t>
  </si>
  <si>
    <t>2.8.32</t>
  </si>
  <si>
    <t>02 BATERIAS</t>
  </si>
  <si>
    <t>2.8.33</t>
  </si>
  <si>
    <t>2.9</t>
  </si>
  <si>
    <t>LUZ POLO ALTO DO MOURA</t>
  </si>
  <si>
    <t>2.9.1</t>
  </si>
  <si>
    <t>01 CONSOLE DIGITAL DE ILUMINAÇÃO</t>
  </si>
  <si>
    <t>2.9.2</t>
  </si>
  <si>
    <t>2.9.3</t>
  </si>
  <si>
    <t>2.9.4</t>
  </si>
  <si>
    <t>16 MOVINGHEAD'S 5R 200W</t>
  </si>
  <si>
    <t>2.9.5</t>
  </si>
  <si>
    <t>2.9.6</t>
  </si>
  <si>
    <t>04 REFLETORES MINI-BRUTEDWE 650W</t>
  </si>
  <si>
    <t>2.9.7</t>
  </si>
  <si>
    <t>01 MÁQUINAS DE FUMAÇA DMX 512</t>
  </si>
  <si>
    <t>2.9.8</t>
  </si>
  <si>
    <t>2.9.9</t>
  </si>
  <si>
    <t>2.9.10</t>
  </si>
  <si>
    <t>05 SISTEMAS DE DISTRIBUIÇÃO DE ENERGIA</t>
  </si>
  <si>
    <t>2.9.11</t>
  </si>
  <si>
    <t>2.9.12</t>
  </si>
  <si>
    <t>24 REFLETORES DE LED TIPO SETLIGHT</t>
  </si>
  <si>
    <t>2.9.13</t>
  </si>
  <si>
    <t>TALHAS, CINTAS PARA ATENDER TODO O RIDER</t>
  </si>
  <si>
    <t>2.9.14</t>
  </si>
  <si>
    <t>2.9.15</t>
  </si>
  <si>
    <t>40 REFLETORES 400W</t>
  </si>
  <si>
    <t>2.10</t>
  </si>
  <si>
    <t>SOM POLO AZULÃO</t>
  </si>
  <si>
    <t>2.10.1</t>
  </si>
  <si>
    <t>2.10.2</t>
  </si>
  <si>
    <t>2.10.3</t>
  </si>
  <si>
    <t>2.10.4</t>
  </si>
  <si>
    <t>2.10.5</t>
  </si>
  <si>
    <t>20 CAIXAS ACÚSTICAS DE FABRICAÇÃO INDUSTRIAL</t>
  </si>
  <si>
    <t>2.10.6</t>
  </si>
  <si>
    <t>12 CAIXAS ACÚSTICAS QUE REPRODUZAM</t>
  </si>
  <si>
    <t>2.10.7</t>
  </si>
  <si>
    <t>02 CAIXAS ACÚSTICAS DE FABRICAÇÃO INDUSTRIAL</t>
  </si>
  <si>
    <t>2.10.8</t>
  </si>
  <si>
    <t>2.10.9</t>
  </si>
  <si>
    <t>CABEAMENTO DE AC COM 70 METROS</t>
  </si>
  <si>
    <t>2.10.10</t>
  </si>
  <si>
    <t>20 PROTETORES DE CABOS ACOPLÁVEIS</t>
  </si>
  <si>
    <t>2.10.11</t>
  </si>
  <si>
    <t>2.10.12</t>
  </si>
  <si>
    <t>2.10.13</t>
  </si>
  <si>
    <t>2.10.14</t>
  </si>
  <si>
    <t>2.10.15</t>
  </si>
  <si>
    <t>2.10.16</t>
  </si>
  <si>
    <t>16 CAIXAS ACÚSTICAS TIPO MONITOR DE CHÃO</t>
  </si>
  <si>
    <t>2.10.17</t>
  </si>
  <si>
    <t>2.10.18</t>
  </si>
  <si>
    <t>04 SISTEMAS DE MONITOR IN-EAR SEM FIO</t>
  </si>
  <si>
    <t>2.10.19</t>
  </si>
  <si>
    <t>2.10.20</t>
  </si>
  <si>
    <t>2.10.21</t>
  </si>
  <si>
    <t>2.10.22</t>
  </si>
  <si>
    <t>2.10.23</t>
  </si>
  <si>
    <t>2.10.24</t>
  </si>
  <si>
    <t>2.10.25</t>
  </si>
  <si>
    <t>2.10.26</t>
  </si>
  <si>
    <t>2.10.27</t>
  </si>
  <si>
    <t>2.10.28</t>
  </si>
  <si>
    <t>2.10.29</t>
  </si>
  <si>
    <t>03 AMPLIFICADORES VALVULADOS PARA GUITARRA</t>
  </si>
  <si>
    <t>2.10.30</t>
  </si>
  <si>
    <t>2.10.31</t>
  </si>
  <si>
    <t>2.10.32</t>
  </si>
  <si>
    <t>2.11</t>
  </si>
  <si>
    <t>LUZ POLO AZULÃO</t>
  </si>
  <si>
    <t>2.11.1</t>
  </si>
  <si>
    <t>2.11.2</t>
  </si>
  <si>
    <t>2.11.3</t>
  </si>
  <si>
    <t>24 REFLETORES PAR LEDRGBW,DMX</t>
  </si>
  <si>
    <t>2.11.4</t>
  </si>
  <si>
    <t>16 MOVINGHEAD'SBEAM 5R</t>
  </si>
  <si>
    <t>2.11.5</t>
  </si>
  <si>
    <t>08 REFLETORES STROBODMX 3000W</t>
  </si>
  <si>
    <t>2.11.6</t>
  </si>
  <si>
    <t>06 REFLETORES MINI-BRUTEDWE</t>
  </si>
  <si>
    <t>2.11.7</t>
  </si>
  <si>
    <t>02 MÁQUINAS DE FUMAÇA DMX</t>
  </si>
  <si>
    <t>2.11.8</t>
  </si>
  <si>
    <t>08 SPLITTER OU BUFFER</t>
  </si>
  <si>
    <t>2.11.9</t>
  </si>
  <si>
    <t>10 SPLITTER BOX</t>
  </si>
  <si>
    <t>2.11.10</t>
  </si>
  <si>
    <t>07 SISTEMA DE DISTRIBUIÇÃO DE ENERGIA DIMMERS</t>
  </si>
  <si>
    <t>2.11.11</t>
  </si>
  <si>
    <t>01 SISTEMA AC DISTRIBUIDOR DE ENERGIA AC</t>
  </si>
  <si>
    <t>2.11.12</t>
  </si>
  <si>
    <t>2.11.13</t>
  </si>
  <si>
    <t>2.11.14</t>
  </si>
  <si>
    <t>2.12</t>
  </si>
  <si>
    <t>SOM POLO DAS QUADRILHAS</t>
  </si>
  <si>
    <t>2.12.1</t>
  </si>
  <si>
    <t>01 CONSOLE DIGITAL, MÍNIMO DE 32 CANAIS</t>
  </si>
  <si>
    <t>2.12.2</t>
  </si>
  <si>
    <t>01 NOTEBOOK QUE REPRODUZA CD/DVD/MP3</t>
  </si>
  <si>
    <t>2.12.3</t>
  </si>
  <si>
    <t>08 CAIXAS ACÚSTICAS  LINEARRAY INDUSTRIALIZADAS</t>
  </si>
  <si>
    <t>2.12.4</t>
  </si>
  <si>
    <t>04 CAIXAS ACÚSTICAS INDUSTRIALIZADAS</t>
  </si>
  <si>
    <t>2.12.5</t>
  </si>
  <si>
    <t>2.12.6</t>
  </si>
  <si>
    <t>2.12.7</t>
  </si>
  <si>
    <t>04 SUBSNAKES DE NO MÍNIMO 08 CANAIS</t>
  </si>
  <si>
    <t>2.12.8</t>
  </si>
  <si>
    <t>08 CAIXAS ACÚSTICAS TIPO MONITOR DE CHÃO</t>
  </si>
  <si>
    <t>2.12.9</t>
  </si>
  <si>
    <t>2.12.10</t>
  </si>
  <si>
    <t>24 MICROFONES DINÂMICOS PARA CAPTAÇÃO DE VOZ</t>
  </si>
  <si>
    <t>2.12.11</t>
  </si>
  <si>
    <t>06 MICROFONES CONDENSADORES</t>
  </si>
  <si>
    <t>2.12.12</t>
  </si>
  <si>
    <t>02 SISTEMAS DE MICROFONE SEM FIO</t>
  </si>
  <si>
    <t>2.12.13</t>
  </si>
  <si>
    <t>01 KIT DE MICROFONES PARA BATERIA ACÚSTICA</t>
  </si>
  <si>
    <t>2.12.14</t>
  </si>
  <si>
    <t>08 DIRECT BOX</t>
  </si>
  <si>
    <t>2.12.15</t>
  </si>
  <si>
    <t>32 PEDESTAIS PARA MICROFONE MODELO GIRAFA</t>
  </si>
  <si>
    <t>2.12.16</t>
  </si>
  <si>
    <t>06 GARRAS DE MICROFONES EM INSTRUMENTO</t>
  </si>
  <si>
    <t>2.12.17</t>
  </si>
  <si>
    <t>60 CABOS DE MICROFONE. CONECTORES XLR</t>
  </si>
  <si>
    <t>2.12.18</t>
  </si>
  <si>
    <t>08 CABOS DE INSTRUMENTOS. CONECTORES P10</t>
  </si>
  <si>
    <t>2.12.19</t>
  </si>
  <si>
    <t xml:space="preserve"> 01 AMPLIFICADOR PARA GUITARRA TIPO COMBO</t>
  </si>
  <si>
    <t>2.12.20</t>
  </si>
  <si>
    <t xml:space="preserve"> 01 SISTEMA DE AMPLIFICAÇÃO PARA CONTRABAIXO</t>
  </si>
  <si>
    <t>2.12.21</t>
  </si>
  <si>
    <t>01 BATERIA FABRICADA COM MADEIRA</t>
  </si>
  <si>
    <t>2.13</t>
  </si>
  <si>
    <t>LUZ POLO DAS QUADRILHAS</t>
  </si>
  <si>
    <t>2.13.1</t>
  </si>
  <si>
    <t>2.13.2</t>
  </si>
  <si>
    <t>12 REFLETORES PAR LEDRGBW</t>
  </si>
  <si>
    <t>2.13.3</t>
  </si>
  <si>
    <t>06 MOVINGHEADS</t>
  </si>
  <si>
    <t>2.13.4</t>
  </si>
  <si>
    <t>01 CONSOLE DE ILUMINAÇÃO DE 1024 CANAIS</t>
  </si>
  <si>
    <t>2.13.5</t>
  </si>
  <si>
    <t>12 CANAIS DE DIMMER FILTRADOS DE 4000 WATTS</t>
  </si>
  <si>
    <t>2.13.6</t>
  </si>
  <si>
    <t>01 CONJUNTO DE 20M DE ESTRUTURA EM BOX TRUSS, Q30</t>
  </si>
  <si>
    <t>2.13.7</t>
  </si>
  <si>
    <t>04 REFLETORES SETLIGHT DE 50W.</t>
  </si>
  <si>
    <t>2.14</t>
  </si>
  <si>
    <t>SOM POLO DO REPENTE</t>
  </si>
  <si>
    <t>2.14.1</t>
  </si>
  <si>
    <t>2.14.2</t>
  </si>
  <si>
    <t>2.14.3</t>
  </si>
  <si>
    <t>2.14.4</t>
  </si>
  <si>
    <t>2.14.5</t>
  </si>
  <si>
    <t>2.14.6</t>
  </si>
  <si>
    <t>2.14.7</t>
  </si>
  <si>
    <t>2.14.8</t>
  </si>
  <si>
    <t>2.14.9</t>
  </si>
  <si>
    <t>2.14.10</t>
  </si>
  <si>
    <t>2.14.11</t>
  </si>
  <si>
    <t>2.14.12</t>
  </si>
  <si>
    <t>2.14.13</t>
  </si>
  <si>
    <t>2.14.14</t>
  </si>
  <si>
    <t>2.14.15</t>
  </si>
  <si>
    <t>2.14.16</t>
  </si>
  <si>
    <t>2.14.17</t>
  </si>
  <si>
    <t>2.14.18</t>
  </si>
  <si>
    <t>2.14.19</t>
  </si>
  <si>
    <t>2.14.20</t>
  </si>
  <si>
    <t>2.14.21</t>
  </si>
  <si>
    <t>2.14.22</t>
  </si>
  <si>
    <t>04 BUMPER</t>
  </si>
  <si>
    <t>2.14.23</t>
  </si>
  <si>
    <t>04 TALHAS ELETRICAS 1T</t>
  </si>
  <si>
    <t>2.15</t>
  </si>
  <si>
    <t>LUZ POLO DO REPENTE</t>
  </si>
  <si>
    <t>2.15.1</t>
  </si>
  <si>
    <t>2.15.2</t>
  </si>
  <si>
    <t>20 REFLETORES PAR LED RGBW</t>
  </si>
  <si>
    <t>2.15.3</t>
  </si>
  <si>
    <t>06 MOVINGHEADS 5R</t>
  </si>
  <si>
    <t>2.15.4</t>
  </si>
  <si>
    <t>2.15.5</t>
  </si>
  <si>
    <t>2.15.6</t>
  </si>
  <si>
    <t>2.15.7</t>
  </si>
  <si>
    <t>04 REFLETORES SETLIGHT 50W</t>
  </si>
  <si>
    <t>2.16</t>
  </si>
  <si>
    <t>SOM POLO JUAREZ SANTIAGO</t>
  </si>
  <si>
    <t>2.16.1</t>
  </si>
  <si>
    <t xml:space="preserve"> 01 CONSOLE DIGITAL, MÍNIMO DE 32 CANAIS</t>
  </si>
  <si>
    <t>2.16.2</t>
  </si>
  <si>
    <t>2.16.3</t>
  </si>
  <si>
    <t>2.16.4</t>
  </si>
  <si>
    <t>2.16.5</t>
  </si>
  <si>
    <t>2.16.6</t>
  </si>
  <si>
    <t>2.16.7</t>
  </si>
  <si>
    <t>2.16.8</t>
  </si>
  <si>
    <t>2.16.9</t>
  </si>
  <si>
    <t>2.16.10</t>
  </si>
  <si>
    <t>2.16.11</t>
  </si>
  <si>
    <t>2.16.12</t>
  </si>
  <si>
    <t>2.16.13</t>
  </si>
  <si>
    <t>2.16.14</t>
  </si>
  <si>
    <t>2.16.15</t>
  </si>
  <si>
    <t>2.16.16</t>
  </si>
  <si>
    <t>2.16.17</t>
  </si>
  <si>
    <t>2.16.18</t>
  </si>
  <si>
    <t>2.16.19</t>
  </si>
  <si>
    <t>2.16.20</t>
  </si>
  <si>
    <t>2.16.21</t>
  </si>
  <si>
    <t>2.17</t>
  </si>
  <si>
    <t>LUZ POLO JUAREZ SANTIAGO</t>
  </si>
  <si>
    <t>2.17.1</t>
  </si>
  <si>
    <t>2.17.2</t>
  </si>
  <si>
    <t>2.17.3</t>
  </si>
  <si>
    <t>06  BEEM 5R</t>
  </si>
  <si>
    <t>2.17.4</t>
  </si>
  <si>
    <t>2.17.5</t>
  </si>
  <si>
    <t>2.17.6</t>
  </si>
  <si>
    <t>2.18</t>
  </si>
  <si>
    <t>CORETO MOVEL</t>
  </si>
  <si>
    <t>2.18.1</t>
  </si>
  <si>
    <t>01 MESA DE MIXAGEM DE SOM COM NO MÍNIMO 12 CANAIS</t>
  </si>
  <si>
    <t>2.18.2</t>
  </si>
  <si>
    <t>04 CAIXAS ACÚSTICAS BI-AMPLIFICADAS</t>
  </si>
  <si>
    <t>2.18.3</t>
  </si>
  <si>
    <t>02 SISTEMAS DE MICROFONE SEM FIO EM UHF</t>
  </si>
  <si>
    <t>2.18.4</t>
  </si>
  <si>
    <t>08 MICROFONES DINÂMICOS PARA CAPTAÇÃO DE VOZ</t>
  </si>
  <si>
    <t>2.18.5</t>
  </si>
  <si>
    <t>02 DIRECT BOX</t>
  </si>
  <si>
    <t>2.18.6</t>
  </si>
  <si>
    <t>01 REPRODUTOR DE CD/DVD/MP3</t>
  </si>
  <si>
    <t>2.19</t>
  </si>
  <si>
    <t>SOM POLO MONTE BOM JESUS</t>
  </si>
  <si>
    <t>2.19.1</t>
  </si>
  <si>
    <t>2.19.2</t>
  </si>
  <si>
    <t>2.19.3</t>
  </si>
  <si>
    <t>08 CAIXAS ACÚSTICAS AUTO-AMPLIFICADAS</t>
  </si>
  <si>
    <t>2.19.4</t>
  </si>
  <si>
    <t>2.19.5</t>
  </si>
  <si>
    <t>2.19.6</t>
  </si>
  <si>
    <t>2.19.7</t>
  </si>
  <si>
    <t>04 SUBSNAKES COM MÍNIMO DE 08 CANAIS</t>
  </si>
  <si>
    <t>2.19.8</t>
  </si>
  <si>
    <t>2.19.9</t>
  </si>
  <si>
    <t>2.19.10</t>
  </si>
  <si>
    <t>2.19.11</t>
  </si>
  <si>
    <t>2.19.12</t>
  </si>
  <si>
    <t>02 SISTEMAS DE MICROFONE SEM FIO QUE EM UHF</t>
  </si>
  <si>
    <t>2.19.13</t>
  </si>
  <si>
    <t>01 KIT MICROFONE PARA BATERIA ACÚSTICA</t>
  </si>
  <si>
    <t>2.19.14</t>
  </si>
  <si>
    <t>2.19.15</t>
  </si>
  <si>
    <t>2.19.16</t>
  </si>
  <si>
    <t>06 GARRAS PARA MICROFONES EM INSTRUMENTO</t>
  </si>
  <si>
    <t>2.19.17</t>
  </si>
  <si>
    <t>2.19.18</t>
  </si>
  <si>
    <t>08 CABOS DE INSTRUMENTO. CONECTORES P10</t>
  </si>
  <si>
    <t>2.19.19</t>
  </si>
  <si>
    <t>01 AMPLIFICADOR PARA GUITARRA TIPO COMBO</t>
  </si>
  <si>
    <t>2.19.20</t>
  </si>
  <si>
    <t>01 SISTEMA DE AMPLIFICAÇÃO PARA CONTRABAIXO</t>
  </si>
  <si>
    <t>2.19.21</t>
  </si>
  <si>
    <t>2.20</t>
  </si>
  <si>
    <t>LUZ POLO MONTE BOM JESUS</t>
  </si>
  <si>
    <t>2.20.1</t>
  </si>
  <si>
    <t>2.20.2</t>
  </si>
  <si>
    <t>2.20.3</t>
  </si>
  <si>
    <t>2.20.4</t>
  </si>
  <si>
    <t>2.20.5</t>
  </si>
  <si>
    <t>2.20.6</t>
  </si>
  <si>
    <t>10 REFLETORES SETLIGHT DE LED DE 50W</t>
  </si>
  <si>
    <t>2.20.7</t>
  </si>
  <si>
    <t>11 REFLETORES VAPOR METÁLICO COR VERDE DE 400W</t>
  </si>
  <si>
    <t>2.20.8</t>
  </si>
  <si>
    <t>01 PROPOWER 24 CANAIS DE 4K</t>
  </si>
  <si>
    <t>3.</t>
  </si>
  <si>
    <t>3.1</t>
  </si>
  <si>
    <t>01 Gerador 300KVA (Stand-By)</t>
  </si>
  <si>
    <t>3.2</t>
  </si>
  <si>
    <t>03 Geradores 260KVA (Stand-By)</t>
  </si>
  <si>
    <t>3.3</t>
  </si>
  <si>
    <t>07 Geradores 180KVA (Stand-By)</t>
  </si>
  <si>
    <t>3.4</t>
  </si>
  <si>
    <t>03 Geradores 180KVA (10 Horas funcionamento diário, sobre caminhão)</t>
  </si>
  <si>
    <t>4.</t>
  </si>
  <si>
    <t>ILUMINAÇÃO CENICA E DE SERVIÇO</t>
  </si>
  <si>
    <t>4.1</t>
  </si>
  <si>
    <t>30 REFLETORES DE LED TIPO SETLIGHT 100W</t>
  </si>
  <si>
    <t>4.2</t>
  </si>
  <si>
    <t>90 REFLETORES DE LED TIPO SETLIGHT 50W</t>
  </si>
  <si>
    <t>4.3</t>
  </si>
  <si>
    <t>220 REFLETORES DE LED TIPO RGBW dm X 512 COM 54LEDs</t>
  </si>
  <si>
    <t>4.4</t>
  </si>
  <si>
    <t>07 SISTEMA AC DISTRIBUIDOR DE ENERGIA</t>
  </si>
  <si>
    <t>4.5</t>
  </si>
  <si>
    <t>92 REFLETORES VAPOR METÁLICO DE 400W</t>
  </si>
  <si>
    <t>4.6</t>
  </si>
  <si>
    <t>2100M DE CABO 3X2,5 PARA INSTALAÇÃO</t>
  </si>
  <si>
    <t>4.7</t>
  </si>
  <si>
    <t>300 EXTENSÕES TAMANHOS VARIADOS</t>
  </si>
  <si>
    <t>4.8</t>
  </si>
  <si>
    <t>150 PONTOS DE ILUMINAÇÃO INTERNA COM LÂMPADAS</t>
  </si>
  <si>
    <t>4.9</t>
  </si>
  <si>
    <t>150 PONTOS DE ENERGIA COM TOMADAS DIST</t>
  </si>
  <si>
    <t>4.10</t>
  </si>
  <si>
    <t>38 LUZES SINALIZADORAS DE EMERGÊNCIA</t>
  </si>
  <si>
    <t>4.11</t>
  </si>
  <si>
    <t>500 M DE CABO ISOLADO MULTIPLEXADO DE 35MM</t>
  </si>
  <si>
    <t>4.12</t>
  </si>
  <si>
    <t>500 M ELETROCALHA 100x100</t>
  </si>
  <si>
    <t>4.13</t>
  </si>
  <si>
    <t>QUADROS DE DISTRIBUIÇÃO</t>
  </si>
  <si>
    <t>5.</t>
  </si>
  <si>
    <t>5.1</t>
  </si>
  <si>
    <t>144M² DE PAINEL DE LED 4 OU 6mm OUTDOOR - TESTEIRAS</t>
  </si>
  <si>
    <t>5.2</t>
  </si>
  <si>
    <t>112M² DE PAINEL DE LED 4 OU 6mm OUTDOOR – FUNDO DO PALCO</t>
  </si>
  <si>
    <t>5.3</t>
  </si>
  <si>
    <t>99M² DE PAINEL DE LED 4 OU 6mm OUTDOOR - TRANSMISSÃO</t>
  </si>
  <si>
    <t>5.4</t>
  </si>
  <si>
    <t>48M² DE PAINEL DE LED 4 OU 6 mm OUTDOOR – HOUSE-MIX</t>
  </si>
  <si>
    <t>5.5</t>
  </si>
  <si>
    <t>150M² DE PAINEL DE LED 4 OU 6mm OUTDOOR  - CAMAROTES</t>
  </si>
  <si>
    <t>5.6</t>
  </si>
  <si>
    <t>03 CONVERSORES E CONTROLADOR DE IMAGENS</t>
  </si>
  <si>
    <t>5.7</t>
  </si>
  <si>
    <t>1200M DE FIBRA ÓPTICA E CONVERSORES</t>
  </si>
  <si>
    <t>5.8</t>
  </si>
  <si>
    <t>02 VÍDEOS SCALER (ESCALADOR) / SWITCHER (SELECTOR)</t>
  </si>
  <si>
    <t>5.9</t>
  </si>
  <si>
    <t>02 NOTEBOOK COM CONFIGURAÇÃO MÍNIMA PROCESSADOR i7 2,7GHZ</t>
  </si>
  <si>
    <t>5.10</t>
  </si>
  <si>
    <t>01 SOFTWARE (PROGRAMA DE COMPUTADOR) GERENCIAMENTO DE MÚLTIPLAS TELAS</t>
  </si>
  <si>
    <t>6.1</t>
  </si>
  <si>
    <t>CAPTAÇÃO DE IMAGENS</t>
  </si>
  <si>
    <t>6.2</t>
  </si>
  <si>
    <t>CAPTAÇÃO DE IMAGENS COM TRANSMISSÃO SIMULTÂNEA DE SINAL</t>
  </si>
  <si>
    <t>TOTAL GERAL</t>
  </si>
  <si>
    <t>TABELA DE INSUMOS</t>
  </si>
  <si>
    <t>LOCAÇÃO DE ESTRUTURAS</t>
  </si>
  <si>
    <t>DISCRIMINAÇÃO</t>
  </si>
  <si>
    <t>Unid</t>
  </si>
  <si>
    <t>VALOR  (R$)</t>
  </si>
  <si>
    <t>SUBCOMPOSIÇÃO DA FABRICAÇÃO DAS BARRACAS</t>
  </si>
  <si>
    <t>Quantitativos por tipo de Barraca</t>
  </si>
  <si>
    <t>Und</t>
  </si>
  <si>
    <t>R$ Unit</t>
  </si>
  <si>
    <t>Valores por tipo de Barraca</t>
  </si>
  <si>
    <t>Locação Estrutura Metálica - CAMAROTES</t>
  </si>
  <si>
    <t>m²/mês</t>
  </si>
  <si>
    <t>Tipo I</t>
  </si>
  <si>
    <t>Tipo II</t>
  </si>
  <si>
    <t>Locação Estrutura Metálica - PALCO (incluindo lona)</t>
  </si>
  <si>
    <t>(2,00x2,00m)</t>
  </si>
  <si>
    <t>(5,00x2,00m)</t>
  </si>
  <si>
    <t>Locação Estrutura Metálica - COBERTA (incluindo lona)</t>
  </si>
  <si>
    <t>TUBO QUADRADO 40x40 #1.06mm</t>
  </si>
  <si>
    <t>m</t>
  </si>
  <si>
    <t>Locação Estrutura Metálica - PISO</t>
  </si>
  <si>
    <t>TUBO RETANGULAR 40x30 #1.06mm</t>
  </si>
  <si>
    <t>Locação Estrutura Metálica - TORRES PARA PA E TELA DE LED</t>
  </si>
  <si>
    <t>CHAPA GALVANIZADA # 0,43mm  N°28</t>
  </si>
  <si>
    <t>m²</t>
  </si>
  <si>
    <t>Locação Estrutura Metálica - ESCADA</t>
  </si>
  <si>
    <t>BARRA CHATA GALVANIZADA 3/4"x3/16"</t>
  </si>
  <si>
    <t>Locação Estrutura Metálica - RAMPAS</t>
  </si>
  <si>
    <t>DOBRADIÇAS GALVANIZADAS 3"x3.1/2"</t>
  </si>
  <si>
    <t>Locação Estrutura Metálica - TESTEIRA I</t>
  </si>
  <si>
    <t>INSUMOS DE CORTE E SOLDA</t>
  </si>
  <si>
    <t>kg</t>
  </si>
  <si>
    <t>Locação Estrutura Metálica - TESTEIRA II</t>
  </si>
  <si>
    <t>INSUMOS DE FIXAÇÃO (Rebites)</t>
  </si>
  <si>
    <t>Locação Estrutura Metálica - FUNDO DE PALCO</t>
  </si>
  <si>
    <t>COBERTURA EM LOVA VINÍLICA PVC COM BORDA REFORÇADA E ILHOES A CADA 15cm</t>
  </si>
  <si>
    <t>Locação Estrutura Metálica - AVANCÊ</t>
  </si>
  <si>
    <t>Mão de obra com encargos - Fabricação (30% do valor do material)</t>
  </si>
  <si>
    <t>VB</t>
  </si>
  <si>
    <t>Locação Estrutura Metálica - PASSARELA</t>
  </si>
  <si>
    <t>Custo da Fabricação - por Tipo</t>
  </si>
  <si>
    <t>Locação Estrutura Metálica - GUARDA CORPO</t>
  </si>
  <si>
    <t>Locação Estrutura Metálica - CAMARINS (incluindo fechamentos e coberta)</t>
  </si>
  <si>
    <t>Locação Estrutura Metálica - HOUSE MIX</t>
  </si>
  <si>
    <t>Locação Estrutura Metálica - PAVILHÃO</t>
  </si>
  <si>
    <t>INFORMAÇÕES DE REMUNERAÇÃO</t>
  </si>
  <si>
    <t>Cálculo da Hora</t>
  </si>
  <si>
    <t>Locação Estrutura Metálica - ARQUIBANCADA</t>
  </si>
  <si>
    <t>FONTE</t>
  </si>
  <si>
    <t>UNID</t>
  </si>
  <si>
    <t>VALOR</t>
  </si>
  <si>
    <t>Mês</t>
  </si>
  <si>
    <t>Mês / 220h</t>
  </si>
  <si>
    <t xml:space="preserve">Locação Estrutura Metálica - TOLDO </t>
  </si>
  <si>
    <t>H</t>
  </si>
  <si>
    <t>Montador de estruturas metál.</t>
  </si>
  <si>
    <t>Ajudante de estruturas metál.</t>
  </si>
  <si>
    <t>Locação estrutura  Estande- PAINÉIS TS formicado</t>
  </si>
  <si>
    <t>Blocos em concreto armado com altura de 0,80m, com capacidade de carga individual de 1 Tonelada</t>
  </si>
  <si>
    <t>und/mês</t>
  </si>
  <si>
    <t>Locação Estrutura em BOX TRUSS para PAINÉIS DE LED DELAY</t>
  </si>
  <si>
    <t>Locação de SPDA e Sistema de SEGURANÇA CONTRA INCÊNDIO E PÂNICO (pavimento único)</t>
  </si>
  <si>
    <t>Locação de SPDA e Sistema de SEGURANÇA CONTRA INCÊNDIO E PÂNICO (3 pavimentos sobrepostos)</t>
  </si>
  <si>
    <t>Locação de SPDA - Sistema de Proteção contra Descargas Amosféricas</t>
  </si>
  <si>
    <t>Locação de DIVISÓRIAS -Estrutura metalon + madeirite</t>
  </si>
  <si>
    <t>Locação  - GUARDA CORPO- Estrutura metalon + madeirite</t>
  </si>
  <si>
    <t>Locação Estrutura Metálica - RAMPAS e ELEVADOR (incluso)</t>
  </si>
  <si>
    <t>Serviço de PINTURA (Divisórias e Guarda-corpo)</t>
  </si>
  <si>
    <t>Locação de Aparelho de ar-condicionado Split 12.000BTU's</t>
  </si>
  <si>
    <t xml:space="preserve">Locação de DISCIPLINADORES Gradil em estrutura metálica tubular modulada </t>
  </si>
  <si>
    <t>Locação de BARRICADAS em estruturas de alumínio para contenção de expectadores, suportando um deslocamento frontal de até 2,5 toneladas</t>
  </si>
  <si>
    <t>Locação de BARRACA Tipo I (2,00x2,00m) em estrutura metálica modulada em tubos metalon 50x50mm; fechamento laterais com chapa metálica galv. n°22 pintadas externamente com tinta esmalte fosco (cor a definir); porta em chapa metálica galv.  Dim.:80x210cm com ferrolho pintada com tinta esmalte fosco (cor a definir) , portinhola de tombar dimensões 150x100cm e balcão de atendimento medindo 40x150cm em compensado naval plastificado; coberta em lona branca sobre estrutura em duas águas.</t>
  </si>
  <si>
    <t>Locação de BARRACA Tipo II - MS (5,00x2,00m) em estrutura metálica modulada em tubos metalon 50x50mm; fechamento laterais com chapa metálica galv. n°22 pintadas externamente com tinta esmalte fosco (cor a definir); porta em chapa metálica galv.  Dim.:80x210cm com ferrolho pintada com tinta esmalte fosco (cor a definir) , portinhola de tombar dimensões 300x100cm e balcão de atendimento medindo 40x300cm em compensado naval plastificado; coberta em lona branca sobre estrutura em duas águas.</t>
  </si>
  <si>
    <r>
      <t xml:space="preserve">Locação de estrutura para Tablado </t>
    </r>
    <r>
      <rPr>
        <sz val="9"/>
        <rFont val="Calibri"/>
        <family val="2"/>
        <scheme val="minor"/>
      </rPr>
      <t>(Pavilhão Monte Bom Jesus)</t>
    </r>
  </si>
  <si>
    <t>Locação de CONTAINERES Simples-245X600cm</t>
  </si>
  <si>
    <t>Diária</t>
  </si>
  <si>
    <t>Locação de CONTAINERES Escritório com WC-245X600cm</t>
  </si>
  <si>
    <t>Locação de CONTAINERES WC Masculino-245X600cm</t>
  </si>
  <si>
    <t>Locação de CONTAINERES WC Feminino-245X600cm</t>
  </si>
  <si>
    <t>Locação de CONTAINERES WC PNE-245X600cm</t>
  </si>
  <si>
    <t>Locação de CONTAINERES Tipo Pavilhão</t>
  </si>
  <si>
    <t>LOCAÇÃO DE EQUIPAMENTOS e FERRAMENTAS</t>
  </si>
  <si>
    <t>Locação de Empilhadeira</t>
  </si>
  <si>
    <t>Locação de Caminhão Munck</t>
  </si>
  <si>
    <t>Locação de Talha elétrica</t>
  </si>
  <si>
    <t>Locação de Andaimes</t>
  </si>
  <si>
    <t>m/mês</t>
  </si>
  <si>
    <t>Locação de Plataformas de montagem</t>
  </si>
  <si>
    <t>Locação de Kit Ferramentas de fixação e montagem</t>
  </si>
  <si>
    <t>kit/mês</t>
  </si>
  <si>
    <t>MATERIAIS DE CONSUMO</t>
  </si>
  <si>
    <t>Elementos de fixação (parafusos / cabo de aço / grampos)</t>
  </si>
  <si>
    <t>Carpete 5mm (locação)</t>
  </si>
  <si>
    <t>Tinta acrílica</t>
  </si>
  <si>
    <t>galão</t>
  </si>
  <si>
    <t>Tinta esmalte sintético</t>
  </si>
  <si>
    <t>Solvente / Aguaráz</t>
  </si>
  <si>
    <t>L</t>
  </si>
  <si>
    <t xml:space="preserve">Rolo de espuma 15cm </t>
  </si>
  <si>
    <t xml:space="preserve">Rolo de lã 23cm </t>
  </si>
  <si>
    <t>Trincha para pintura (2")</t>
  </si>
  <si>
    <t>Bucha de limpeza</t>
  </si>
  <si>
    <t>Barbante</t>
  </si>
  <si>
    <t>Rolo</t>
  </si>
  <si>
    <t>Abraçadeira Plástica (15 x 0,5cm a 50 x 1,3cm) 100 und</t>
  </si>
  <si>
    <t>pacote</t>
  </si>
  <si>
    <t>Compensado resinado 12mm (chapas de 110x220cm)</t>
  </si>
  <si>
    <t>Compensado naval 15mm (chapas de 110x220cm)</t>
  </si>
  <si>
    <t>Tábua de pinus 2x28cm</t>
  </si>
  <si>
    <t>ml</t>
  </si>
  <si>
    <t>Barrote de pinus 10x10cm</t>
  </si>
  <si>
    <t>REFEIÇÃO</t>
  </si>
  <si>
    <t>Refeição (café da manhã + almoço + jantar)</t>
  </si>
  <si>
    <t>HOSPEDAGEM</t>
  </si>
  <si>
    <t>Hospedagem em pousada simples (quarto duplo)</t>
  </si>
  <si>
    <t>TRANSPORTE</t>
  </si>
  <si>
    <t>Locação de Caminhão truck Bau 20 ton</t>
  </si>
  <si>
    <t>Locação de Caminhão truck carroceria 20 ton</t>
  </si>
  <si>
    <t>Locação de Caminhão tipo Bau 10 ton</t>
  </si>
  <si>
    <t>Locação de Caminhão Prancha 10 ton</t>
  </si>
  <si>
    <r>
      <t xml:space="preserve">CADEIRAS - </t>
    </r>
    <r>
      <rPr>
        <sz val="9"/>
        <rFont val="Calibri"/>
        <family val="2"/>
      </rPr>
      <t>PVC branco sem braços</t>
    </r>
  </si>
  <si>
    <r>
      <t>MESAS -</t>
    </r>
    <r>
      <rPr>
        <sz val="9"/>
        <rFont val="Calibri"/>
        <family val="2"/>
      </rPr>
      <t xml:space="preserve"> PVC branco com 4 lugares</t>
    </r>
  </si>
  <si>
    <r>
      <t>SOFÁ TIPO I -</t>
    </r>
    <r>
      <rPr>
        <sz val="9"/>
        <rFont val="Calibri"/>
        <family val="2"/>
      </rPr>
      <t xml:space="preserve"> 3 lugares</t>
    </r>
  </si>
  <si>
    <r>
      <t>SOFÁ TIPO II -</t>
    </r>
    <r>
      <rPr>
        <sz val="9"/>
        <rFont val="Calibri"/>
        <family val="2"/>
      </rPr>
      <t xml:space="preserve"> 2 lugares</t>
    </r>
  </si>
  <si>
    <t>CABINES SANITÁRIA TIPO I - Standard</t>
  </si>
  <si>
    <t>CABINES SANITÁRIA TIPO II - PNE</t>
  </si>
  <si>
    <t xml:space="preserve">CONTETOR </t>
  </si>
  <si>
    <t>CONTENTOR PLASTICO 1000L</t>
  </si>
  <si>
    <t>DESCRIÇÕES E QUANTITADES</t>
  </si>
  <si>
    <t>COMPOSIÇÕES AUXILIARES</t>
  </si>
  <si>
    <t>ESTRUTURA e FECHAMENTO</t>
  </si>
  <si>
    <t>Item</t>
  </si>
  <si>
    <t>MEMÓRIA DE CÁLCULO</t>
  </si>
  <si>
    <t>L (m)</t>
  </si>
  <si>
    <t>C (m)</t>
  </si>
  <si>
    <t>H(m)</t>
  </si>
  <si>
    <t>Área</t>
  </si>
  <si>
    <t>1.1.1.1</t>
  </si>
  <si>
    <t>1.1.1.2</t>
  </si>
  <si>
    <t>1.1.1.3</t>
  </si>
  <si>
    <t>1.1.1.4</t>
  </si>
  <si>
    <t>1.1.1.5</t>
  </si>
  <si>
    <t>1.1.1.6</t>
  </si>
  <si>
    <t>1.1.1.7</t>
  </si>
  <si>
    <t>1.1.1.8</t>
  </si>
  <si>
    <t>1.1.1.9</t>
  </si>
  <si>
    <t>1.1.1.10</t>
  </si>
  <si>
    <t>1.1.1.11</t>
  </si>
  <si>
    <t>1.1.1.12</t>
  </si>
  <si>
    <t>1.1.1.13</t>
  </si>
  <si>
    <t>1.1.1.14</t>
  </si>
  <si>
    <t>1.1.1.15</t>
  </si>
  <si>
    <t>1.1.1.16</t>
  </si>
  <si>
    <t>Locação de SPDA e Sistema de SEGURANÇA CONTRA INCÊNDIO E PÂNICO</t>
  </si>
  <si>
    <t>EQUIPAMENTOS e FERRAMENTAS</t>
  </si>
  <si>
    <t>1.1.1.17</t>
  </si>
  <si>
    <t>diária</t>
  </si>
  <si>
    <t>1.1.1.18</t>
  </si>
  <si>
    <t>1.1.1.19</t>
  </si>
  <si>
    <t>1.1.1.20</t>
  </si>
  <si>
    <t>1.1.1.21</t>
  </si>
  <si>
    <t>1.1.1.22</t>
  </si>
  <si>
    <t>1.1.1.23</t>
  </si>
  <si>
    <t>Kg</t>
  </si>
  <si>
    <t>1.1.1.24</t>
  </si>
  <si>
    <t>Carpete 5mm</t>
  </si>
  <si>
    <t>1.1.1.25</t>
  </si>
  <si>
    <t>1.1.1.26</t>
  </si>
  <si>
    <t>1.1.1.27</t>
  </si>
  <si>
    <t>1.1.1.28</t>
  </si>
  <si>
    <t>1.1.1.29</t>
  </si>
  <si>
    <t>1.1.1.30</t>
  </si>
  <si>
    <t>1.1.1.31</t>
  </si>
  <si>
    <t>1.1.1.32</t>
  </si>
  <si>
    <t>1.1.1.33</t>
  </si>
  <si>
    <t>Abraçadeira Plástica (15 x 0,5cm a 50 x 1,3cm) 100und</t>
  </si>
  <si>
    <t>1.1.1.34</t>
  </si>
  <si>
    <t>Refeição (café, almoço, jantar)</t>
  </si>
  <si>
    <t>1.1.1.35</t>
  </si>
  <si>
    <t>Hospedagem em pousada (quarto duplo)</t>
  </si>
  <si>
    <t>1.1.1.36</t>
  </si>
  <si>
    <t>1.1.1.37</t>
  </si>
  <si>
    <t>1.1.1.38</t>
  </si>
  <si>
    <t>Kit Ferramentas de fixação e montagem</t>
  </si>
  <si>
    <t>VALOR Unit. (R$)</t>
  </si>
  <si>
    <t>Locação Estrutura Metálica - PALCO</t>
  </si>
  <si>
    <t>Locação Estrutura Metálica - COBERTA</t>
  </si>
  <si>
    <t>ESTRUTURA, FECHAMENTO e PINTURA</t>
  </si>
  <si>
    <t>Locação de DIVISÓRIAS - Estrutura metalon + compensado</t>
  </si>
  <si>
    <t>Locação - GUARDA CORPO - Estrutura metalon + compensado</t>
  </si>
  <si>
    <t>VALOR  (R$/dia)</t>
  </si>
  <si>
    <t>VALOR (R$)dia</t>
  </si>
  <si>
    <t>VALOR (R$)/dia</t>
  </si>
  <si>
    <t>Locação Estrutura Metálica Camarotes - Térreo, Piso 1; Piso 2</t>
  </si>
  <si>
    <t>PAVILHÃO MESTRE CAMARÃO</t>
  </si>
  <si>
    <t>Locação Estrutura Metálica - CAMARIN / APOIO</t>
  </si>
  <si>
    <t>Galão</t>
  </si>
  <si>
    <t xml:space="preserve">PAVILHÃO  REPENTE e CASA DO FORRÓ </t>
  </si>
  <si>
    <t>Locação de Aparelho de ar-condicionado Split 9.000BTU's</t>
  </si>
  <si>
    <t>Unid/mês</t>
  </si>
  <si>
    <t>PAVILHÃO  MERCADO DE ARTESANATO</t>
  </si>
  <si>
    <t>Tinta Esmalte sintético</t>
  </si>
  <si>
    <t>Rolo Lã de carneiro 10 a 23cm - esmalte</t>
  </si>
  <si>
    <t>Trincha para pintura (1" a 3")</t>
  </si>
  <si>
    <t>rolo</t>
  </si>
  <si>
    <t xml:space="preserve">Abraçadeira Plástica (15 x 0,5cm a 50 x 1,3cm) </t>
  </si>
  <si>
    <t>L(m)</t>
  </si>
  <si>
    <t>C(m)</t>
  </si>
  <si>
    <t>Quant</t>
  </si>
  <si>
    <t>Rolo Lã de carneiro 15 a 23cm - esmalte</t>
  </si>
  <si>
    <t xml:space="preserve">Trincha para pintura 2" </t>
  </si>
  <si>
    <t xml:space="preserve">Locação de Estrutura de Piso </t>
  </si>
  <si>
    <t>und</t>
  </si>
  <si>
    <t>Locação de Caminhão truck carroceria 20 ton (mobilização e desmobilização dos containeres)</t>
  </si>
  <si>
    <t>PÓRTICOS TIPO III</t>
  </si>
  <si>
    <t>unid</t>
  </si>
  <si>
    <t>Hospedagem em pensao comum (quarto triplo)</t>
  </si>
  <si>
    <r>
      <t xml:space="preserve">PASSARELA TIPO III </t>
    </r>
    <r>
      <rPr>
        <sz val="12"/>
        <color rgb="FF000000"/>
        <rFont val="Calibri"/>
        <family val="2"/>
      </rPr>
      <t>- Portão 04</t>
    </r>
  </si>
  <si>
    <r>
      <t xml:space="preserve">PASSARELA TIPO IV </t>
    </r>
    <r>
      <rPr>
        <sz val="12"/>
        <color rgb="FF000000"/>
        <rFont val="Calibri"/>
        <family val="2"/>
      </rPr>
      <t>- Portão 05</t>
    </r>
  </si>
  <si>
    <t>Locação Piso - TABLADO - compensado 12mm</t>
  </si>
  <si>
    <t>Locação de aparelho de Ar condicionado 12.000 BTU's</t>
  </si>
  <si>
    <t>Rolo de espuma 10 a 23cm - esmalte</t>
  </si>
  <si>
    <t>INFRAESTRUTURA PALCO PRINCIPAL</t>
  </si>
  <si>
    <t>INFRAESTRUTURA ESTAÇÃO FERROVIÁRIA</t>
  </si>
  <si>
    <t>INFRAESTRUTURA ALTO DO MOURA</t>
  </si>
  <si>
    <t>PALCO MÉDIO PORTE COM COMPLEMENTOS (AZULÃO)</t>
  </si>
  <si>
    <t>GERADORES PALCO PRINCIPAL</t>
  </si>
  <si>
    <t>GERADORES ESTAÇÃO FERROVIÁRIA</t>
  </si>
  <si>
    <t>GERADORES ALTO DO MOURA</t>
  </si>
  <si>
    <t>SERVIÇOS DE MONTAGEM E DESMONTAGEM DE ESTRUTURA, SOM E ILUMINAÇÃO INCLUINDO FORNECIMENTO, INSTALAÇÃO E MANUTENÇÃO; E  SERVIÇOS DE CAPTAÇÃO E TRANSMISSÃO DE IMAGENS - SÃO JOÃO 2024</t>
  </si>
  <si>
    <t>PALCO PRINCIPAL</t>
  </si>
  <si>
    <t>1.1.1</t>
  </si>
  <si>
    <t>1.1.2</t>
  </si>
  <si>
    <t>1.1.3</t>
  </si>
  <si>
    <t>1.1.4</t>
  </si>
  <si>
    <t>1.1.5</t>
  </si>
  <si>
    <t>1.1.6</t>
  </si>
  <si>
    <t>1.1.7</t>
  </si>
  <si>
    <t>1.1.7.1</t>
  </si>
  <si>
    <t>1.1.7.2</t>
  </si>
  <si>
    <t>1.1.8</t>
  </si>
  <si>
    <t>1.1.9</t>
  </si>
  <si>
    <t>1.1.10</t>
  </si>
  <si>
    <t>1.1.10.1</t>
  </si>
  <si>
    <t>1.1.10.2</t>
  </si>
  <si>
    <t>1.1.11</t>
  </si>
  <si>
    <t>1.1.11.1</t>
  </si>
  <si>
    <t>1.1.12</t>
  </si>
  <si>
    <t>1.1.12.1</t>
  </si>
  <si>
    <t>1.1.12.2</t>
  </si>
  <si>
    <t>1.1.13</t>
  </si>
  <si>
    <t>1.1.13.1</t>
  </si>
  <si>
    <t>1.2.1</t>
  </si>
  <si>
    <t>ESTAÇÃO FERROVIÁRIA</t>
  </si>
  <si>
    <t>2.2</t>
  </si>
  <si>
    <t>ALTO DO MOURA</t>
  </si>
  <si>
    <t>PÓRTICOS TIPO II (USO GERAL)</t>
  </si>
  <si>
    <t>Locação de FECHAMENTOS (módulos com 3,00m de altura com estruturação em metalon 30x20mm e fechamento total em chapa galvanizada n°16)</t>
  </si>
  <si>
    <t>UND</t>
  </si>
  <si>
    <t>326 CABINES SANITÁRIA TIPO I - Standard</t>
  </si>
  <si>
    <t>7 CABINES SANITÁRIA TIPO II - PNE</t>
  </si>
  <si>
    <t>04 CONTAINERS ESCRITÓRIO SEM BANHEIRO</t>
  </si>
  <si>
    <t>58 CABINES SANITÁRIA TIPO I - Standard</t>
  </si>
  <si>
    <t>1 CABINES SANITÁRIA TIPO II - PNE</t>
  </si>
  <si>
    <t>10 BARRACAS - 5,00m x 2,00m</t>
  </si>
  <si>
    <t>22 BARRACAS - 2,00m x 2,00m</t>
  </si>
  <si>
    <t>20 BARRACAS - 5,00m x 2,00m</t>
  </si>
  <si>
    <t>400 M2 de PISO</t>
  </si>
  <si>
    <t>PALCO GRANDE PORTE COM COMPLEMENTOS (PRINCIPAL)</t>
  </si>
  <si>
    <t>CAMAROTE INSTITUCIONAL</t>
  </si>
  <si>
    <t>Locação de DIVISÓRIAS - Estrutura metalon + compensado - COZINHA</t>
  </si>
  <si>
    <t>1 ESTANDES TIPO I - COI</t>
  </si>
  <si>
    <t xml:space="preserve">PALCO DE MÉDIO PORTE COM COMPLEMENTOS (AZULÃO) </t>
  </si>
  <si>
    <t>PAVILHÃO CENTRO DE RECICLAGEM</t>
  </si>
  <si>
    <t>Q (un)</t>
  </si>
  <si>
    <t>PAVILHÃO POSTO MÉDICO</t>
  </si>
  <si>
    <t>Locação Estrutura Metálica - CAMARINS (05 UNIDADES)</t>
  </si>
  <si>
    <t>2.1.2.1</t>
  </si>
  <si>
    <t>2.1.2.2</t>
  </si>
  <si>
    <t>2.1.2.3</t>
  </si>
  <si>
    <t>2.1.2.4</t>
  </si>
  <si>
    <t>2.1.2.5</t>
  </si>
  <si>
    <t>2.1.2.6</t>
  </si>
  <si>
    <t>2.1.2.7</t>
  </si>
  <si>
    <t>2.1.2.8</t>
  </si>
  <si>
    <t>2.1.4.1</t>
  </si>
  <si>
    <t>2.1.5.1</t>
  </si>
  <si>
    <t>2.1.6.1</t>
  </si>
  <si>
    <t>2.1.6.2</t>
  </si>
  <si>
    <t>2.1.7.1</t>
  </si>
  <si>
    <t>2.1.7.2</t>
  </si>
  <si>
    <t>2.1.8.1</t>
  </si>
  <si>
    <t>2.1.8.2</t>
  </si>
  <si>
    <t>2.1.9.1</t>
  </si>
  <si>
    <t>2.1.9.2</t>
  </si>
  <si>
    <t>06 Geradores 260KVA (Stand-By)</t>
  </si>
  <si>
    <t>01 Geradores 260KVA (Stand-By)</t>
  </si>
  <si>
    <t>1.1.6.1</t>
  </si>
  <si>
    <t>1.1.8.1</t>
  </si>
  <si>
    <t>1.1.8.2</t>
  </si>
  <si>
    <t>1.1.9.1</t>
  </si>
  <si>
    <t>1.2.1.1</t>
  </si>
  <si>
    <t>1.2.1.2</t>
  </si>
  <si>
    <t>2.2.1.1</t>
  </si>
  <si>
    <t>COMPOSIÇÃO 01</t>
  </si>
  <si>
    <t>COMPOSIÇÃO 02</t>
  </si>
  <si>
    <t>COMPOSIÇÃO 04</t>
  </si>
  <si>
    <t>COMPOSIÇÃO 05</t>
  </si>
  <si>
    <t>COMPOSIÇÃO 06</t>
  </si>
  <si>
    <t>COMPOSIÇÃO 07</t>
  </si>
  <si>
    <t>COMPOSIÇÃO 08</t>
  </si>
  <si>
    <t>COMPOSIÇÃO 09</t>
  </si>
  <si>
    <t>COMPOSIÇÃO 03</t>
  </si>
  <si>
    <t>COMPOSIÇÃO 10</t>
  </si>
  <si>
    <t>COMPOSIÇÃO 11</t>
  </si>
  <si>
    <t>COMPOSIÇÃO 12</t>
  </si>
  <si>
    <t>COMPOSIÇÃO 13</t>
  </si>
  <si>
    <t>COMPOSIÇÃO 14</t>
  </si>
  <si>
    <t>COMPOSIÇÃO 15</t>
  </si>
  <si>
    <t>COMPOSIÇÃO 19</t>
  </si>
  <si>
    <t>COMPOSIÇÃO 20</t>
  </si>
  <si>
    <t>COMPOSIÇÃO 21</t>
  </si>
  <si>
    <t>COMPOSIÇÃO 23</t>
  </si>
  <si>
    <t>02 Geradores 260KVA (Stand-By)</t>
  </si>
  <si>
    <t>03 Geradores 180KVA (Stand-By)</t>
  </si>
  <si>
    <t>3.3.1.1</t>
  </si>
  <si>
    <t>3.3.1.2</t>
  </si>
  <si>
    <t>PAVILHÃO  REPENTE E CASA DO FORRÓ</t>
  </si>
  <si>
    <t>CPU-AX 55</t>
  </si>
  <si>
    <t>CPU-AX 56</t>
  </si>
  <si>
    <t>CPU-AX 57</t>
  </si>
  <si>
    <t>CPU-AX 58</t>
  </si>
  <si>
    <t>CPU-AX 59</t>
  </si>
  <si>
    <t>CPU-AX 60</t>
  </si>
  <si>
    <t>CPU-AX 61</t>
  </si>
  <si>
    <t>CPU-AX 62</t>
  </si>
  <si>
    <t>CPU-AX 63</t>
  </si>
  <si>
    <t>CPU-AX 64</t>
  </si>
  <si>
    <t>CPU-AX 65</t>
  </si>
  <si>
    <t>CPU-AX 66</t>
  </si>
  <si>
    <t>CPU-AX 73</t>
  </si>
  <si>
    <t>CPU-AX 74</t>
  </si>
  <si>
    <t>CPU-AX 75</t>
  </si>
  <si>
    <t>CPU-AX 76</t>
  </si>
  <si>
    <t>CPU-AX 77</t>
  </si>
  <si>
    <t>CPU-AX 78</t>
  </si>
  <si>
    <t>CPU-AX 79</t>
  </si>
  <si>
    <t>CPU-AX 80</t>
  </si>
  <si>
    <t>CPU-AX 81</t>
  </si>
  <si>
    <t>CPU-AX 82</t>
  </si>
  <si>
    <t>CPU-AX 83</t>
  </si>
  <si>
    <t>CPU-AX 84</t>
  </si>
  <si>
    <t>CPU-AX 85</t>
  </si>
  <si>
    <t>CPU-AX 86</t>
  </si>
  <si>
    <t>CPU-AX 87</t>
  </si>
  <si>
    <t>CPU-AX 88</t>
  </si>
  <si>
    <t>CPU-AX 89</t>
  </si>
  <si>
    <t>CPU-AX 90</t>
  </si>
  <si>
    <t>Locação Estrutura Metálica - PÓRTICOS (base 2,60x3,60m)</t>
  </si>
  <si>
    <t>Locação Estrutura Metálica - PÓRTICOS (base 1,00x2,30m)</t>
  </si>
  <si>
    <t>COMPOSIÇÃO 22</t>
  </si>
  <si>
    <t>COMPOSIÇÃO 24</t>
  </si>
  <si>
    <t>COMPOSIÇÃO 25</t>
  </si>
  <si>
    <t>COMPOSIÇÃO 26</t>
  </si>
  <si>
    <t>COMPOSIÇÃO 27</t>
  </si>
  <si>
    <t>COMPOSIÇÃO 28</t>
  </si>
  <si>
    <t xml:space="preserve">BARRICADAS </t>
  </si>
  <si>
    <t>COMPOSIÇÃO 29</t>
  </si>
  <si>
    <t>COMPOSIÇÃO 30</t>
  </si>
  <si>
    <t>PASSARELA TIPO I (prox. Coi)</t>
  </si>
  <si>
    <t>COMPOSIÇÃO 31</t>
  </si>
  <si>
    <t>COMPOSIÇÃO 32</t>
  </si>
  <si>
    <r>
      <t>PISO</t>
    </r>
    <r>
      <rPr>
        <sz val="12"/>
        <color rgb="FF000000"/>
        <rFont val="Calibri"/>
        <family val="2"/>
      </rPr>
      <t xml:space="preserve"> </t>
    </r>
  </si>
  <si>
    <r>
      <t xml:space="preserve">PISOS </t>
    </r>
    <r>
      <rPr>
        <sz val="11"/>
        <color rgb="FF000000"/>
        <rFont val="Calibri"/>
        <family val="2"/>
      </rPr>
      <t>(400,00m²)</t>
    </r>
  </si>
  <si>
    <t>COMPOSIÇÃO 33</t>
  </si>
  <si>
    <t>COMPOSIÇÃO 34</t>
  </si>
  <si>
    <t>TOLDOS - TIPO II (5,0m x 5,0m)</t>
  </si>
  <si>
    <t>COMPOSIÇÃO 35</t>
  </si>
  <si>
    <t>COMPOSIÇÃO 36</t>
  </si>
  <si>
    <t>PÓRTICO TIPO III - LETRA CAIXA AGAMENON</t>
  </si>
  <si>
    <t>COMPOSIÇÃO 37</t>
  </si>
  <si>
    <t>1 PÓRTICO TIPO III - LETRA CAIXA AGAMENON</t>
  </si>
  <si>
    <t>1 PÓRTICO TIPO I - ENTRADA ESTAÇÃO FERROVIÁRIA</t>
  </si>
  <si>
    <t>7 PÓRTICO TIPO II - USO GERAL</t>
  </si>
  <si>
    <t>26 PÓRTICO TIPO II - USO GERAL</t>
  </si>
  <si>
    <t>256 METROS LINEARES DE DISCIPLINADORES</t>
  </si>
  <si>
    <t>12 METROS LINEARES DE BARRICADAS</t>
  </si>
  <si>
    <t>120 CADEIRAS - PVC branco sem braços</t>
  </si>
  <si>
    <t>600 CADEIRAS - PVC branco sem braços</t>
  </si>
  <si>
    <t>40 MESAS - PVC branco com 4 lugares</t>
  </si>
  <si>
    <t>3 SOFÁS TIPO I - 3 lugares</t>
  </si>
  <si>
    <t>3 SOFÁS TIPO II - 2 lugares</t>
  </si>
  <si>
    <t>400 m² CARPETE</t>
  </si>
  <si>
    <t>GERADOR</t>
  </si>
  <si>
    <t>4.000 m² CARPETE</t>
  </si>
  <si>
    <t>1.238 m² CARPETE</t>
  </si>
  <si>
    <t>Locação ESTRUTURA EM BOX TRUSS PARA GRID PARA ILUMINAÇÃO CÊNICA</t>
  </si>
  <si>
    <t>1.1.1.39</t>
  </si>
  <si>
    <t>1.1.1.40</t>
  </si>
  <si>
    <t>Locação Estrutura Metálica - PAVILHÃO - RESTAURANTE</t>
  </si>
  <si>
    <t>Locação Estrutura Metálica - PAVILHÃO - COLETA SELETIVA</t>
  </si>
  <si>
    <t>Locação Estrutura Metálica - TOLDO - DEPÓSITOS DE BEBIDAS</t>
  </si>
  <si>
    <t>Locação Estrutura Metálica - PAVILHÃO - FOOD TRUCK</t>
  </si>
  <si>
    <t>Locação Estrutura Metálica - PISO - PCD</t>
  </si>
  <si>
    <t>PÓRTICOS TIPO IV  - ENTRADA ALTO DO MOURA</t>
  </si>
  <si>
    <t>3.1.1</t>
  </si>
  <si>
    <t>3.1.2</t>
  </si>
  <si>
    <t>3.1.3</t>
  </si>
  <si>
    <t>3.1.4</t>
  </si>
  <si>
    <t>3.1.5</t>
  </si>
  <si>
    <t>3.1.6</t>
  </si>
  <si>
    <t>3.1.7</t>
  </si>
  <si>
    <t>Locação Estrutura Metálica - COBERTA (incluindo lona) - restaurantes</t>
  </si>
  <si>
    <t>1.2.1.3</t>
  </si>
  <si>
    <t>1.2.1.4</t>
  </si>
  <si>
    <t>1.2.1.5</t>
  </si>
  <si>
    <t>1.2.1.6</t>
  </si>
  <si>
    <t>1.2.1.7</t>
  </si>
  <si>
    <t>1.2.1.8</t>
  </si>
  <si>
    <t>1.2.1.9</t>
  </si>
  <si>
    <t>1.2.1.10</t>
  </si>
  <si>
    <t>1.2.1.11</t>
  </si>
  <si>
    <t>1.2.1.12</t>
  </si>
  <si>
    <t>1.2.1.13</t>
  </si>
  <si>
    <t>1.2.1.14</t>
  </si>
  <si>
    <t>1.2.1.15</t>
  </si>
  <si>
    <t>1.2.1.16</t>
  </si>
  <si>
    <t>1.2.1.17</t>
  </si>
  <si>
    <t>1.2.1.18</t>
  </si>
  <si>
    <t>1.2.1.19</t>
  </si>
  <si>
    <t>1.2.1.20</t>
  </si>
  <si>
    <t>1.2.1.21</t>
  </si>
  <si>
    <t>1.2.1.22</t>
  </si>
  <si>
    <t>1.2.1.23</t>
  </si>
  <si>
    <t>1.2.1.24</t>
  </si>
  <si>
    <t>1.2.1.25</t>
  </si>
  <si>
    <t>1.2.1.26</t>
  </si>
  <si>
    <t>1.2.1.27</t>
  </si>
  <si>
    <t>1.2.1.28</t>
  </si>
  <si>
    <t>1.2.1.29</t>
  </si>
  <si>
    <t>1.2.1.30</t>
  </si>
  <si>
    <t>1.2.1.31</t>
  </si>
  <si>
    <t>1.2.1.32</t>
  </si>
  <si>
    <t>1.2.1.33</t>
  </si>
  <si>
    <t>1.2.1.34</t>
  </si>
  <si>
    <t>1.2.1.35</t>
  </si>
  <si>
    <t>1.2.1.36</t>
  </si>
  <si>
    <t>1.2.1.37</t>
  </si>
  <si>
    <t>1.2.1.38</t>
  </si>
  <si>
    <t>1.2.1.39</t>
  </si>
  <si>
    <t>1.2.1.40</t>
  </si>
  <si>
    <t>1.2.1.41</t>
  </si>
  <si>
    <t>1.2.1.42</t>
  </si>
  <si>
    <t>1.2.1.43</t>
  </si>
  <si>
    <t>1.2.1.44</t>
  </si>
  <si>
    <t>1.2.1.45</t>
  </si>
  <si>
    <t>1.2.1.46</t>
  </si>
  <si>
    <t>1.2.1.47</t>
  </si>
  <si>
    <t>1.2.1.48</t>
  </si>
  <si>
    <t>1.2.1.49</t>
  </si>
  <si>
    <t>1.2.1.50</t>
  </si>
  <si>
    <t>1.2.1.51</t>
  </si>
  <si>
    <t>1.2.1.52</t>
  </si>
  <si>
    <t>1.2.1.53</t>
  </si>
  <si>
    <t>1.2.1.54</t>
  </si>
  <si>
    <t>1.2.2.1</t>
  </si>
  <si>
    <t>1.2.2.2</t>
  </si>
  <si>
    <t>1.2.2.3</t>
  </si>
  <si>
    <t>1.2.2.4</t>
  </si>
  <si>
    <t>1.2.2.5</t>
  </si>
  <si>
    <t>1.2.2.6</t>
  </si>
  <si>
    <t>1.2.2.7</t>
  </si>
  <si>
    <t>1.2.2.8</t>
  </si>
  <si>
    <t>1.2.2.9</t>
  </si>
  <si>
    <t>1.2.2.10</t>
  </si>
  <si>
    <t>1.2.2.11</t>
  </si>
  <si>
    <t>1.2.2.12</t>
  </si>
  <si>
    <t>1.2.2.13</t>
  </si>
  <si>
    <t>1.2.2.14</t>
  </si>
  <si>
    <t>1.2.2.15</t>
  </si>
  <si>
    <t>1.2.2.16</t>
  </si>
  <si>
    <t>1.2.2.17</t>
  </si>
  <si>
    <t>1.2.2.18</t>
  </si>
  <si>
    <t>1.2.2.19</t>
  </si>
  <si>
    <t>1.2.2.20</t>
  </si>
  <si>
    <t>1.2.2.21</t>
  </si>
  <si>
    <t>1.2.2.22</t>
  </si>
  <si>
    <t>1.2.2.23</t>
  </si>
  <si>
    <t>1.2.2.24</t>
  </si>
  <si>
    <t>1.2.2.25</t>
  </si>
  <si>
    <t>1.2.2.26</t>
  </si>
  <si>
    <t>1.2.2</t>
  </si>
  <si>
    <t>1.2.3</t>
  </si>
  <si>
    <t>1.2.3.1</t>
  </si>
  <si>
    <t>1.2.3.2</t>
  </si>
  <si>
    <t>1.2.3.3</t>
  </si>
  <si>
    <t>1.2.3.4</t>
  </si>
  <si>
    <t>1.2.3.5</t>
  </si>
  <si>
    <t>1.2.3.6</t>
  </si>
  <si>
    <t>116 REFLETORES VAPOR METÁLICO DE 400W</t>
  </si>
  <si>
    <t>500 EXTENSÕES TAMANHOS VARIADOS</t>
  </si>
  <si>
    <t>184 PONTOS DE ILUMINAÇÃO INTERNA COM LÂMPADAS</t>
  </si>
  <si>
    <t>550 M ELETROCALHA 100x100</t>
  </si>
  <si>
    <t>340M CABO ISOLADO MULTIPLEXADO DE 2X25MM</t>
  </si>
  <si>
    <t>6.</t>
  </si>
  <si>
    <t>3.2.1</t>
  </si>
  <si>
    <t>3.2.1.1</t>
  </si>
  <si>
    <t>3.2.1.2</t>
  </si>
  <si>
    <t>3.2.1.3</t>
  </si>
  <si>
    <t>3.2.1.4</t>
  </si>
  <si>
    <t>3.2.1.5</t>
  </si>
  <si>
    <t>3.2.1.6</t>
  </si>
  <si>
    <t>3.2.1.7</t>
  </si>
  <si>
    <t>3.2.1.8</t>
  </si>
  <si>
    <t>3.2.1.9</t>
  </si>
  <si>
    <t>3.2.1.10</t>
  </si>
  <si>
    <t>3.2.1.11</t>
  </si>
  <si>
    <t>3.2.1.12</t>
  </si>
  <si>
    <t>3.2.1.13</t>
  </si>
  <si>
    <t>3.2.1.14</t>
  </si>
  <si>
    <t>3.2.1.15</t>
  </si>
  <si>
    <t>3.2.1.16</t>
  </si>
  <si>
    <t>3.2.1.17</t>
  </si>
  <si>
    <t>3.2.1.18</t>
  </si>
  <si>
    <t>3.2.1.19</t>
  </si>
  <si>
    <t>3.2.1.20</t>
  </si>
  <si>
    <t>3.2.1.21</t>
  </si>
  <si>
    <t>3.2.1.22</t>
  </si>
  <si>
    <t>3.2.1.23</t>
  </si>
  <si>
    <t>3.2.1.24</t>
  </si>
  <si>
    <t>3.2.1.25</t>
  </si>
  <si>
    <t>3.2.1.26</t>
  </si>
  <si>
    <t>3.2.1.27</t>
  </si>
  <si>
    <t>3.2.1.28</t>
  </si>
  <si>
    <t>3.2.1.29</t>
  </si>
  <si>
    <t>3.2.1.30</t>
  </si>
  <si>
    <t>3.2.1.31</t>
  </si>
  <si>
    <t>3.2.1.32</t>
  </si>
  <si>
    <t>3.2.1.33</t>
  </si>
  <si>
    <t>3.2.2</t>
  </si>
  <si>
    <t>3.2.2.1</t>
  </si>
  <si>
    <t>3.2.2.2</t>
  </si>
  <si>
    <t>3.2.2.3</t>
  </si>
  <si>
    <t>3.2.2.4</t>
  </si>
  <si>
    <t>3.2.2.5</t>
  </si>
  <si>
    <t>3.2.2.6</t>
  </si>
  <si>
    <t>3.2.2.7</t>
  </si>
  <si>
    <t>3.2.2.8</t>
  </si>
  <si>
    <t>3.2.2.9</t>
  </si>
  <si>
    <t>3.2.2.10</t>
  </si>
  <si>
    <t>3.2.2.11</t>
  </si>
  <si>
    <t>3.2.2.12</t>
  </si>
  <si>
    <t>3.2.2.13</t>
  </si>
  <si>
    <t>3.2.2.14</t>
  </si>
  <si>
    <t>3.2.2.15</t>
  </si>
  <si>
    <t>LOCAL: CARUARU/PE</t>
  </si>
  <si>
    <t>TIPO DE OBRA: ITENS DE MERO FORNECIMENTO DE MATERIAIS E EQUIPAMENTOS</t>
  </si>
  <si>
    <t>ITENS</t>
  </si>
  <si>
    <t>% ADOTADO</t>
  </si>
  <si>
    <t xml:space="preserve">Administração Central (AC) </t>
  </si>
  <si>
    <t xml:space="preserve">Seguro e Garantia (S) / (G) </t>
  </si>
  <si>
    <t xml:space="preserve">Risco (R) </t>
  </si>
  <si>
    <t xml:space="preserve">Despesas Financeiras (DF) </t>
  </si>
  <si>
    <t>Lucro (L)</t>
  </si>
  <si>
    <t xml:space="preserve">PIS + COFINS + ISS = 0,65% + 3,0% + 5,0% </t>
  </si>
  <si>
    <t xml:space="preserve">BDI </t>
  </si>
  <si>
    <t>VICTOR HUGO JUSTINO</t>
  </si>
  <si>
    <t>2.2.1.2</t>
  </si>
  <si>
    <t>2.2.1.3</t>
  </si>
  <si>
    <t>2.2.1.4</t>
  </si>
  <si>
    <t>2.2.1.5</t>
  </si>
  <si>
    <t>2.2.1.6</t>
  </si>
  <si>
    <t>2.2.1.7</t>
  </si>
  <si>
    <t>2.2.1.8</t>
  </si>
  <si>
    <t>2.2.1.9</t>
  </si>
  <si>
    <t>2.2.1.10</t>
  </si>
  <si>
    <t>2.2.1.11</t>
  </si>
  <si>
    <t>2.2.1.12</t>
  </si>
  <si>
    <t>2.2.1.13</t>
  </si>
  <si>
    <t>2.2.1.14</t>
  </si>
  <si>
    <t>2.2.1.15</t>
  </si>
  <si>
    <t>2.2.1.16</t>
  </si>
  <si>
    <t>2.2.1.17</t>
  </si>
  <si>
    <t>2.2.1.18</t>
  </si>
  <si>
    <t>2.2.1.19</t>
  </si>
  <si>
    <t>2.2.1.20</t>
  </si>
  <si>
    <t>2.2.1.21</t>
  </si>
  <si>
    <t>2.2.1.22</t>
  </si>
  <si>
    <t>2.2.1.23</t>
  </si>
  <si>
    <t>2.2.1.24</t>
  </si>
  <si>
    <t>2.2.1.25</t>
  </si>
  <si>
    <t>2.2.1.26</t>
  </si>
  <si>
    <t>2.2.1.27</t>
  </si>
  <si>
    <t>2.2.1.28</t>
  </si>
  <si>
    <t>2.2.1.29</t>
  </si>
  <si>
    <t>2.2.1.30</t>
  </si>
  <si>
    <t>2.2.1.31</t>
  </si>
  <si>
    <t>2.2.1.32</t>
  </si>
  <si>
    <t>2.2.2.1</t>
  </si>
  <si>
    <t>2.2.2.2</t>
  </si>
  <si>
    <t>2.2.2.3</t>
  </si>
  <si>
    <t>2.2.2.4</t>
  </si>
  <si>
    <t>2.2.2.5</t>
  </si>
  <si>
    <t>2.2.2.6</t>
  </si>
  <si>
    <t>2.2.2.7</t>
  </si>
  <si>
    <t>2.2.2.8</t>
  </si>
  <si>
    <t>2.2.2.9</t>
  </si>
  <si>
    <t>2.2.2.10</t>
  </si>
  <si>
    <t>2.2.2.11</t>
  </si>
  <si>
    <t>2.2.2.12</t>
  </si>
  <si>
    <t>2.2.2.13</t>
  </si>
  <si>
    <t>2.2.2.14</t>
  </si>
  <si>
    <t>2.2.3.1</t>
  </si>
  <si>
    <t>2.2.3.2</t>
  </si>
  <si>
    <t>2.2.3.3</t>
  </si>
  <si>
    <t>2.2.3.4</t>
  </si>
  <si>
    <t>2.2.3.5</t>
  </si>
  <si>
    <t>2.2.3.6</t>
  </si>
  <si>
    <t>2.2.3.7</t>
  </si>
  <si>
    <t>2.2.3.8</t>
  </si>
  <si>
    <t>2.2.3.9</t>
  </si>
  <si>
    <t>2.2.3.10</t>
  </si>
  <si>
    <t>2.2.3.11</t>
  </si>
  <si>
    <t>2.2.3.12</t>
  </si>
  <si>
    <t>2.2.3.13</t>
  </si>
  <si>
    <t>2.2.3.14</t>
  </si>
  <si>
    <t>2.2.3.15</t>
  </si>
  <si>
    <t>2.2.3.16</t>
  </si>
  <si>
    <t>2.2.3.17</t>
  </si>
  <si>
    <t>2.2.3.18</t>
  </si>
  <si>
    <t>2.2.3.19</t>
  </si>
  <si>
    <t>2.2.3.20</t>
  </si>
  <si>
    <t>2.2.3.21</t>
  </si>
  <si>
    <t>2.2.3.22</t>
  </si>
  <si>
    <t>2.2.3.23</t>
  </si>
  <si>
    <t>2.2.3.24</t>
  </si>
  <si>
    <t>2.2.3.25</t>
  </si>
  <si>
    <t>2.2.3.26</t>
  </si>
  <si>
    <t>2.2.3.27</t>
  </si>
  <si>
    <t>2.2.3.28</t>
  </si>
  <si>
    <t>2.2.3.29</t>
  </si>
  <si>
    <t>2.2.3.30</t>
  </si>
  <si>
    <t>2.2.3.31</t>
  </si>
  <si>
    <t>2.2.3.32</t>
  </si>
  <si>
    <t>2.2.4.1</t>
  </si>
  <si>
    <t>2.2.4.2</t>
  </si>
  <si>
    <t>2.2.4.3</t>
  </si>
  <si>
    <t>2.2.4.4</t>
  </si>
  <si>
    <t>2.2.4.5</t>
  </si>
  <si>
    <t>2.2.4.6</t>
  </si>
  <si>
    <t>2.2.4.7</t>
  </si>
  <si>
    <t>2.2.4.8</t>
  </si>
  <si>
    <t>2.2.4.9</t>
  </si>
  <si>
    <t>2.2.4.10</t>
  </si>
  <si>
    <t>2.2.4.11</t>
  </si>
  <si>
    <t>2.2.4.12</t>
  </si>
  <si>
    <t>2.2.4.13</t>
  </si>
  <si>
    <t>2.2.4.14</t>
  </si>
  <si>
    <t>2.2.5.1</t>
  </si>
  <si>
    <t>2.2.5.2</t>
  </si>
  <si>
    <t>2.2.5.3</t>
  </si>
  <si>
    <t>2.2.5.4</t>
  </si>
  <si>
    <t>2.2.5.5</t>
  </si>
  <si>
    <t>2.2.5.6</t>
  </si>
  <si>
    <t>2.2.5.7</t>
  </si>
  <si>
    <t>2.2.5.8</t>
  </si>
  <si>
    <t>2.2.5.9</t>
  </si>
  <si>
    <t>2.2.5.10</t>
  </si>
  <si>
    <t>2.2.5.11</t>
  </si>
  <si>
    <t>2.2.5.12</t>
  </si>
  <si>
    <t>2.2.5.13</t>
  </si>
  <si>
    <t>2.2.5.14</t>
  </si>
  <si>
    <t>2.2.5.15</t>
  </si>
  <si>
    <t>2.2.5.16</t>
  </si>
  <si>
    <t>2.2.5.17</t>
  </si>
  <si>
    <t>2.2.5.18</t>
  </si>
  <si>
    <t>2.2.5.19</t>
  </si>
  <si>
    <t>2.2.5.20</t>
  </si>
  <si>
    <t>2.2.5.21</t>
  </si>
  <si>
    <t>2.2.6.1</t>
  </si>
  <si>
    <t>2.2.6.2</t>
  </si>
  <si>
    <t>2.2.6.3</t>
  </si>
  <si>
    <t>2.2.6.4</t>
  </si>
  <si>
    <t>2.2.6.5</t>
  </si>
  <si>
    <t>2.2.6.6</t>
  </si>
  <si>
    <t>2.2.6.7</t>
  </si>
  <si>
    <t>2.2.7.1</t>
  </si>
  <si>
    <t>2.2.7.2</t>
  </si>
  <si>
    <t>2.2.7.3</t>
  </si>
  <si>
    <t>2.2.7.4</t>
  </si>
  <si>
    <t>2.2.7.5</t>
  </si>
  <si>
    <t>2.2.7.6</t>
  </si>
  <si>
    <t>2.2.8.1</t>
  </si>
  <si>
    <t>2.2.8.2</t>
  </si>
  <si>
    <t>2.2.8.3</t>
  </si>
  <si>
    <t>2.2.8.4</t>
  </si>
  <si>
    <t>2.2.8.5</t>
  </si>
  <si>
    <t>2.2.8.6</t>
  </si>
  <si>
    <t>12 REFLETORES PAR LED RGBW</t>
  </si>
  <si>
    <t>12 REFLETORES PARLEDRGBW, DMX 512 DE 3 WATTS</t>
  </si>
  <si>
    <t>2 PÓRTICO TIPO IV</t>
  </si>
  <si>
    <t>3.1.3.1</t>
  </si>
  <si>
    <t>3.1.4.1</t>
  </si>
  <si>
    <t>3.1.5.1</t>
  </si>
  <si>
    <t>3.1.5.2</t>
  </si>
  <si>
    <t>3.1.6.1</t>
  </si>
  <si>
    <t>3.1.6.2</t>
  </si>
  <si>
    <t>3.1.7.1</t>
  </si>
  <si>
    <t>180 CADEIRAS - PVC branco sem braços</t>
  </si>
  <si>
    <t>60 MESAS - PVC branco com 4 lugares</t>
  </si>
  <si>
    <t>4.1.1.1</t>
  </si>
  <si>
    <t>4.1.1.2</t>
  </si>
  <si>
    <t>4.1.1.3</t>
  </si>
  <si>
    <t>4.1.1.4</t>
  </si>
  <si>
    <t>4.1.1.5</t>
  </si>
  <si>
    <t>4.1.1.6</t>
  </si>
  <si>
    <t>4.1.1.7</t>
  </si>
  <si>
    <t>4.1.1.8</t>
  </si>
  <si>
    <t>4.1.1.9</t>
  </si>
  <si>
    <t>4.1.1.10</t>
  </si>
  <si>
    <t>4.1.1.11</t>
  </si>
  <si>
    <t>4.1.1.12</t>
  </si>
  <si>
    <t>4.1.1.13</t>
  </si>
  <si>
    <t>4.1.1.14</t>
  </si>
  <si>
    <t>4.1.1.15</t>
  </si>
  <si>
    <t>5.1.1.1</t>
  </si>
  <si>
    <t>5.1.1.2</t>
  </si>
  <si>
    <t>5.1.1.3</t>
  </si>
  <si>
    <t>5.1.1.4</t>
  </si>
  <si>
    <t>5.1.1.5</t>
  </si>
  <si>
    <t>5.1.1.6</t>
  </si>
  <si>
    <t>5.1.1.7</t>
  </si>
  <si>
    <t>5.1.1.8</t>
  </si>
  <si>
    <t>5.1.1.9</t>
  </si>
  <si>
    <t>6.1.1.1</t>
  </si>
  <si>
    <t>6.1.1.2</t>
  </si>
  <si>
    <t>200 MESAS - PVC branco com 4 lugares</t>
  </si>
  <si>
    <t>2.3.1.1</t>
  </si>
  <si>
    <t>CPU-AX 19</t>
  </si>
  <si>
    <t>CPU-AX 20</t>
  </si>
  <si>
    <t>CPU-AX 21</t>
  </si>
  <si>
    <t>CPU-AX 22</t>
  </si>
  <si>
    <t>CPU-AX 23</t>
  </si>
  <si>
    <t>CPU-AX 24</t>
  </si>
  <si>
    <t>CPU-AX 25</t>
  </si>
  <si>
    <t>CPU-AX 26</t>
  </si>
  <si>
    <t>CPU-AX 27</t>
  </si>
  <si>
    <t>CPU-AX 28</t>
  </si>
  <si>
    <t>CPU-AX 29</t>
  </si>
  <si>
    <t>CPU-AX 30</t>
  </si>
  <si>
    <t>CPU-AX 181</t>
  </si>
  <si>
    <t>CPU-AX 182</t>
  </si>
  <si>
    <t>CPU-AX 183</t>
  </si>
  <si>
    <t>CPU-AX 184</t>
  </si>
  <si>
    <t>CPU-AX 185</t>
  </si>
  <si>
    <t>CPU-AX 186</t>
  </si>
  <si>
    <t>CPU-AX 193</t>
  </si>
  <si>
    <t>CPU-AX 194</t>
  </si>
  <si>
    <t>CPU-AX 195</t>
  </si>
  <si>
    <t>CPU-AX 196</t>
  </si>
  <si>
    <t>CPU-AX 197</t>
  </si>
  <si>
    <t>CPU-AX 198</t>
  </si>
  <si>
    <t>CPU-AX 217</t>
  </si>
  <si>
    <t>CPU-AX 218</t>
  </si>
  <si>
    <t>CPU-AX 219</t>
  </si>
  <si>
    <t>CPU-AX 220</t>
  </si>
  <si>
    <t>CPU-AX 221</t>
  </si>
  <si>
    <t>CPU-AX 222</t>
  </si>
  <si>
    <t>CPU-AX 7</t>
  </si>
  <si>
    <t>CPU-AX 8</t>
  </si>
  <si>
    <t>CPU-AX 9</t>
  </si>
  <si>
    <t>Valor de Locação mensal =  5% do custo</t>
  </si>
  <si>
    <t>ORSE</t>
  </si>
  <si>
    <t>SINAPI</t>
  </si>
  <si>
    <t>CÓDIGO</t>
  </si>
  <si>
    <t>PREÇO</t>
  </si>
  <si>
    <t>D039722443</t>
  </si>
  <si>
    <t>EMBASA</t>
  </si>
  <si>
    <t>E9528</t>
  </si>
  <si>
    <t>SICRO</t>
  </si>
  <si>
    <t>9900005U</t>
  </si>
  <si>
    <t>COMPESA</t>
  </si>
  <si>
    <t>E9776+9476</t>
  </si>
  <si>
    <t>SICRO + ORSE</t>
  </si>
  <si>
    <t>COTAÇÃO</t>
  </si>
  <si>
    <t>39833+105115</t>
  </si>
  <si>
    <t>3348+105115</t>
  </si>
  <si>
    <t>E9508</t>
  </si>
  <si>
    <t>E9592</t>
  </si>
  <si>
    <t>ENG. CIVIL CREA PE 181618524-8</t>
  </si>
  <si>
    <t>x</t>
  </si>
  <si>
    <t>MC - MEMÓRIA DE CÁLCULO</t>
  </si>
  <si>
    <t>QTD</t>
  </si>
  <si>
    <t>taxa/kg/repet.</t>
  </si>
  <si>
    <t>comprimento</t>
  </si>
  <si>
    <t>largura</t>
  </si>
  <si>
    <t>altura</t>
  </si>
  <si>
    <t>área</t>
  </si>
  <si>
    <t>volume</t>
  </si>
  <si>
    <t>TIRO DE GUERRA</t>
  </si>
  <si>
    <t>ACESSO BANHEIRO MUSEU</t>
  </si>
  <si>
    <t>ACESSO  PUBLICO GERAL MUSEU</t>
  </si>
  <si>
    <t>ACESSO SETOR MESAS</t>
  </si>
  <si>
    <t>ACESSO SERVIÇOS</t>
  </si>
  <si>
    <t>ACESSO IMPRENSA</t>
  </si>
  <si>
    <t>ACESSO CAMAROTES</t>
  </si>
  <si>
    <t>ACESSO PDC</t>
  </si>
  <si>
    <t>ACESSO PALCO</t>
  </si>
  <si>
    <t>PRAÇA GIOCOMO</t>
  </si>
  <si>
    <t>ENTRADA R. MANOEL SURUBIM - ONIBUS</t>
  </si>
  <si>
    <t>BANHEIRO PAVILHÃO</t>
  </si>
  <si>
    <t>ACESSO ENTRADA/BANHEIROS</t>
  </si>
  <si>
    <t>AZULÃO</t>
  </si>
  <si>
    <t>CAMARÃO</t>
  </si>
  <si>
    <t>FOOD TRUCKS</t>
  </si>
  <si>
    <t>PRAÇA GIACOMO</t>
  </si>
  <si>
    <t>ACESSO COI</t>
  </si>
  <si>
    <t>RUA MANOEL SURUBIM</t>
  </si>
  <si>
    <t>MUSEU</t>
  </si>
  <si>
    <t>FUNDO RESTAURANTE</t>
  </si>
  <si>
    <t>RUA SÃO VICENTE/BANHEIROS</t>
  </si>
  <si>
    <t>ACESSO PCD</t>
  </si>
  <si>
    <t>CAMAROTE</t>
  </si>
  <si>
    <t>LATERAL CAMAROTE INSTITUCIONAL</t>
  </si>
  <si>
    <t>PALCO</t>
  </si>
  <si>
    <t>PQ 10</t>
  </si>
  <si>
    <t>PB 99</t>
  </si>
  <si>
    <t>HOUSE MIX CAMARÃO</t>
  </si>
  <si>
    <t>4 TOLDO TIPO I (10,0X10,0 M)</t>
  </si>
  <si>
    <t>CAT GALPÃO DA ESTAÇÃO</t>
  </si>
  <si>
    <t>PORTICO ENTRADA PRINCIPAL</t>
  </si>
  <si>
    <t>PORTICO BAIA DE ÔNIBUS</t>
  </si>
  <si>
    <t>PORTICO ACESSO PUBLICO BOMBEIRO</t>
  </si>
  <si>
    <t>PORTICO ACESSO MESAS</t>
  </si>
  <si>
    <t>PORTICO ACESSO SERVIÇOS</t>
  </si>
  <si>
    <t>PORTICO ACESSO IMPRENAS</t>
  </si>
  <si>
    <t>PORTICO ACESSO BANHEIOS (VICENTE DE PAULA)</t>
  </si>
  <si>
    <t>PORTICO CAMAROTES</t>
  </si>
  <si>
    <t>PORTICO PCD</t>
  </si>
  <si>
    <t>PORTICO IMPRENSA</t>
  </si>
  <si>
    <t>ENTRADA ASSAI</t>
  </si>
  <si>
    <t>ENTRADA MUSEU</t>
  </si>
  <si>
    <t>APOIO BUFFET</t>
  </si>
  <si>
    <t>ENTRADA SÃO VICENTE DE PAULA</t>
  </si>
  <si>
    <t>CAMAROTE 1</t>
  </si>
  <si>
    <t>PORTÃO DE ENTRADA ASSAI</t>
  </si>
  <si>
    <t>ACESSO BANHEIRO ASSAI</t>
  </si>
  <si>
    <t>PAVILHÃO BARRACAS</t>
  </si>
  <si>
    <t>1.3.1.1</t>
  </si>
  <si>
    <t>1.3.1.2</t>
  </si>
  <si>
    <t xml:space="preserve">FECHAMENTOS </t>
  </si>
  <si>
    <t>PASSARELA TIPO II (PROX. MUSEU)</t>
  </si>
  <si>
    <t>Locação Estrutura Metálica - PÓRTICOS (base 2,60x10,90m)</t>
  </si>
  <si>
    <t>PÓRTICO TIPO III - (LETRA CAIXA AGAMENON)</t>
  </si>
  <si>
    <t>CAMAROTE IMPRENSA</t>
  </si>
  <si>
    <t>RESTAURANTE</t>
  </si>
  <si>
    <t>Locação Estrutura Metálica - PISO (circulação)</t>
  </si>
  <si>
    <t>Locação Estrutura Metálica - RAMPAS (pcd)</t>
  </si>
  <si>
    <t>Locação Estrutura Metálica - PAVILHÃO (camarote)</t>
  </si>
  <si>
    <t>Locação Estrutura Metálica - ESCADA (entrada)</t>
  </si>
  <si>
    <t>Locação Estrutura Metálica - PISO (pcd)</t>
  </si>
  <si>
    <t>Locação Estrutura Metálica - PISO (bar)</t>
  </si>
  <si>
    <t>Locação - GUARDA CORPO - Estrutura metalon + compensado (pcd)</t>
  </si>
  <si>
    <t>1.1.1.41</t>
  </si>
  <si>
    <t>Locação de SPDA e Sistema de SEGURANÇA CONTRA INCÊNDIO E PÂNICO - palco</t>
  </si>
  <si>
    <t>Locação de SPDA e Sistema de SEGURANÇA CONTRA INCÊNDIO E PÂNICO - camarim</t>
  </si>
  <si>
    <t>Locação de SPDA e Sistema de SEGURANÇA CONTRA INCÊNDIO E PÂNICO - house mix</t>
  </si>
  <si>
    <t>1.1.1.42</t>
  </si>
  <si>
    <t>1.1.1.43</t>
  </si>
  <si>
    <t>1.1.1.44</t>
  </si>
  <si>
    <t>1.1.1.45</t>
  </si>
  <si>
    <t>1.1.1.46</t>
  </si>
  <si>
    <t>1.1.1.47</t>
  </si>
  <si>
    <t>CAMARIM</t>
  </si>
  <si>
    <t>KG</t>
  </si>
  <si>
    <t>M</t>
  </si>
  <si>
    <t>CAMAROTE PCD</t>
  </si>
  <si>
    <t>01 CONTAINERS TIPO WC PCD</t>
  </si>
  <si>
    <t>TOLDOS TIPO II (5,0x5,0 M)</t>
  </si>
  <si>
    <t>TOLDOS TIPO I (10,0 x 10,0 M)</t>
  </si>
  <si>
    <t>PAVILHÃO RESTAURANTES</t>
  </si>
  <si>
    <t>PAVILHÃO RETAURANTES</t>
  </si>
  <si>
    <t>1.1.9.2</t>
  </si>
  <si>
    <t>1.1.14</t>
  </si>
  <si>
    <t>1.1.14.1</t>
  </si>
  <si>
    <t>1.1.14.2</t>
  </si>
  <si>
    <t>IMPRENSA</t>
  </si>
  <si>
    <t>VILA CENOGRÁFICA</t>
  </si>
  <si>
    <r>
      <t xml:space="preserve">PÓRTICO TIPO I - Portico Grid </t>
    </r>
    <r>
      <rPr>
        <sz val="12"/>
        <color rgb="FF000000"/>
        <rFont val="Calibri"/>
        <family val="2"/>
      </rPr>
      <t xml:space="preserve">(Entrada da estação) </t>
    </r>
  </si>
  <si>
    <t>H (m)</t>
  </si>
  <si>
    <t>01 PÓRTICO TIPO I - ENTRADA DA ESTAÇÃO</t>
  </si>
  <si>
    <t>Locação estrutura  Estande- PAINÉIS TS formicado - coi</t>
  </si>
  <si>
    <t>RECICLAGEM</t>
  </si>
  <si>
    <r>
      <t xml:space="preserve">Locação Estrutura Metálica - TOLDO (5x5m) - </t>
    </r>
    <r>
      <rPr>
        <sz val="9"/>
        <rFont val="Calibri"/>
        <family val="2"/>
      </rPr>
      <t>Incluindo Lona</t>
    </r>
  </si>
  <si>
    <r>
      <t xml:space="preserve">Locação Estrutura Metálica - TOLDO (10x10m) - </t>
    </r>
    <r>
      <rPr>
        <sz val="9"/>
        <rFont val="Calibri"/>
        <family val="2"/>
      </rPr>
      <t>Incluindo Lona</t>
    </r>
  </si>
  <si>
    <t>Locação Estrutura Metálica - COBERTA (beiral pcd)</t>
  </si>
  <si>
    <t>Locação Estrutura Metálica - PISO (piso 2)</t>
  </si>
  <si>
    <t>Locação Estrutura Metálica - PAVILHÃO (camarim)</t>
  </si>
  <si>
    <t>Locação Estrutura Metálica - PISO (piso 1)</t>
  </si>
  <si>
    <t>Locação Estrutura Metálica - PISO (hall)</t>
  </si>
  <si>
    <t>Locação estrutura  Estande- PAINÉIS TS formicado (piso 1)</t>
  </si>
  <si>
    <t>Locação estrutura  Estande- PAINÉIS TS formicado (piso 2)</t>
  </si>
  <si>
    <t>Locação Estrutura Metálica - PISO - restaurantes</t>
  </si>
  <si>
    <t>PAVILHÃO PRAÇA DE ALIMENTAÇÃO</t>
  </si>
  <si>
    <t>Locação Estrutura Metálica - CAMAROTES 1</t>
  </si>
  <si>
    <t>Locação Estrutura Metálica - CAMAROTES 2</t>
  </si>
  <si>
    <t>Locação Estrutura Metálica - ESCADA (acesso pisos)</t>
  </si>
  <si>
    <t>Locação Estrutura Metálica - RAMPAS (acesso pisos)</t>
  </si>
  <si>
    <t>Locação - GUARDA CORPO - Estrutura metalon + compensado (pisos)</t>
  </si>
  <si>
    <t>Locação Estrutura Metálica - COBERTA (palco)</t>
  </si>
  <si>
    <t>Locação Estrutura Metálica - COBERTA (sidestage)</t>
  </si>
  <si>
    <t>Locação Estrutura Metálica - COBERTA (backstage)</t>
  </si>
  <si>
    <t>Locação Estrutura Metálica - PAVILHÃO - camarins</t>
  </si>
  <si>
    <t xml:space="preserve">BARRACAS - TIPO I </t>
  </si>
  <si>
    <t>BARRACAS - TIPO II</t>
  </si>
  <si>
    <t>TOLDOS - TIPO I (10X10 M)</t>
  </si>
  <si>
    <t>1.1.1.48</t>
  </si>
  <si>
    <t>TORRE TRANSMISSÃO E SHOWS TIPO I (COM BASE)</t>
  </si>
  <si>
    <t>TORRE TRANSMISSÃO E SHOWS TIPO II (SEM BASE)</t>
  </si>
  <si>
    <t>unid/mês</t>
  </si>
  <si>
    <t>TORRE TRANSMISSÃO E SHOWS TIPO I</t>
  </si>
  <si>
    <t>TORRE TRANSMISSÃO E SHOWS TIPO II</t>
  </si>
  <si>
    <t>PÓRTICO TIPO II - USO GERAL</t>
  </si>
  <si>
    <t>02 TORRE TRANSMISSÃO E SHOWS TIPO I</t>
  </si>
  <si>
    <t>02 TORRE TRANSMISSÃO E SHOWS TIPO II</t>
  </si>
  <si>
    <t>03 TORRE TRANSMISSÃO E SHOWS TIPO I</t>
  </si>
  <si>
    <t>01 TORRE TRANSMISSÃO E SHOWS TIPO I</t>
  </si>
  <si>
    <t>1.1.9.3</t>
  </si>
  <si>
    <t>1.1.14.3</t>
  </si>
  <si>
    <t>1.1.14.4</t>
  </si>
  <si>
    <t>1.1.14.5</t>
  </si>
  <si>
    <t>1.1.15</t>
  </si>
  <si>
    <t>1.1.15.1</t>
  </si>
  <si>
    <t>1.1.15.2</t>
  </si>
  <si>
    <t>1.1.16</t>
  </si>
  <si>
    <t>1.1.16.1</t>
  </si>
  <si>
    <t>1.1.16.2</t>
  </si>
  <si>
    <t>1.1.16.3</t>
  </si>
  <si>
    <t>2.1.3.1</t>
  </si>
  <si>
    <t>2.1.3.2</t>
  </si>
  <si>
    <t>2.1.3.3</t>
  </si>
  <si>
    <t>2.1.5.2</t>
  </si>
  <si>
    <t>2.1.5.3</t>
  </si>
  <si>
    <t>2.1.7.3</t>
  </si>
  <si>
    <t>2.1.9.3</t>
  </si>
  <si>
    <t>2.1.9.4</t>
  </si>
  <si>
    <t>2.1.9.5</t>
  </si>
  <si>
    <t>2.2.5.22</t>
  </si>
  <si>
    <t>2.2.5.23</t>
  </si>
  <si>
    <t>Locação de Plataforma elevatória para PNE</t>
  </si>
  <si>
    <t>02.06.030</t>
  </si>
  <si>
    <t>CPOS/CDHU</t>
  </si>
  <si>
    <t>1.1.1.49</t>
  </si>
  <si>
    <t>Locação Estrutura Metálica - TESTEIRA I - palco principal</t>
  </si>
  <si>
    <t>Locação Estrutura Metálica - TESTEIRA I - avancê e passarela</t>
  </si>
  <si>
    <t>3.1.8</t>
  </si>
  <si>
    <t>PAVILÃO TIPO QUADRILHA</t>
  </si>
  <si>
    <t>1.720 METROS LINEARES DE FECHAMENTO</t>
  </si>
  <si>
    <t>1040 METROS LINEARES DE DISCIPLINADORES</t>
  </si>
  <si>
    <t>550 METROS LINEARES DE BARRICADAS</t>
  </si>
  <si>
    <t>99 BARRACAS - 2,00m x 2,00m</t>
  </si>
  <si>
    <t>30 TOLDO TIPO II (5,0X5,0 M)</t>
  </si>
  <si>
    <t>38 SOFÁS TIPO II - 2 lugares</t>
  </si>
  <si>
    <t>06 CONTAINERS TIPO WC FEMININO</t>
  </si>
  <si>
    <t>06 CONTAINERS TIPO WC MASCULINO</t>
  </si>
  <si>
    <t>800 METROS LINEARES DE FECHAMENTO</t>
  </si>
  <si>
    <t>400 METROS LINEARES DE DISCIPLINADORES</t>
  </si>
  <si>
    <t>60 METROS LINEARES DE BARRICADAS</t>
  </si>
  <si>
    <t>240 PONTOS DE ENERGIA COM TOMADAS DIST</t>
  </si>
  <si>
    <t>140 LUZES SINALIZADORAS DE EMERGÊNCIA</t>
  </si>
  <si>
    <t>875 M DE CABO ISOLADO MULTIPLEXADO DE 35MM</t>
  </si>
  <si>
    <t>115M CABO ISOLADO MULTIPLEXADO DE 4X25MM</t>
  </si>
  <si>
    <t>3.2.3</t>
  </si>
  <si>
    <t>3.2.3.1</t>
  </si>
  <si>
    <t>3.2.3.2</t>
  </si>
  <si>
    <t>3.2.3.3</t>
  </si>
  <si>
    <t>3.2.3.4</t>
  </si>
  <si>
    <t>3.2.3.5</t>
  </si>
  <si>
    <t>3.2.3.6</t>
  </si>
  <si>
    <t>3.2.3.7</t>
  </si>
  <si>
    <t>3.2.3.8</t>
  </si>
  <si>
    <t>3.2.3.9</t>
  </si>
  <si>
    <t>3.2.3.10</t>
  </si>
  <si>
    <t>3.2.3.11</t>
  </si>
  <si>
    <t>3.2.3.12</t>
  </si>
  <si>
    <t>3.2.3.13</t>
  </si>
  <si>
    <t>3.2.3.14</t>
  </si>
  <si>
    <t>3.2.3.15</t>
  </si>
  <si>
    <t>3.2.3.16</t>
  </si>
  <si>
    <t>3.2.3.17</t>
  </si>
  <si>
    <t>3.2.3.18</t>
  </si>
  <si>
    <t>3.2.3.19</t>
  </si>
  <si>
    <t>3.2.3.20</t>
  </si>
  <si>
    <t>3.2.3.21</t>
  </si>
  <si>
    <t>3.2.4.1</t>
  </si>
  <si>
    <t>3.2.4</t>
  </si>
  <si>
    <t>3.2.4.2</t>
  </si>
  <si>
    <t>3.2.4.3</t>
  </si>
  <si>
    <t>3.2.4.4</t>
  </si>
  <si>
    <t>3.2.4.5</t>
  </si>
  <si>
    <t>3.2.4.6</t>
  </si>
  <si>
    <t>3.2.4.7</t>
  </si>
  <si>
    <t>3.1.3.2</t>
  </si>
  <si>
    <t>3.1.5.3</t>
  </si>
  <si>
    <t>3.1.8.1</t>
  </si>
  <si>
    <t>3.1.8.2</t>
  </si>
  <si>
    <t>02 CONTAINERS TIPO WC FEMININO</t>
  </si>
  <si>
    <t>02 CONTAINERS TIPO WC MASCULINO</t>
  </si>
  <si>
    <t>09-2025</t>
  </si>
  <si>
    <t>base</t>
  </si>
  <si>
    <t>SINAPI - ND 9/25</t>
  </si>
  <si>
    <t>Vigia</t>
  </si>
  <si>
    <t>Enc. Sociais_Mensalista - SINAPI - PE_ a partir de 01/2025</t>
  </si>
  <si>
    <t>01.08.41U</t>
  </si>
  <si>
    <t>OBJETO: SERVIÇOS DE MONTAGEM E DESMONTAGEM DE ESTRUTURA, SOM E ILUMINAÇÃO INCLUINDO FORNECIMENTO, INSTALAÇÃO E MANUTENÇÃO; E  SERVIÇOS DE CAPTAÇÃO E TRANSMISSÃO DE IMAGENS - SÃO JOÃO 2026</t>
  </si>
  <si>
    <t>MOBILIÁRIO / CABINES SANITÁRIAS / CONTENTOR / GERADOR</t>
  </si>
  <si>
    <t>MOBILIÁRIO</t>
  </si>
  <si>
    <t>94 BARRACAS - 2,00m x 2,00m</t>
  </si>
  <si>
    <t>14 BARRACAS - 5,00m x 2,00m</t>
  </si>
  <si>
    <t>192 CABINES SANITÁRIA TIPO I - Standard</t>
  </si>
  <si>
    <t>2 CABINES SANITÁRIA TIPO II - PNE</t>
  </si>
  <si>
    <t>Locação Estrutura Metálica - RAMPAS - PCD</t>
  </si>
  <si>
    <t>Locação Estrutura Metálica - RAMPAS  - PALCO</t>
  </si>
  <si>
    <t>Locação Estrutura Metálica - GUARDA CORPO - PCD</t>
  </si>
  <si>
    <t>Locação Estrutura Metálica - GUARDA CORPO - PALCO</t>
  </si>
  <si>
    <t>Locação Estrutura Metálica - PISO - RESTAURANTES</t>
  </si>
  <si>
    <t>10 PÓRTICO TIPO II</t>
  </si>
  <si>
    <t>PAVILHÃO  QUADRILHA ALTO DO MOURA</t>
  </si>
  <si>
    <t>Locação Estrutura Metálica - PAVILHÃO (centro)</t>
  </si>
  <si>
    <t>Locação Estrutura Metálica - PAVILHÃO (lateral)</t>
  </si>
  <si>
    <t>Locação Estrutura Metálica - AVANCÊ (acesso palco)</t>
  </si>
  <si>
    <t>Locação Estrutura Metálica - ESCADA (palco)</t>
  </si>
  <si>
    <t>Locação Estrutura Metálica - ESCADA (avancê)</t>
  </si>
  <si>
    <t>Locação Estrutura Metálica - ESCADA (passarela)</t>
  </si>
  <si>
    <t>Locação Estrutura Metálica - GUARDA CORPO (rampa)</t>
  </si>
  <si>
    <t>Locação Estrutura Metálica - GUARDA CORPO (escada)</t>
  </si>
  <si>
    <t>Locação Estrutura Metálica - PAVILHÃO (área buffet)</t>
  </si>
  <si>
    <t>Locação Estrutura Metálica - PISO (área buffet)</t>
  </si>
  <si>
    <t>Locação Estrutura Metálica - PAVILHÃO (hall patrocinadores)</t>
  </si>
  <si>
    <t>Locação Estrutura Metálica - COBERTA (beiral)</t>
  </si>
  <si>
    <t>Locação de DIVISÓRIAS -Estrutura metalon + madeirite (fechamento em lona)</t>
  </si>
  <si>
    <t>Locação Estrutura Metálica - PASSARELA  (acesso servidores)</t>
  </si>
  <si>
    <t>Locação Estrutura Metálica - ESCADA  (acesso servidores)</t>
  </si>
  <si>
    <t>Locação Estrutura Metálica - ESCADA (acesso mesas)</t>
  </si>
  <si>
    <t>Locação Estrutura Metálica - RAMPAS (acesso mesas)</t>
  </si>
  <si>
    <t>Locação Estrutura Metálica - COBERTA (incluindo lona) - (WC)</t>
  </si>
  <si>
    <t>Locação Estrutura Metálica - PISO - (WC)</t>
  </si>
  <si>
    <t>PAVILHÃO VILA FUNCIONAL (CASA DA MULHER, IGREJA, CARTOMANTE, REZADEIRA, FOFOQUEIRA, DELEGACIA, BODEGA, CAT)</t>
  </si>
  <si>
    <t>Locação de Container marítmo tipo pavilhão (frente e laterais abertas)</t>
  </si>
  <si>
    <t>Blocos de elevação em concreto armado com altura de 0,80m, com capacidade de carga individual de 1,5 Tonelada</t>
  </si>
  <si>
    <t>Locação Estrutura Metálica - RAMPAS com GUARDA-CORPO</t>
  </si>
  <si>
    <t>Locação de Estrutura Metálica - PASSARELA entre vagões, com guarda corpo</t>
  </si>
  <si>
    <t>Locação de Estrutura Metálica - ESCADA 5 degraus com guarda corpo e acabamento em madeira</t>
  </si>
  <si>
    <t>ESTANDE - COI  ALTO DO MOURA</t>
  </si>
  <si>
    <t>ESTANDE COI - PÁTIO</t>
  </si>
  <si>
    <t>ESTANDE</t>
  </si>
  <si>
    <t>1 ESTANDE COI - ALTO DO MOURA</t>
  </si>
  <si>
    <t>Locação estrutura  Estande- PAINÉIS TS formicado - posto médico</t>
  </si>
  <si>
    <t>Locação estrutura  Estande- PAINÉIS TS formicado - delegacia</t>
  </si>
  <si>
    <t>Locação estrutura  Estande- PAINÉIS TS formicado - vigilância</t>
  </si>
  <si>
    <t>Locação estrutura  Estande- PAINÉIS TS formicado - conselho tutelar</t>
  </si>
  <si>
    <t>Locação estrutura  Estande- PAINÉIS TS formicado - policia militar</t>
  </si>
  <si>
    <t>Locação estrutura  Estande- PAINÉIS TS formicado - monitoramento</t>
  </si>
  <si>
    <t>Locação Piso - TABLADO - compensado 12mm - teto</t>
  </si>
  <si>
    <t>PAVILHÃO LOCOMOTIVA</t>
  </si>
  <si>
    <t>PAVILHÃO VILA FUNCIONAL</t>
  </si>
  <si>
    <t>Locação Estrutura Metálica - TESTEIRA I - house mix</t>
  </si>
  <si>
    <t>1.1.1.50</t>
  </si>
  <si>
    <r>
      <t xml:space="preserve">No item impostos (I) </t>
    </r>
    <r>
      <rPr>
        <b/>
        <sz val="12"/>
        <color theme="1"/>
        <rFont val="Calibri"/>
        <family val="2"/>
      </rPr>
      <t>não</t>
    </r>
    <r>
      <rPr>
        <sz val="12"/>
        <color theme="1"/>
        <rFont val="Calibri"/>
        <family val="2"/>
      </rPr>
      <t xml:space="preserve"> foi considerado o acréscimo de 3,6% (CPRB), pois utilizou-se a base de preços </t>
    </r>
    <r>
      <rPr>
        <b/>
        <u/>
        <sz val="12"/>
        <color theme="1"/>
        <rFont val="Calibri"/>
        <family val="2"/>
      </rPr>
      <t>não desonerada</t>
    </r>
    <r>
      <rPr>
        <sz val="12"/>
        <color theme="1"/>
        <rFont val="Calibri"/>
        <family val="2"/>
      </rPr>
      <t xml:space="preserve"> para a composição da planilha orçamentária.</t>
    </r>
  </si>
  <si>
    <t>Locação de Plataforma elevatória para PNE com operador</t>
  </si>
  <si>
    <t>Locação de SPDA e Sistema de SEGURANÇA CONTRA INCÊNDIO E PÂNICO (pavimentos sobrepostos)</t>
  </si>
  <si>
    <t>PÓLO SEBASTIÃO BIANO</t>
  </si>
  <si>
    <t>ANEXO H - COMPOSIÇÃO DE BDI 1</t>
  </si>
  <si>
    <t>ANEXO H - COMPOSIÇÃO DE BDI 2</t>
  </si>
  <si>
    <t>7.</t>
  </si>
  <si>
    <t>MANUTENÇÃO CIVIL</t>
  </si>
  <si>
    <t>PÁTIO DE EVENTORS LUIZ GONZAGA</t>
  </si>
  <si>
    <t>TRABALHO EM TERRA</t>
  </si>
  <si>
    <t>REMOÇÃO DE PISO DE BLOCO INTERTRAVADO OU DE PEDRA PORTUGUESA, DE FORMA MANUAL, COM REAPROVEITAMENTO. AF_09/2023</t>
  </si>
  <si>
    <t>M2</t>
  </si>
  <si>
    <t>ATERRO MANUAL DE VALAS COM AREIA PARA ATERRO. AF_08/2023</t>
  </si>
  <si>
    <t>M3</t>
  </si>
  <si>
    <t>DEMOLIÇÃO DE LAJES, EM CONCRETO ARMADO, DE FORMA MECANIZADA COM MARTELETE, SEM REAPROVEITAMENTO. AF_09/2023</t>
  </si>
  <si>
    <t>PISO EM CONCRETO 20 MPA PREPARO MECÂNICO, ESPESSURA 7CM. AF_09/2020</t>
  </si>
  <si>
    <t>DEMOLIÇÃO PARCIAL DE PAVIMENTO ASFÁLTICO, DE FORMA MECANIZADA, SEM REAPROVEITAMENTO. AF_09/2023</t>
  </si>
  <si>
    <t>Remoção de paralelepípedos</t>
  </si>
  <si>
    <t xml:space="preserve">PAVIMENTAÇÃO DE CALÇADAS </t>
  </si>
  <si>
    <t>ASSENTAMENTO DE GUIA (MEIO-FIO) EM TRECHO RETO, CONFECCIONADA EM CONCRETO PRÉ-FABRICADO, DIMENSÕES 100X15X13X30 CM (COMPRIMENTO X BASE INFERIOR X BASE SUPERIOR X ALTURA). AF_01/2024</t>
  </si>
  <si>
    <t>EXECUÇÃO DE PASSEIO (CALÇADA) OU PISO DE CONCRETO COM CONCRETO MOLDADO IN LOCO, FEITO EM OBRA, ACABAMENTO CONVENCIONAL, NÃO ARMADO. AF_08/2022</t>
  </si>
  <si>
    <t>PISO CIMENTADO, TRAÇO 1:3 (CIMENTO E AREIA), ACABAMENTO RÚSTICO, ESPESSURA 3,0 CM, PREPARO MECÂNICO DA ARGAMASSA. AF_09/2020</t>
  </si>
  <si>
    <t>LASTRO COM MATERIAL GRANULAR (PEDRA BRITADA N.3), APLICADO EM PISOS OU LAJES SOBRE SOLO, ESPESSURA DE *10 CM*. AF_01/2024</t>
  </si>
  <si>
    <t>EXECUÇÃO DE PAVIMENTO EM PISO INTERTRAVADO, COM BLOCO 16 FACES DE 22 X 11 CM, ESPESSURA 8 CM. AF_10/2022</t>
  </si>
  <si>
    <t>PAREDES</t>
  </si>
  <si>
    <t>ALVENARIA DE VEDAÇÃO DE BLOCOS CERÂMICOS FURADOS NA HORIZONTAL DE 9X19X19 CM (ESPESSURA 9 CM) E ARGAMASSA DE ASSENTAMENTO COM PREPARO MANUAL. AF_12/2021</t>
  </si>
  <si>
    <t>CHAPISCO APLICADO EM ALVENARIA (SEM PRESENÇA DE VÃOS) E ESTRUTURAS DE CONCRETO DE FACHADA, COM COLHER DE PEDREIRO. ARGAMASSA TRAÇO 1:3 COM PREPARO MANUAL. AF_10/2022</t>
  </si>
  <si>
    <t>EMBOÇO OU MASSA ÚNICA EM ARGAMASSA TRAÇO 1:2:8, PREPARO MECÂNICO COM BETONEIRA 400 L, APLICADA MANUALMENTE EM PANOS CEGOS DE FACHADA (SEM PRESENÇA DE VÃOS), ESPESSURA DE 25 MM. AF_08/2022</t>
  </si>
  <si>
    <t>CORRIMÃO E GRADIL</t>
  </si>
  <si>
    <t>SERRALHEIRO COM ENCARGOS COMPLEMENTARES</t>
  </si>
  <si>
    <t>AUXILIAR DE SERRALHEIRO COM ENCARGOS COMPLEMENTARES</t>
  </si>
  <si>
    <t>GUARDA-CORPO DE AÇO GALVANIZADO DE 1,10M, MONTANTES TUBULARES DE 1.1/4" ESPAÇADOS DE 1,20M, TRAVESSA SUPERIOR DE 1.1/2", GRADIL FORMADO POR TUBOS HORIZONTAIS DE 1" E VERTICAIS DE 3/4", FIXADO COM CHUMBADOR MECÂNICO. AF_04/2019_PS</t>
  </si>
  <si>
    <t>GRADIL EM FERRO FIXADO EM VÃOS DE JANELAS, FORMADO POR BARRAS CHATAS DE 25X4,8 MM. AF_04/2019</t>
  </si>
  <si>
    <t>CORRIMÃO SIMPLES, DIÂMETRO EXTERNO = 1 1/2", EM ALUMÍNIO. AF_04/2019_PS</t>
  </si>
  <si>
    <t>ESGOTO E DRENAGEM</t>
  </si>
  <si>
    <t>SINAPI-I</t>
  </si>
  <si>
    <t>AUXILIAR DE ENCANADOR OU BOMBEIRO HIDRAULICO (HORISTA)</t>
  </si>
  <si>
    <t>TUBO PVC, SERIE R, DN 100 MM, PARA ESGOTO OU AGUAS PLUVIAIS PREDIAL (NBR 5688)</t>
  </si>
  <si>
    <t>TUBO PVC, SERIE R, DN 50 MM, PARA ESGOTO OU AGUAS PLUVIAIS PREDIAL (NBR 5688)</t>
  </si>
  <si>
    <t>JUNCAO SIMPLES DE REDUCAO, PVC, DN 100 X 50 MM, SERIE NORMAL PARA ESGOTO PREDIAL</t>
  </si>
  <si>
    <t>UN</t>
  </si>
  <si>
    <t>LUVA DE CORRER, PVC, DN 100 MM, PARA ESGOTO PREDIAL</t>
  </si>
  <si>
    <t>CURVA PVC CURTA 90 GRAUS, DN 50 MM, PARA ESGOTO PREDIAL</t>
  </si>
  <si>
    <t>TE DE INSPECAO, PVC, SERIE R, 100 X 75 MM, PARA ESGOTO PREDIAL</t>
  </si>
  <si>
    <t>Grelha de concreto 54 x 100 cm para boca-de-lobo - areia e brita comerciais - sobrecarga do trem tipo TB 45</t>
  </si>
  <si>
    <t>un</t>
  </si>
  <si>
    <t>Composição</t>
  </si>
  <si>
    <t>001</t>
  </si>
  <si>
    <t>CANALETA EM TIJOLOS MACIÇOS DEITADOS( 30 CM DE LARGURA X 50 CM ALTURA) REVESTIDO [REF.: SIURB PRÓPRIA 002]</t>
  </si>
  <si>
    <t>PINTURAS</t>
  </si>
  <si>
    <t>PINTURA COM TINTA ALQUÍDICA DE ACABAMENTO (ESMALTE SINTÉTICO FOSCO) PULVERIZADA SOBRE SUPERFÍCIES METÁLICAS (EXCETO PERFIL) EXECUTADO EM OBRA (POR DEMÃO). AF_01/2020_PE</t>
  </si>
  <si>
    <t>ACESSIBILIDADE</t>
  </si>
  <si>
    <t>RAMPA DE ACESSIBILIDADE EM CONCRETO MOLDADO IN LOCO, EM CALÇADA PRÉ EXISTENTE COM LARGURA MAIOR OU IGUAL À 3,00 M, FCK 25MPA, COM PISO PODOTÁTIL. AF_03/2024</t>
  </si>
  <si>
    <t>ESTACAÇÃO FERROVIÁRIA</t>
  </si>
  <si>
    <t>ESCADA</t>
  </si>
  <si>
    <t>002</t>
  </si>
  <si>
    <t>RAMPA DE ACESSIBILIDADE EM MADEIRA PARA VENCER ALTURA DE ATÉ 1 METRO [REF.: ORSE 8335 ADAPTADO]</t>
  </si>
  <si>
    <t>PINTURA VERNIZ (INCOLOR) ALQUÍDICO EM MADEIRA, USO INTERNO E EXTERNO, 1 DEMÃO. AF_01/2021</t>
  </si>
  <si>
    <t xml:space="preserve">TAPUME </t>
  </si>
  <si>
    <t>003</t>
  </si>
  <si>
    <t>DESMONTAGEM CUIDADOSA PARA REAPROVEITAMETO DE TAPUMES [REF.: SBC 210245]</t>
  </si>
  <si>
    <t>004</t>
  </si>
  <si>
    <t>RECOLOCAÇÃO DE TAPUME DE TELHA METÁLICA [REF.: SINAPI 98459]</t>
  </si>
  <si>
    <t>PISO INTERTRAVADO</t>
  </si>
  <si>
    <t>REASSENTAMENTO DE BLOCOS RETANGULAR PARA PISO INTERTRAVADO, ESPESSURA DE 8 CM, EM VIA/ESTACIONAMENTO, COM REAPROVEITAMENTO DOS BLOCOS RETANGULAR - INCLUSO RETIRADA E COLOCAÇÃO DO MATERIAL. AF_12/2020</t>
  </si>
  <si>
    <t xml:space="preserve">PÓ DE PEDRA </t>
  </si>
  <si>
    <t>PO DE PEDRA (POSTO PEDREIRA/FORNECEDOR, SEM FRETE)</t>
  </si>
  <si>
    <t>ALTO DO MOURA - POLO SÃO JOÃO CULTURAL</t>
  </si>
  <si>
    <t>TRABALHO EM TERRA E PISO INTERTRAVADO</t>
  </si>
  <si>
    <t xml:space="preserve">ALVENARIAS </t>
  </si>
  <si>
    <t>DEMOLIÇÃO DE ALVENARIA DE BLOCO FURADO, DE FORMA MANUAL, SEM REAPROVEITAMENTO. AF_09/2023</t>
  </si>
  <si>
    <t>HIDRAULICA</t>
  </si>
  <si>
    <t>TUBO, PVC, SOLDÁVEL, DE 40MM, INSTALADO EM PRUMADA DE ÁGUA - FORNECIMENTO E INSTALAÇÃO. AF_06/2022</t>
  </si>
  <si>
    <t>TUBO, PVC, SOLDÁVEL, DE 32MM, INSTALADO EM PRUMADA DE ÁGUA - FORNECIMENTO E INSTALAÇÃO. AF_06/2022</t>
  </si>
  <si>
    <t>TUBO, PVC, SOLDÁVEL, DE 25MM, INSTALADO EM PRUMADA DE ÁGUA - FORNECIMENTO E INSTALAÇÃO. AF_06/2022</t>
  </si>
  <si>
    <t>BUCHA DE REDUÇÃO, PPR, 40 X 25, CLASSE PN 25, INSTALADO EM RAMAL DE DISTRIBUIÇÃO DE ÁGUA FORNECIMENTO E INSTALAÇÃO. AF_08/2022</t>
  </si>
  <si>
    <t>BUCHA DE REDUÇÃO, PPR, 32 X 25, CLASSE PN 25, INSTALADO EM RAMAL DE DISTRIBUIÇÃO DE ÁGUA FORNECIMENTO E INSTALAÇÃO. AF_08/2022</t>
  </si>
  <si>
    <t>TE 90 GRAUS EM ACO CARBONO, SOLDAVEL, PRESSAO 3.000 LBS, DN 3/4"</t>
  </si>
  <si>
    <t>TE 90 GRAUS EM ACO CARBONO, SOLDAVEL, PRESSAO 3.000 LBS, DN 1"</t>
  </si>
  <si>
    <t>BUCHA DE REDUCAO DE FERRO GALVANIZADO, COM ROSCA BSP, DE 1 1/2" X 3/4"</t>
  </si>
  <si>
    <t>COTOVELO DE REDUCAO 90 GRAUS DE FERRO GALVANIZADO, COM ROSCA BSP, DE 1" X 1/2"</t>
  </si>
  <si>
    <t>COLA PARA TUBOS E MANTAS ELASTOMERICAS, A BASE DE SOLVENTE</t>
  </si>
  <si>
    <t>TORNEIRA PLASTICA PARA TANQUE 1/2" OU 3/4" COM BICO PARA MANGUEIRA</t>
  </si>
  <si>
    <t>CURVA LONGA PVC, PB, JE, 90 GRAUS, DN 150 MM, PARA REDE COLETORA ESGOTO</t>
  </si>
  <si>
    <t>CURVA LONGA PVC, PB, JE, 90 GRAUS, DN 100 MM, PARA REDE COLETORA ESGOTO</t>
  </si>
  <si>
    <t>ENCANADOR OU BOMBEIRO HIDRAULICO (HORISTA)</t>
  </si>
  <si>
    <t>005</t>
  </si>
  <si>
    <t>MONTAGEM E DESMONTAGEM DE SUPORTE PROVISÓRIO PARA CAIXA DÁGUA DE 1000 LITROS,  UTILIZANDO ESTRUTURA METÁLICA DE ANDAIMES ATÉ 3,5 M DE ALTURA [REF.: SIURB PRÓPRIA 04]</t>
  </si>
  <si>
    <t>CAIXA D´ÁGUA EM POLIETILENO, 1000 LITROS (INCLUSOS TUBOS, CONEXÕES E TORNEIRA DE BÓIA) - FORNECIMENTO E INSTALAÇÃO. AF_06/2021</t>
  </si>
  <si>
    <t>CUSTO UNIT. (SEM BDI)</t>
  </si>
  <si>
    <t>VALOR UNIT. (COM BDI 2)</t>
  </si>
  <si>
    <t>7.1</t>
  </si>
  <si>
    <t>7.1.1</t>
  </si>
  <si>
    <t>SINAPI/97635</t>
  </si>
  <si>
    <t>SINAPI/94342</t>
  </si>
  <si>
    <t>SINAPI/97629</t>
  </si>
  <si>
    <t>SINAPI/101747</t>
  </si>
  <si>
    <t>SINAPI/97636</t>
  </si>
  <si>
    <t>SICRO/1600441</t>
  </si>
  <si>
    <t>SINAPI/94273</t>
  </si>
  <si>
    <t>SINAPI/94990</t>
  </si>
  <si>
    <t>SINAPI/98682</t>
  </si>
  <si>
    <t>SINAPI/100322</t>
  </si>
  <si>
    <t>SINAPI/92404</t>
  </si>
  <si>
    <t>SINAPI/103329</t>
  </si>
  <si>
    <t>SINAPI/87893</t>
  </si>
  <si>
    <t>SINAPI/87792</t>
  </si>
  <si>
    <t>SINAPI/88315</t>
  </si>
  <si>
    <t>SINAPI/88251</t>
  </si>
  <si>
    <t>SINAPI/99837</t>
  </si>
  <si>
    <t>SINAPI/99861</t>
  </si>
  <si>
    <t>SINAPI/99857</t>
  </si>
  <si>
    <t>SINAPI-I/246</t>
  </si>
  <si>
    <t>SINAPI-I/9841</t>
  </si>
  <si>
    <t>SINAPI-I/20068</t>
  </si>
  <si>
    <t>SINAPI-I/3659</t>
  </si>
  <si>
    <t>SINAPI-I/3893</t>
  </si>
  <si>
    <t>SINAPI-I/1932</t>
  </si>
  <si>
    <t>SINAPI-I/20183</t>
  </si>
  <si>
    <t>SICRO/2003316</t>
  </si>
  <si>
    <t>Composição/1</t>
  </si>
  <si>
    <t>SINAPI/100749</t>
  </si>
  <si>
    <t>SINAPI/105003</t>
  </si>
  <si>
    <t>Composição/2</t>
  </si>
  <si>
    <t>SINAPI/102203</t>
  </si>
  <si>
    <t>Composição/3</t>
  </si>
  <si>
    <t>Composição/4</t>
  </si>
  <si>
    <t>SINAPI/101864</t>
  </si>
  <si>
    <t>SINAPI-I/4741</t>
  </si>
  <si>
    <t>SINAPI/97622</t>
  </si>
  <si>
    <t>SINAPI/89448</t>
  </si>
  <si>
    <t>SINAPI/89447</t>
  </si>
  <si>
    <t>SINAPI/89446</t>
  </si>
  <si>
    <t>SINAPI/96664</t>
  </si>
  <si>
    <t>SINAPI/96662</t>
  </si>
  <si>
    <t>SINAPI-AS/40393</t>
  </si>
  <si>
    <t>SINAPI-AS/40394</t>
  </si>
  <si>
    <t>SINAPI-AS/40396</t>
  </si>
  <si>
    <t>SINAPI-AS/767</t>
  </si>
  <si>
    <t>SINAPI-AS/3463</t>
  </si>
  <si>
    <t>SINAPI-I/44327</t>
  </si>
  <si>
    <t>SINAPI-I/11831</t>
  </si>
  <si>
    <t>SINAPI-I/1865</t>
  </si>
  <si>
    <t>SINAPI-I/1863</t>
  </si>
  <si>
    <t>SINAPI-I/2696</t>
  </si>
  <si>
    <t>Composição/5</t>
  </si>
  <si>
    <t>SINAPI/102623</t>
  </si>
  <si>
    <t>7.1.1.1</t>
  </si>
  <si>
    <t>7.1.1.2</t>
  </si>
  <si>
    <t>7.1.1.3</t>
  </si>
  <si>
    <t>7.1.1.4</t>
  </si>
  <si>
    <t>7.1.1.5</t>
  </si>
  <si>
    <t>7.1.1.6</t>
  </si>
  <si>
    <t>7.1.2</t>
  </si>
  <si>
    <t>7.1.2.1</t>
  </si>
  <si>
    <t>7.1.2.2</t>
  </si>
  <si>
    <t>7.1.2.3</t>
  </si>
  <si>
    <t>7.1.2.4</t>
  </si>
  <si>
    <t>7.1.2.5</t>
  </si>
  <si>
    <t>7.1.3</t>
  </si>
  <si>
    <t>7.1.3.1</t>
  </si>
  <si>
    <t>7.1.3.2</t>
  </si>
  <si>
    <t>7.1.3.3</t>
  </si>
  <si>
    <t>7.1.4.</t>
  </si>
  <si>
    <t>7.1.4.1</t>
  </si>
  <si>
    <t>7.1.4.2</t>
  </si>
  <si>
    <t>7.1.4.3</t>
  </si>
  <si>
    <t>7.1.4.4</t>
  </si>
  <si>
    <t>7.1.4.5</t>
  </si>
  <si>
    <t>7.1.5.</t>
  </si>
  <si>
    <t>7.1.5.1</t>
  </si>
  <si>
    <t>7.1.5.2</t>
  </si>
  <si>
    <t>7.1.5.3</t>
  </si>
  <si>
    <t>7.1.5.4</t>
  </si>
  <si>
    <t>7.1.5.5</t>
  </si>
  <si>
    <t>7.1.5.6</t>
  </si>
  <si>
    <t>7.1.5.7</t>
  </si>
  <si>
    <t>7.1.5.8</t>
  </si>
  <si>
    <t>7.1.5.9</t>
  </si>
  <si>
    <t>7.1.6.</t>
  </si>
  <si>
    <t>7.1.6.1</t>
  </si>
  <si>
    <t>7.1.7.</t>
  </si>
  <si>
    <t>7.1.7.1</t>
  </si>
  <si>
    <t>7.2.</t>
  </si>
  <si>
    <t>7.2.1.</t>
  </si>
  <si>
    <t>7.2.1.1</t>
  </si>
  <si>
    <t>7.2.1.2</t>
  </si>
  <si>
    <t>7.2.2.</t>
  </si>
  <si>
    <t>7.2.2.1</t>
  </si>
  <si>
    <t>7.2.2.2</t>
  </si>
  <si>
    <t>7.2.2.3</t>
  </si>
  <si>
    <t>7.2.2.4</t>
  </si>
  <si>
    <t>7.2.3.</t>
  </si>
  <si>
    <t>7.2.3.1.</t>
  </si>
  <si>
    <t>7.2.4.</t>
  </si>
  <si>
    <t>7.2.4.1.</t>
  </si>
  <si>
    <t>7.3.</t>
  </si>
  <si>
    <t>7.3.1.1</t>
  </si>
  <si>
    <t>7.3.1.2</t>
  </si>
  <si>
    <t>7.3.1.3</t>
  </si>
  <si>
    <t>7.3.2.</t>
  </si>
  <si>
    <t>7.3.2.1</t>
  </si>
  <si>
    <t>7.3.2.2</t>
  </si>
  <si>
    <t>7.3.2.3</t>
  </si>
  <si>
    <t>7.3.2.4</t>
  </si>
  <si>
    <t>7.3.3.</t>
  </si>
  <si>
    <t>7.3.3.1</t>
  </si>
  <si>
    <t>7.3.3.2</t>
  </si>
  <si>
    <t>7.3.3.3</t>
  </si>
  <si>
    <t>7.3.3.4</t>
  </si>
  <si>
    <t>7.3.3.5</t>
  </si>
  <si>
    <t>7.3.3.6</t>
  </si>
  <si>
    <t>7.3.3.7</t>
  </si>
  <si>
    <t>7.3.3.8</t>
  </si>
  <si>
    <t>7.3.3.9</t>
  </si>
  <si>
    <t>7.3.3.10</t>
  </si>
  <si>
    <t>7.3.3.11</t>
  </si>
  <si>
    <t>7.3.3.12</t>
  </si>
  <si>
    <t>7.3.3.13</t>
  </si>
  <si>
    <t>7.3.3.14</t>
  </si>
  <si>
    <t>7.3.3.15</t>
  </si>
  <si>
    <t>7.3.3.16</t>
  </si>
  <si>
    <t>7.3.3.17</t>
  </si>
  <si>
    <t>7.3.3.18</t>
  </si>
  <si>
    <t>7.3.4.</t>
  </si>
  <si>
    <t>7.3.4.1.</t>
  </si>
  <si>
    <t>TIPO DE OBRA: CONSTRUÇÃO DE PRAÇAS URBANAS, RODOVIAS, FERROVIAS E RECAPEAMENTO E PAVIMENTAÇÃO DE VIAS URBANAS</t>
  </si>
  <si>
    <t>COMPOSIÇÕES DE CUSTOS UNITÁRIOS</t>
  </si>
  <si>
    <t>COEFIC.</t>
  </si>
  <si>
    <t>DESONERADO</t>
  </si>
  <si>
    <t>NÃO DESONER.</t>
  </si>
  <si>
    <t>7258</t>
  </si>
  <si>
    <t>TIJOLO CERAMICO MACICO COMUM DE *5 X 10 X 20* CM (L X A X C)</t>
  </si>
  <si>
    <t>4805749</t>
  </si>
  <si>
    <t>Escavação manual de vala em material de 1ª categoria</t>
  </si>
  <si>
    <t>m³</t>
  </si>
  <si>
    <t>1106057</t>
  </si>
  <si>
    <t>Concreto magro - confecção em betoneira e lançamento manual - areia e brita comerciais</t>
  </si>
  <si>
    <t>0903789</t>
  </si>
  <si>
    <t>Emboço com argamassa de cimento, cal hidratada e areia 1:2:8 com espessura de 2 cm - aplicação manual</t>
  </si>
  <si>
    <t>4805755</t>
  </si>
  <si>
    <t>Apiloamento manual</t>
  </si>
  <si>
    <t>88239</t>
  </si>
  <si>
    <t>AJUDANTE DE CARPINTEIRO COM ENCARGOS COMPLEMENTARES</t>
  </si>
  <si>
    <t>88262</t>
  </si>
  <si>
    <t>CARPINTEIRO DE FORMAS COM ENCARGOS COMPLEMENTARES</t>
  </si>
  <si>
    <t>4408</t>
  </si>
  <si>
    <t>RIPA NAO APARELHADA, *1,5 X 5* CM, EM MACARANDUBA/MASSARANDUBA, ANGELIM OU EQUIVALENTE DA REGIAO - BRUTA</t>
  </si>
  <si>
    <t>5061</t>
  </si>
  <si>
    <t>PREGO DE ACO POLIDO COM CABECA 18 X 27 (2 1/2 X 10)</t>
  </si>
  <si>
    <t>4491</t>
  </si>
  <si>
    <t>PONTALETE *7,5 X 7,5* CM EM PINUS, MISTA OU EQUIVALENTE DA REGIAO - BRUTA</t>
  </si>
  <si>
    <t>6194</t>
  </si>
  <si>
    <t>TABUA *2,5 X 15 CM EM PINUS, MISTA OU EQUIVALENTE DA REGIAO - BRUTA</t>
  </si>
  <si>
    <t>91693</t>
  </si>
  <si>
    <t>SERRA CIRCULAR DE BANCADA COM MOTOR ELÉTRICO POTÊNCIA DE 5HP, COM COIFA PARA DISCO 10" - CHI DIURNO. AF_08/2015</t>
  </si>
  <si>
    <t>CHI</t>
  </si>
  <si>
    <t>10527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</si>
  <si>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</si>
  <si>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MXMES</t>
  </si>
  <si>
    <t>97064</t>
  </si>
  <si>
    <t>MONTAGEM E DESMONTAGEM DE ANDAIME TUBULAR TIPO "TORRE" (EXCLUSIVE ANDAIME E LIMPEZA). AF_03/2024</t>
  </si>
  <si>
    <t>10567</t>
  </si>
  <si>
    <t>TABUA *2,5 X 23* CM EM PINUS, MISTA OU EQUIVALENTE DA REGIAO - BRUTA</t>
  </si>
  <si>
    <t>5068</t>
  </si>
  <si>
    <t>PREGO DE ACO POLIDO COM CABECA 17 X 21 (2 X 11)</t>
  </si>
  <si>
    <t>fonte de preço</t>
  </si>
  <si>
    <t>500 METROS LINEARES DE FECHAMENTO</t>
  </si>
  <si>
    <t>SOM PÓLO SEBASTIÃO BIANO</t>
  </si>
  <si>
    <t>LUZ PÓLO SEBASTIÃO BIANO</t>
  </si>
  <si>
    <t>006</t>
  </si>
  <si>
    <t>LOCAÇÃO DE BANHEIRO QUÍMICO COM LIMPEZA DIÁRIA INCLUSO COLETA E DESTINAÇÃO FINAL DE EFLUENTES. [REF.: 1010016 CAERN]</t>
  </si>
  <si>
    <t>92106</t>
  </si>
  <si>
    <t>88316</t>
  </si>
  <si>
    <t>ORSE-I</t>
  </si>
  <si>
    <t>COMPESA-I</t>
  </si>
  <si>
    <t>9900021U</t>
  </si>
  <si>
    <t>CAMINHÃO PARA EQUIPAMENTO DE LIMPEZA A SUCÇÃO, COM CAMINHÃO TRUCADO DE PESO BRUTO TOTAL 23000 KG, CARGA ÚTIL MÁXIMA 15935 KG, DISTÂNCIA ENTRE EIXOS 4,80 M, POTÊNCIA 230 CV, INCLUSIVE LIMPADORA A SUCÇÃO, TANQUE 12000 L - CHP DIURNO. AF_05/2023</t>
  </si>
  <si>
    <t>CHP</t>
  </si>
  <si>
    <t>SERVENTE COM ENCARGOS COMPLEMENTARES</t>
  </si>
  <si>
    <t>Aluguel de banheiro químico, com limpezas diárias</t>
  </si>
  <si>
    <t>mês</t>
  </si>
  <si>
    <t>TRATAMENTO DE EFLUENTE EM ETE</t>
  </si>
  <si>
    <t>COMPOSIÇÃO 006</t>
  </si>
  <si>
    <t>COMPOSIÇÃO 007</t>
  </si>
  <si>
    <t>007</t>
  </si>
  <si>
    <t>LOCAÇÃO DE BANHEIRO QUÍMICO PNE COM LIMPEZA DIÁRIA INCLUSO COLETA E DESTINAÇÃO FINAL DE EFLUENTES. [REF.: 1010016 CAERN]</t>
  </si>
  <si>
    <t>3.1.8.3</t>
  </si>
  <si>
    <t>3.1.8.4</t>
  </si>
  <si>
    <t>3.1.8.5</t>
  </si>
  <si>
    <t>3.1.9</t>
  </si>
  <si>
    <t>3.1.9.1</t>
  </si>
  <si>
    <t>3.1.9.2</t>
  </si>
  <si>
    <t>7.3.1.</t>
  </si>
  <si>
    <t>ESTANDE COI - ALTO DO MOURA</t>
  </si>
  <si>
    <t>Locação Estrutura Metálica - PAVILHÃO (fundos food truck)</t>
  </si>
  <si>
    <t>9600 M DE CABO 3X2,5 PARA INSTALAÇÃO</t>
  </si>
  <si>
    <t>50 REFLETORES DE LED TIPO SETLIGHT 100W</t>
  </si>
  <si>
    <t>Cabo de aluminio 0,6/1kv multiplexados 3x1x35 +35mm²</t>
  </si>
  <si>
    <t>Eletrocalha metálica lisa, galvanizada à fogo, 100 x 100 x 3000 mm</t>
  </si>
  <si>
    <t>Projetor para lâmpada vapor mercúrio 250w e vapor de sódio 400w, completo (tecnolux - ref. bw -90 ou similar)</t>
  </si>
  <si>
    <t>CPU-AX 91</t>
  </si>
  <si>
    <t>CPU-AX 92</t>
  </si>
  <si>
    <t>CPU-AX 93</t>
  </si>
  <si>
    <t>CPU-AX 94</t>
  </si>
  <si>
    <t>CPU-AX 95</t>
  </si>
  <si>
    <t>CPU-AX 96</t>
  </si>
  <si>
    <t>130M² DE PAINEL DE LED 3,9mm OUTDOOR – TESTEIRAS</t>
  </si>
  <si>
    <t>60M² DE PAINEL DE LED 3,9mm OUTDOOR - PASSARELA</t>
  </si>
  <si>
    <t>20M² DE PAINEL DE LED 3,9mm OUTDOOR – HOUSE-MIX</t>
  </si>
  <si>
    <t>820M² DE PAINEL DE LED 3,9mm OUTDOOR - PALCO</t>
  </si>
  <si>
    <t>ILUMINAÇÃO CÊNICA E 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</si>
</sst>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&quot;-&quot;??_-;_-@"/>
    <numFmt numFmtId="165" formatCode="0.000%"/>
    <numFmt numFmtId="166" formatCode="_-* #,##0.0000_-;\-* #,##0.0000_-;_-* &quot;-&quot;??_-;_-@_-"/>
    <numFmt numFmtId="167" formatCode="_-* #,##0.00_-;\-* #,##0.00_-;_-* &quot;-&quot;????_-;_-@_-"/>
    <numFmt numFmtId="168" formatCode="_-&quot;R$&quot;* #,##0.00_-;\-&quot;R$&quot;* #,##0.00_-;_-&quot;R$&quot;* &quot;-&quot;??_-;_-@_-"/>
    <numFmt numFmtId="169" formatCode="_(* #,##0.00_);_(* \(#,##0.00\);_(* &quot;-&quot;??_);_(@_)"/>
    <numFmt numFmtId="170" formatCode="#,##0.00_ ;[Red]\-#,##0.00\ "/>
    <numFmt numFmtId="171" formatCode="#,##0.000_ ;[Red]\-#,##0.000\ "/>
    <numFmt numFmtId="172" formatCode="_-* #,##0.000_-;\-* #,##0.000_-;_-* &quot;-&quot;??_-;_-@_-"/>
  </numFmts>
  <fonts count="6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name val="Calibri"/>
      <family val="2"/>
    </font>
    <font>
      <b/>
      <sz val="10"/>
      <name val="Arial Narrow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20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9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sz val="14"/>
      <color theme="1"/>
      <name val="Calibri"/>
      <family val="2"/>
    </font>
    <font>
      <sz val="20"/>
      <name val="Calibri"/>
      <family val="2"/>
    </font>
    <font>
      <sz val="20"/>
      <color theme="1"/>
      <name val="Calibri"/>
      <family val="2"/>
      <scheme val="minor"/>
    </font>
    <font>
      <b/>
      <sz val="11"/>
      <name val="Calibri"/>
      <family val="2"/>
    </font>
    <font>
      <b/>
      <sz val="20"/>
      <color theme="1"/>
      <name val="Calibri"/>
      <family val="2"/>
    </font>
    <font>
      <b/>
      <sz val="22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1"/>
      <color rgb="FF0070C0"/>
      <name val="Times New Roman"/>
      <family val="1"/>
    </font>
    <font>
      <sz val="11"/>
      <color rgb="FF00B05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b/>
      <sz val="14"/>
      <name val="Arial"/>
      <family val="2"/>
    </font>
    <font>
      <b/>
      <sz val="11"/>
      <color rgb="FF0070C0"/>
      <name val="Times New Roman"/>
      <family val="1"/>
    </font>
    <font>
      <b/>
      <sz val="11"/>
      <color rgb="FF00B050"/>
      <name val="Times New Roman"/>
      <family val="1"/>
    </font>
    <font>
      <b/>
      <sz val="11"/>
      <color rgb="FFFF0000"/>
      <name val="Times New Roman"/>
      <family val="1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mbria"/>
      <family val="1"/>
    </font>
    <font>
      <b/>
      <sz val="20"/>
      <color rgb="FF0070C0"/>
      <name val="Calibri"/>
      <family val="2"/>
    </font>
    <font>
      <b/>
      <sz val="11"/>
      <color rgb="FF0070C0"/>
      <name val="Calibri"/>
      <family val="2"/>
    </font>
    <font>
      <b/>
      <sz val="10"/>
      <color rgb="FF0070C0"/>
      <name val="Calibri"/>
      <family val="2"/>
    </font>
    <font>
      <sz val="11"/>
      <color rgb="FF0070C0"/>
      <name val="Calibri"/>
      <family val="2"/>
    </font>
    <font>
      <sz val="11"/>
      <color rgb="FF0070C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E2EFD9"/>
        <bgColor rgb="FFE2EFD9"/>
      </patternFill>
    </fill>
    <fill>
      <patternFill patternType="solid">
        <fgColor rgb="FFA8D08D"/>
        <bgColor rgb="FFA8D08D"/>
      </patternFill>
    </fill>
    <fill>
      <patternFill patternType="solid">
        <fgColor rgb="FF548135"/>
        <bgColor rgb="FF548135"/>
      </patternFill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0.59999389629810485"/>
        <bgColor rgb="FFD8D8D8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rgb="FFF2F2F2"/>
      </patternFill>
    </fill>
    <fill>
      <patternFill patternType="solid">
        <fgColor theme="0" tint="-0.34998626667073579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rgb="FFF2F2F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2" fillId="0" borderId="0"/>
    <xf numFmtId="44" fontId="2" fillId="0" borderId="0" applyFont="0" applyFill="0" applyBorder="0" applyAlignment="0" applyProtection="0"/>
    <xf numFmtId="0" fontId="41" fillId="0" borderId="0"/>
    <xf numFmtId="169" fontId="41" fillId="0" borderId="0" applyFont="0" applyFill="0" applyBorder="0" applyAlignment="0" applyProtection="0"/>
    <xf numFmtId="0" fontId="1" fillId="0" borderId="0"/>
    <xf numFmtId="0" fontId="1" fillId="0" borderId="0"/>
    <xf numFmtId="0" fontId="41" fillId="0" borderId="0"/>
  </cellStyleXfs>
  <cellXfs count="717">
    <xf numFmtId="0" fontId="0" fillId="0" borderId="0" xfId="0"/>
    <xf numFmtId="0" fontId="0" fillId="0" borderId="0" xfId="0" applyProtection="1">
      <protection locked="0"/>
    </xf>
    <xf numFmtId="0" fontId="5" fillId="3" borderId="1" xfId="4" applyFont="1" applyFill="1" applyBorder="1" applyAlignment="1" applyProtection="1">
      <alignment horizontal="center" vertical="center" wrapText="1"/>
      <protection locked="0"/>
    </xf>
    <xf numFmtId="0" fontId="6" fillId="3" borderId="1" xfId="4" applyFont="1" applyFill="1" applyBorder="1" applyAlignment="1" applyProtection="1">
      <alignment horizontal="center" vertical="center" wrapText="1"/>
      <protection locked="0"/>
    </xf>
    <xf numFmtId="44" fontId="6" fillId="3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44" fontId="0" fillId="0" borderId="1" xfId="0" applyNumberFormat="1" applyBorder="1" applyAlignment="1" applyProtection="1">
      <alignment vertical="center"/>
      <protection hidden="1"/>
    </xf>
    <xf numFmtId="0" fontId="0" fillId="0" borderId="2" xfId="0" applyBorder="1" applyProtection="1">
      <protection locked="0"/>
    </xf>
    <xf numFmtId="0" fontId="8" fillId="0" borderId="3" xfId="0" applyFont="1" applyBorder="1" applyAlignment="1" applyProtection="1">
      <alignment horizontal="right"/>
      <protection locked="0"/>
    </xf>
    <xf numFmtId="44" fontId="8" fillId="0" borderId="1" xfId="0" applyNumberFormat="1" applyFont="1" applyBorder="1" applyProtection="1">
      <protection hidden="1"/>
    </xf>
    <xf numFmtId="0" fontId="8" fillId="4" borderId="7" xfId="0" applyFont="1" applyFill="1" applyBorder="1" applyAlignment="1" applyProtection="1">
      <alignment horizontal="center" vertical="center" wrapText="1"/>
      <protection locked="0"/>
    </xf>
    <xf numFmtId="0" fontId="8" fillId="4" borderId="8" xfId="0" applyFont="1" applyFill="1" applyBorder="1" applyAlignment="1" applyProtection="1">
      <alignment horizontal="center" vertical="center" wrapText="1"/>
      <protection locked="0"/>
    </xf>
    <xf numFmtId="0" fontId="8" fillId="5" borderId="13" xfId="0" applyFont="1" applyFill="1" applyBorder="1" applyAlignment="1" applyProtection="1">
      <alignment horizontal="center" vertical="center" wrapText="1"/>
      <protection locked="0"/>
    </xf>
    <xf numFmtId="0" fontId="8" fillId="5" borderId="13" xfId="0" applyFont="1" applyFill="1" applyBorder="1" applyAlignment="1" applyProtection="1">
      <alignment horizontal="center" vertical="center"/>
      <protection locked="0"/>
    </xf>
    <xf numFmtId="43" fontId="8" fillId="5" borderId="13" xfId="1" applyFont="1" applyFill="1" applyBorder="1" applyAlignment="1" applyProtection="1">
      <alignment horizontal="center" vertical="center" wrapText="1"/>
      <protection locked="0"/>
    </xf>
    <xf numFmtId="0" fontId="8" fillId="5" borderId="14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43" fontId="0" fillId="0" borderId="13" xfId="1" applyFont="1" applyBorder="1" applyAlignment="1" applyProtection="1">
      <alignment horizontal="right" vertical="center" wrapText="1"/>
      <protection locked="0"/>
    </xf>
    <xf numFmtId="43" fontId="0" fillId="0" borderId="17" xfId="1" applyFont="1" applyBorder="1" applyAlignment="1" applyProtection="1">
      <alignment vertical="center"/>
    </xf>
    <xf numFmtId="164" fontId="0" fillId="0" borderId="14" xfId="0" applyNumberFormat="1" applyBorder="1" applyAlignment="1">
      <alignment vertical="center"/>
    </xf>
    <xf numFmtId="164" fontId="8" fillId="0" borderId="14" xfId="0" applyNumberFormat="1" applyFont="1" applyBorder="1" applyAlignment="1">
      <alignment vertical="center"/>
    </xf>
    <xf numFmtId="43" fontId="4" fillId="6" borderId="13" xfId="1" applyFont="1" applyFill="1" applyBorder="1" applyAlignment="1" applyProtection="1">
      <alignment horizontal="left" vertical="center" wrapText="1"/>
      <protection locked="0"/>
    </xf>
    <xf numFmtId="10" fontId="8" fillId="6" borderId="13" xfId="0" applyNumberFormat="1" applyFont="1" applyFill="1" applyBorder="1" applyAlignment="1">
      <alignment horizontal="center" vertical="center"/>
    </xf>
    <xf numFmtId="164" fontId="8" fillId="6" borderId="14" xfId="0" applyNumberFormat="1" applyFont="1" applyFill="1" applyBorder="1" applyAlignment="1">
      <alignment vertical="center"/>
    </xf>
    <xf numFmtId="43" fontId="8" fillId="6" borderId="13" xfId="1" applyFont="1" applyFill="1" applyBorder="1" applyAlignment="1" applyProtection="1">
      <alignment horizontal="left" vertical="center" wrapText="1"/>
      <protection locked="0"/>
    </xf>
    <xf numFmtId="164" fontId="8" fillId="7" borderId="21" xfId="0" applyNumberFormat="1" applyFont="1" applyFill="1" applyBorder="1" applyAlignment="1">
      <alignment vertical="center"/>
    </xf>
    <xf numFmtId="0" fontId="8" fillId="0" borderId="1" xfId="0" applyFont="1" applyBorder="1" applyAlignment="1" applyProtection="1">
      <alignment horizontal="center" vertical="center" textRotation="90"/>
      <protection locked="0"/>
    </xf>
    <xf numFmtId="0" fontId="8" fillId="5" borderId="1" xfId="0" applyFont="1" applyFill="1" applyBorder="1" applyAlignment="1" applyProtection="1">
      <alignment horizontal="center" vertical="center" wrapText="1"/>
      <protection locked="0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43" fontId="8" fillId="5" borderId="24" xfId="1" applyFont="1" applyFill="1" applyBorder="1" applyAlignment="1" applyProtection="1">
      <alignment horizontal="center" vertical="center" wrapText="1"/>
      <protection locked="0"/>
    </xf>
    <xf numFmtId="0" fontId="8" fillId="5" borderId="24" xfId="0" applyFont="1" applyFill="1" applyBorder="1" applyAlignment="1" applyProtection="1">
      <alignment horizontal="center" vertical="center"/>
      <protection locked="0"/>
    </xf>
    <xf numFmtId="0" fontId="8" fillId="5" borderId="25" xfId="0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43" fontId="0" fillId="0" borderId="13" xfId="1" applyFont="1" applyBorder="1" applyAlignment="1" applyProtection="1">
      <alignment horizontal="center" vertical="center" wrapText="1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43" fontId="0" fillId="0" borderId="28" xfId="1" applyFont="1" applyBorder="1" applyAlignment="1" applyProtection="1">
      <alignment horizontal="center" vertical="center" wrapText="1"/>
      <protection locked="0"/>
    </xf>
    <xf numFmtId="0" fontId="0" fillId="0" borderId="30" xfId="0" applyBorder="1" applyAlignment="1" applyProtection="1">
      <alignment horizontal="left" vertical="center" wrapText="1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43" fontId="0" fillId="0" borderId="31" xfId="1" applyFont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164" fontId="8" fillId="7" borderId="14" xfId="0" applyNumberFormat="1" applyFont="1" applyFill="1" applyBorder="1" applyAlignment="1">
      <alignment vertical="center"/>
    </xf>
    <xf numFmtId="164" fontId="8" fillId="8" borderId="14" xfId="0" applyNumberFormat="1" applyFont="1" applyFill="1" applyBorder="1" applyAlignment="1">
      <alignment vertical="center"/>
    </xf>
    <xf numFmtId="0" fontId="0" fillId="9" borderId="15" xfId="0" applyFill="1" applyBorder="1" applyAlignment="1" applyProtection="1">
      <alignment vertical="center"/>
      <protection locked="0"/>
    </xf>
    <xf numFmtId="0" fontId="0" fillId="9" borderId="0" xfId="0" applyFill="1" applyAlignment="1" applyProtection="1">
      <alignment horizontal="center" vertical="center"/>
      <protection locked="0"/>
    </xf>
    <xf numFmtId="0" fontId="0" fillId="9" borderId="0" xfId="0" applyFill="1" applyAlignment="1" applyProtection="1">
      <alignment vertical="center"/>
      <protection locked="0"/>
    </xf>
    <xf numFmtId="43" fontId="0" fillId="9" borderId="0" xfId="1" applyFont="1" applyFill="1" applyBorder="1" applyAlignment="1" applyProtection="1">
      <alignment vertical="center" wrapText="1"/>
      <protection locked="0"/>
    </xf>
    <xf numFmtId="0" fontId="0" fillId="9" borderId="36" xfId="0" applyFill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0" fontId="8" fillId="5" borderId="25" xfId="0" applyFont="1" applyFill="1" applyBorder="1" applyAlignment="1" applyProtection="1">
      <alignment horizontal="center" vertical="center"/>
      <protection locked="0"/>
    </xf>
    <xf numFmtId="164" fontId="0" fillId="0" borderId="13" xfId="0" applyNumberFormat="1" applyBorder="1" applyAlignment="1">
      <alignment horizontal="center" vertical="center"/>
    </xf>
    <xf numFmtId="0" fontId="8" fillId="4" borderId="8" xfId="0" applyFont="1" applyFill="1" applyBorder="1" applyAlignment="1" applyProtection="1">
      <alignment horizontal="left" vertical="center" wrapText="1"/>
      <protection locked="0"/>
    </xf>
    <xf numFmtId="0" fontId="8" fillId="4" borderId="9" xfId="0" applyFont="1" applyFill="1" applyBorder="1" applyAlignment="1" applyProtection="1">
      <alignment horizontal="left" vertical="center" wrapText="1"/>
      <protection locked="0"/>
    </xf>
    <xf numFmtId="43" fontId="8" fillId="4" borderId="9" xfId="1" applyFont="1" applyFill="1" applyBorder="1" applyAlignment="1" applyProtection="1">
      <alignment horizontal="left" vertical="center" wrapText="1"/>
      <protection locked="0"/>
    </xf>
    <xf numFmtId="0" fontId="8" fillId="4" borderId="9" xfId="0" applyFont="1" applyFill="1" applyBorder="1" applyAlignment="1" applyProtection="1">
      <alignment horizontal="left" vertical="center"/>
      <protection locked="0"/>
    </xf>
    <xf numFmtId="0" fontId="8" fillId="4" borderId="10" xfId="0" applyFont="1" applyFill="1" applyBorder="1" applyAlignment="1" applyProtection="1">
      <alignment horizontal="left" vertical="center" wrapText="1"/>
      <protection locked="0"/>
    </xf>
    <xf numFmtId="0" fontId="2" fillId="0" borderId="8" xfId="0" applyFont="1" applyBorder="1" applyAlignment="1" applyProtection="1">
      <alignment horizontal="left" vertical="center" wrapText="1"/>
      <protection locked="0"/>
    </xf>
    <xf numFmtId="10" fontId="8" fillId="6" borderId="13" xfId="0" applyNumberFormat="1" applyFont="1" applyFill="1" applyBorder="1" applyAlignment="1" applyProtection="1">
      <alignment horizontal="center" vertical="center"/>
      <protection locked="0"/>
    </xf>
    <xf numFmtId="164" fontId="5" fillId="3" borderId="1" xfId="4" applyNumberFormat="1" applyFont="1" applyFill="1" applyBorder="1" applyAlignment="1" applyProtection="1">
      <alignment horizontal="center" vertical="center" wrapText="1"/>
      <protection locked="0"/>
    </xf>
    <xf numFmtId="44" fontId="5" fillId="3" borderId="1" xfId="2" applyFont="1" applyFill="1" applyBorder="1" applyAlignment="1" applyProtection="1">
      <alignment horizontal="center" vertical="center" wrapText="1"/>
      <protection locked="0"/>
    </xf>
    <xf numFmtId="0" fontId="5" fillId="10" borderId="1" xfId="4" applyFont="1" applyFill="1" applyBorder="1" applyAlignment="1" applyProtection="1">
      <alignment horizontal="center" vertical="center" wrapText="1"/>
      <protection locked="0"/>
    </xf>
    <xf numFmtId="0" fontId="5" fillId="10" borderId="1" xfId="4" applyFont="1" applyFill="1" applyBorder="1" applyAlignment="1" applyProtection="1">
      <alignment horizontal="left" vertical="center" wrapText="1"/>
      <protection locked="0"/>
    </xf>
    <xf numFmtId="44" fontId="5" fillId="10" borderId="1" xfId="2" applyFont="1" applyFill="1" applyBorder="1" applyAlignment="1" applyProtection="1">
      <alignment horizontal="center" vertical="center" wrapText="1"/>
      <protection locked="0"/>
    </xf>
    <xf numFmtId="0" fontId="5" fillId="11" borderId="1" xfId="4" applyFont="1" applyFill="1" applyBorder="1" applyAlignment="1" applyProtection="1">
      <alignment horizontal="center" vertical="center" wrapText="1"/>
      <protection locked="0"/>
    </xf>
    <xf numFmtId="0" fontId="5" fillId="11" borderId="1" xfId="4" applyFont="1" applyFill="1" applyBorder="1" applyAlignment="1" applyProtection="1">
      <alignment horizontal="left" vertical="center" wrapText="1"/>
      <protection locked="0"/>
    </xf>
    <xf numFmtId="44" fontId="5" fillId="11" borderId="1" xfId="2" applyFont="1" applyFill="1" applyBorder="1" applyAlignment="1" applyProtection="1">
      <alignment horizontal="center" vertical="center" wrapText="1"/>
      <protection hidden="1"/>
    </xf>
    <xf numFmtId="0" fontId="11" fillId="0" borderId="1" xfId="4" applyFont="1" applyBorder="1" applyAlignment="1" applyProtection="1">
      <alignment horizontal="center" vertical="center" wrapText="1"/>
      <protection locked="0"/>
    </xf>
    <xf numFmtId="0" fontId="11" fillId="0" borderId="1" xfId="4" applyFont="1" applyBorder="1" applyAlignment="1" applyProtection="1">
      <alignment horizontal="left" vertical="center" wrapText="1"/>
      <protection locked="0"/>
    </xf>
    <xf numFmtId="44" fontId="11" fillId="0" borderId="1" xfId="2" applyFont="1" applyFill="1" applyBorder="1" applyAlignment="1" applyProtection="1">
      <alignment horizontal="center" vertical="center" wrapText="1"/>
      <protection hidden="1"/>
    </xf>
    <xf numFmtId="0" fontId="4" fillId="11" borderId="0" xfId="4" applyFont="1" applyFill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44" fontId="11" fillId="0" borderId="1" xfId="2" applyFont="1" applyBorder="1" applyAlignment="1" applyProtection="1">
      <alignment horizontal="center" vertical="center" wrapText="1"/>
      <protection hidden="1"/>
    </xf>
    <xf numFmtId="0" fontId="13" fillId="11" borderId="1" xfId="0" applyFont="1" applyFill="1" applyBorder="1" applyAlignment="1" applyProtection="1">
      <alignment vertical="center" wrapText="1"/>
      <protection locked="0"/>
    </xf>
    <xf numFmtId="0" fontId="13" fillId="12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3" fillId="12" borderId="1" xfId="0" applyFont="1" applyFill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horizontal="center" vertical="top" wrapText="1"/>
      <protection locked="0"/>
    </xf>
    <xf numFmtId="44" fontId="5" fillId="10" borderId="1" xfId="2" applyFont="1" applyFill="1" applyBorder="1" applyAlignment="1" applyProtection="1">
      <alignment horizontal="center" vertical="center" wrapText="1"/>
      <protection hidden="1"/>
    </xf>
    <xf numFmtId="0" fontId="5" fillId="0" borderId="1" xfId="4" applyFont="1" applyBorder="1" applyAlignment="1" applyProtection="1">
      <alignment horizontal="center" vertical="center" wrapText="1"/>
      <protection locked="0"/>
    </xf>
    <xf numFmtId="0" fontId="11" fillId="13" borderId="1" xfId="4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2" fillId="14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13" fillId="11" borderId="1" xfId="0" applyFont="1" applyFill="1" applyBorder="1" applyAlignment="1" applyProtection="1">
      <alignment horizontal="center" vertical="center" wrapText="1"/>
      <protection locked="0"/>
    </xf>
    <xf numFmtId="0" fontId="11" fillId="11" borderId="1" xfId="4" applyFont="1" applyFill="1" applyBorder="1" applyAlignment="1" applyProtection="1">
      <alignment horizontal="center" vertical="center" wrapText="1"/>
      <protection locked="0"/>
    </xf>
    <xf numFmtId="44" fontId="11" fillId="11" borderId="1" xfId="2" applyFont="1" applyFill="1" applyBorder="1" applyAlignment="1" applyProtection="1">
      <alignment horizontal="center" vertical="center" wrapText="1"/>
      <protection hidden="1"/>
    </xf>
    <xf numFmtId="0" fontId="11" fillId="0" borderId="1" xfId="5" applyFont="1" applyBorder="1" applyAlignment="1" applyProtection="1">
      <alignment horizontal="center" vertical="center" wrapText="1"/>
      <protection locked="0"/>
    </xf>
    <xf numFmtId="44" fontId="12" fillId="0" borderId="1" xfId="2" applyFont="1" applyBorder="1" applyAlignment="1">
      <alignment vertical="center"/>
    </xf>
    <xf numFmtId="0" fontId="12" fillId="0" borderId="1" xfId="0" applyFont="1" applyBorder="1" applyProtection="1">
      <protection locked="0"/>
    </xf>
    <xf numFmtId="0" fontId="13" fillId="15" borderId="1" xfId="0" applyFont="1" applyFill="1" applyBorder="1" applyAlignment="1" applyProtection="1">
      <alignment horizontal="center" vertical="center" wrapText="1"/>
      <protection locked="0"/>
    </xf>
    <xf numFmtId="0" fontId="5" fillId="11" borderId="1" xfId="5" applyFont="1" applyFill="1" applyBorder="1" applyAlignment="1" applyProtection="1">
      <alignment horizontal="left" vertical="center" wrapText="1"/>
      <protection locked="0"/>
    </xf>
    <xf numFmtId="0" fontId="11" fillId="0" borderId="1" xfId="5" applyFont="1" applyBorder="1" applyAlignment="1" applyProtection="1">
      <alignment horizontal="left" vertical="center" wrapText="1"/>
      <protection locked="0"/>
    </xf>
    <xf numFmtId="0" fontId="11" fillId="13" borderId="1" xfId="5" applyFont="1" applyFill="1" applyBorder="1" applyAlignment="1" applyProtection="1">
      <alignment horizontal="center" vertical="center" wrapText="1"/>
      <protection locked="0"/>
    </xf>
    <xf numFmtId="0" fontId="5" fillId="11" borderId="1" xfId="5" applyFont="1" applyFill="1" applyBorder="1" applyAlignment="1" applyProtection="1">
      <alignment horizontal="left" vertical="center" wrapText="1"/>
      <protection hidden="1"/>
    </xf>
    <xf numFmtId="44" fontId="5" fillId="11" borderId="1" xfId="5" applyNumberFormat="1" applyFont="1" applyFill="1" applyBorder="1" applyAlignment="1" applyProtection="1">
      <alignment horizontal="left" vertical="center" wrapText="1"/>
      <protection hidden="1"/>
    </xf>
    <xf numFmtId="0" fontId="11" fillId="0" borderId="1" xfId="6" applyFont="1" applyBorder="1" applyAlignment="1" applyProtection="1">
      <alignment vertical="center" wrapText="1"/>
      <protection locked="0"/>
    </xf>
    <xf numFmtId="0" fontId="12" fillId="15" borderId="1" xfId="0" applyFont="1" applyFill="1" applyBorder="1" applyProtection="1">
      <protection locked="0"/>
    </xf>
    <xf numFmtId="44" fontId="14" fillId="16" borderId="40" xfId="2" applyFont="1" applyFill="1" applyBorder="1" applyAlignment="1" applyProtection="1">
      <alignment vertical="center"/>
      <protection hidden="1"/>
    </xf>
    <xf numFmtId="0" fontId="4" fillId="17" borderId="1" xfId="0" applyFont="1" applyFill="1" applyBorder="1" applyAlignment="1" applyProtection="1">
      <alignment vertical="center" wrapText="1"/>
      <protection locked="0"/>
    </xf>
    <xf numFmtId="0" fontId="4" fillId="18" borderId="29" xfId="0" applyFont="1" applyFill="1" applyBorder="1" applyAlignment="1" applyProtection="1">
      <alignment horizontal="center" vertical="center"/>
      <protection locked="0"/>
    </xf>
    <xf numFmtId="0" fontId="4" fillId="17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16" fillId="19" borderId="1" xfId="0" applyFont="1" applyFill="1" applyBorder="1" applyAlignment="1" applyProtection="1">
      <alignment horizontal="center" vertical="center"/>
      <protection locked="0"/>
    </xf>
    <xf numFmtId="0" fontId="16" fillId="19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44" fontId="16" fillId="0" borderId="1" xfId="2" applyFont="1" applyBorder="1" applyAlignment="1" applyProtection="1">
      <alignment horizontal="center" vertical="center"/>
      <protection locked="0"/>
    </xf>
    <xf numFmtId="44" fontId="16" fillId="0" borderId="1" xfId="0" applyNumberFormat="1" applyFont="1" applyBorder="1" applyAlignment="1">
      <alignment horizontal="center" vertical="center"/>
    </xf>
    <xf numFmtId="44" fontId="16" fillId="0" borderId="1" xfId="0" applyNumberFormat="1" applyFont="1" applyBorder="1" applyAlignment="1">
      <alignment horizontal="center" vertical="center" wrapText="1"/>
    </xf>
    <xf numFmtId="44" fontId="17" fillId="0" borderId="1" xfId="0" applyNumberFormat="1" applyFont="1" applyBorder="1" applyAlignment="1">
      <alignment horizontal="center" vertical="center"/>
    </xf>
    <xf numFmtId="44" fontId="17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 applyProtection="1">
      <alignment vertical="center"/>
      <protection locked="0"/>
    </xf>
    <xf numFmtId="0" fontId="16" fillId="0" borderId="0" xfId="0" applyFont="1" applyAlignment="1">
      <alignment vertical="center" wrapText="1"/>
    </xf>
    <xf numFmtId="44" fontId="17" fillId="0" borderId="0" xfId="0" applyNumberFormat="1" applyFont="1" applyAlignment="1">
      <alignment vertical="center"/>
    </xf>
    <xf numFmtId="44" fontId="17" fillId="0" borderId="0" xfId="0" applyNumberFormat="1" applyFont="1" applyAlignment="1">
      <alignment vertical="center" wrapText="1"/>
    </xf>
    <xf numFmtId="0" fontId="8" fillId="0" borderId="46" xfId="0" applyFont="1" applyBorder="1" applyAlignment="1" applyProtection="1">
      <alignment horizontal="center" vertical="center" wrapText="1"/>
      <protection locked="0"/>
    </xf>
    <xf numFmtId="0" fontId="8" fillId="0" borderId="46" xfId="0" applyFont="1" applyBorder="1" applyAlignment="1" applyProtection="1">
      <alignment horizontal="center" vertical="center"/>
      <protection locked="0"/>
    </xf>
    <xf numFmtId="0" fontId="8" fillId="0" borderId="46" xfId="0" applyFont="1" applyBorder="1" applyAlignment="1" applyProtection="1">
      <alignment vertical="center"/>
      <protection locked="0"/>
    </xf>
    <xf numFmtId="44" fontId="8" fillId="0" borderId="46" xfId="2" applyFont="1" applyBorder="1" applyAlignment="1" applyProtection="1">
      <alignment horizontal="center" vertical="center"/>
      <protection locked="0"/>
    </xf>
    <xf numFmtId="0" fontId="8" fillId="0" borderId="47" xfId="0" applyFont="1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4" fontId="7" fillId="0" borderId="1" xfId="2" applyFont="1" applyBorder="1" applyAlignment="1" applyProtection="1">
      <alignment vertical="center"/>
    </xf>
    <xf numFmtId="0" fontId="0" fillId="0" borderId="1" xfId="0" applyBorder="1" applyAlignment="1" applyProtection="1">
      <alignment vertical="center"/>
      <protection locked="0"/>
    </xf>
    <xf numFmtId="44" fontId="0" fillId="0" borderId="49" xfId="0" applyNumberFormat="1" applyBorder="1" applyAlignment="1">
      <alignment vertical="center"/>
    </xf>
    <xf numFmtId="0" fontId="2" fillId="0" borderId="48" xfId="0" applyFont="1" applyBorder="1" applyAlignment="1" applyProtection="1">
      <alignment vertical="center" wrapText="1"/>
      <protection locked="0"/>
    </xf>
    <xf numFmtId="0" fontId="2" fillId="0" borderId="1" xfId="7" applyBorder="1" applyAlignment="1" applyProtection="1">
      <alignment vertical="center"/>
      <protection locked="0"/>
    </xf>
    <xf numFmtId="44" fontId="0" fillId="0" borderId="1" xfId="2" applyFont="1" applyBorder="1" applyAlignment="1" applyProtection="1">
      <alignment vertical="center"/>
      <protection locked="0"/>
    </xf>
    <xf numFmtId="0" fontId="0" fillId="0" borderId="49" xfId="0" applyBorder="1" applyAlignment="1" applyProtection="1">
      <alignment vertical="center"/>
      <protection locked="0"/>
    </xf>
    <xf numFmtId="0" fontId="2" fillId="0" borderId="51" xfId="0" applyFont="1" applyBorder="1" applyAlignment="1" applyProtection="1">
      <alignment vertical="center"/>
      <protection locked="0"/>
    </xf>
    <xf numFmtId="10" fontId="0" fillId="0" borderId="51" xfId="3" applyNumberFormat="1" applyFont="1" applyBorder="1" applyAlignment="1" applyProtection="1">
      <alignment horizontal="center" vertical="center" wrapText="1"/>
      <protection locked="0"/>
    </xf>
    <xf numFmtId="0" fontId="0" fillId="0" borderId="51" xfId="0" applyBorder="1" applyAlignment="1" applyProtection="1">
      <alignment vertical="center"/>
      <protection locked="0"/>
    </xf>
    <xf numFmtId="44" fontId="0" fillId="0" borderId="51" xfId="2" applyFont="1" applyBorder="1" applyAlignment="1" applyProtection="1">
      <alignment vertical="center"/>
      <protection locked="0"/>
    </xf>
    <xf numFmtId="0" fontId="0" fillId="0" borderId="52" xfId="0" applyBorder="1" applyAlignment="1" applyProtection="1">
      <alignment vertical="center"/>
      <protection locked="0"/>
    </xf>
    <xf numFmtId="44" fontId="18" fillId="0" borderId="0" xfId="0" applyNumberFormat="1" applyFont="1" applyProtection="1">
      <protection locked="0"/>
    </xf>
    <xf numFmtId="0" fontId="19" fillId="0" borderId="1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43" fontId="2" fillId="0" borderId="1" xfId="8" applyFont="1" applyBorder="1" applyAlignment="1" applyProtection="1">
      <alignment horizontal="center" vertical="center"/>
      <protection locked="0"/>
    </xf>
    <xf numFmtId="43" fontId="2" fillId="0" borderId="1" xfId="8" applyFont="1" applyFill="1" applyBorder="1" applyAlignment="1" applyProtection="1">
      <alignment vertical="center"/>
      <protection locked="0"/>
    </xf>
    <xf numFmtId="0" fontId="2" fillId="11" borderId="1" xfId="0" applyFont="1" applyFill="1" applyBorder="1" applyAlignment="1" applyProtection="1">
      <alignment horizontal="center" vertical="center"/>
      <protection locked="0"/>
    </xf>
    <xf numFmtId="43" fontId="2" fillId="0" borderId="1" xfId="8" applyFont="1" applyBorder="1" applyAlignment="1" applyProtection="1">
      <alignment vertical="center"/>
      <protection locked="0"/>
    </xf>
    <xf numFmtId="43" fontId="0" fillId="11" borderId="1" xfId="8" applyFont="1" applyFill="1" applyBorder="1" applyAlignment="1" applyProtection="1">
      <protection locked="0"/>
    </xf>
    <xf numFmtId="0" fontId="10" fillId="21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0" xfId="0" applyFont="1" applyFill="1" applyBorder="1" applyAlignment="1" applyProtection="1">
      <alignment horizontal="left" vertical="center"/>
      <protection locked="0"/>
    </xf>
    <xf numFmtId="0" fontId="2" fillId="2" borderId="40" xfId="0" applyFont="1" applyFill="1" applyBorder="1" applyAlignment="1" applyProtection="1">
      <alignment vertical="center"/>
      <protection locked="0"/>
    </xf>
    <xf numFmtId="0" fontId="4" fillId="18" borderId="1" xfId="0" applyFont="1" applyFill="1" applyBorder="1" applyAlignment="1" applyProtection="1">
      <alignment horizontal="center" vertical="center"/>
      <protection locked="0"/>
    </xf>
    <xf numFmtId="166" fontId="2" fillId="0" borderId="1" xfId="8" applyNumberFormat="1" applyFont="1" applyBorder="1" applyAlignment="1" applyProtection="1">
      <alignment horizontal="center" vertical="center"/>
      <protection locked="0"/>
    </xf>
    <xf numFmtId="44" fontId="2" fillId="0" borderId="1" xfId="2" applyFont="1" applyBorder="1" applyAlignment="1" applyProtection="1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8" applyFont="1" applyBorder="1" applyAlignment="1" applyProtection="1">
      <alignment vertical="center"/>
      <protection locked="0"/>
    </xf>
    <xf numFmtId="0" fontId="8" fillId="22" borderId="3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vertical="center"/>
    </xf>
    <xf numFmtId="43" fontId="2" fillId="0" borderId="0" xfId="8" applyFont="1" applyBorder="1" applyAlignment="1" applyProtection="1">
      <alignment horizontal="center" vertical="center"/>
      <protection locked="0"/>
    </xf>
    <xf numFmtId="0" fontId="8" fillId="22" borderId="29" xfId="0" applyFont="1" applyFill="1" applyBorder="1" applyAlignment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8" fillId="22" borderId="1" xfId="0" applyFont="1" applyFill="1" applyBorder="1" applyAlignment="1">
      <alignment horizontal="center" vertical="center"/>
    </xf>
    <xf numFmtId="0" fontId="8" fillId="18" borderId="1" xfId="0" applyFont="1" applyFill="1" applyBorder="1" applyAlignment="1" applyProtection="1">
      <alignment horizontal="center" vertical="center"/>
      <protection locked="0"/>
    </xf>
    <xf numFmtId="0" fontId="8" fillId="18" borderId="29" xfId="0" applyFont="1" applyFill="1" applyBorder="1" applyAlignment="1" applyProtection="1">
      <alignment horizontal="center" vertical="center"/>
      <protection locked="0"/>
    </xf>
    <xf numFmtId="0" fontId="8" fillId="17" borderId="29" xfId="0" applyFont="1" applyFill="1" applyBorder="1" applyAlignment="1" applyProtection="1">
      <alignment horizontal="center" vertical="center"/>
      <protection locked="0"/>
    </xf>
    <xf numFmtId="0" fontId="8" fillId="18" borderId="17" xfId="0" applyFont="1" applyFill="1" applyBorder="1" applyAlignment="1" applyProtection="1">
      <alignment horizontal="center" vertical="center"/>
      <protection locked="0"/>
    </xf>
    <xf numFmtId="0" fontId="8" fillId="17" borderId="17" xfId="0" applyFont="1" applyFill="1" applyBorder="1" applyAlignment="1" applyProtection="1">
      <alignment horizontal="center" vertical="center"/>
      <protection locked="0"/>
    </xf>
    <xf numFmtId="43" fontId="2" fillId="0" borderId="2" xfId="8" applyFont="1" applyBorder="1" applyAlignment="1" applyProtection="1">
      <alignment horizontal="center" vertical="center"/>
      <protection locked="0"/>
    </xf>
    <xf numFmtId="44" fontId="2" fillId="0" borderId="1" xfId="2" applyFont="1" applyBorder="1" applyAlignment="1" applyProtection="1">
      <alignment vertical="center"/>
      <protection locked="0"/>
    </xf>
    <xf numFmtId="0" fontId="8" fillId="15" borderId="39" xfId="0" applyFont="1" applyFill="1" applyBorder="1" applyAlignment="1" applyProtection="1">
      <alignment horizontal="center" vertical="center"/>
      <protection locked="0"/>
    </xf>
    <xf numFmtId="44" fontId="8" fillId="15" borderId="39" xfId="2" applyFont="1" applyFill="1" applyBorder="1" applyAlignment="1" applyProtection="1">
      <alignment horizontal="center" vertical="center"/>
      <protection locked="0"/>
    </xf>
    <xf numFmtId="0" fontId="8" fillId="22" borderId="1" xfId="0" applyFont="1" applyFill="1" applyBorder="1" applyAlignment="1" applyProtection="1">
      <alignment horizontal="center" vertical="center"/>
      <protection locked="0"/>
    </xf>
    <xf numFmtId="44" fontId="8" fillId="22" borderId="1" xfId="2" applyFont="1" applyFill="1" applyBorder="1" applyAlignment="1" applyProtection="1">
      <alignment horizontal="center" vertical="center"/>
      <protection locked="0"/>
    </xf>
    <xf numFmtId="0" fontId="8" fillId="15" borderId="0" xfId="0" applyFont="1" applyFill="1" applyAlignment="1" applyProtection="1">
      <alignment horizontal="center" vertical="center"/>
      <protection locked="0"/>
    </xf>
    <xf numFmtId="44" fontId="8" fillId="15" borderId="0" xfId="0" applyNumberFormat="1" applyFont="1" applyFill="1" applyAlignment="1" applyProtection="1">
      <alignment vertical="center"/>
      <protection locked="0"/>
    </xf>
    <xf numFmtId="44" fontId="8" fillId="15" borderId="0" xfId="2" applyFont="1" applyFill="1" applyBorder="1" applyAlignment="1" applyProtection="1">
      <alignment vertical="center"/>
      <protection locked="0"/>
    </xf>
    <xf numFmtId="44" fontId="8" fillId="22" borderId="1" xfId="2" applyFont="1" applyFill="1" applyBorder="1" applyAlignment="1" applyProtection="1">
      <alignment vertical="center"/>
      <protection locked="0"/>
    </xf>
    <xf numFmtId="44" fontId="8" fillId="15" borderId="39" xfId="2" applyFont="1" applyFill="1" applyBorder="1" applyAlignment="1" applyProtection="1">
      <alignment vertical="center"/>
      <protection locked="0"/>
    </xf>
    <xf numFmtId="44" fontId="2" fillId="2" borderId="40" xfId="2" applyFont="1" applyFill="1" applyBorder="1" applyAlignment="1" applyProtection="1">
      <alignment vertical="center"/>
      <protection locked="0"/>
    </xf>
    <xf numFmtId="44" fontId="8" fillId="22" borderId="32" xfId="2" applyFont="1" applyFill="1" applyBorder="1" applyAlignment="1" applyProtection="1">
      <alignment horizontal="center" vertical="center"/>
    </xf>
    <xf numFmtId="0" fontId="8" fillId="2" borderId="40" xfId="0" applyFont="1" applyFill="1" applyBorder="1" applyAlignment="1" applyProtection="1">
      <alignment vertical="center"/>
      <protection locked="0"/>
    </xf>
    <xf numFmtId="44" fontId="8" fillId="22" borderId="29" xfId="2" applyFont="1" applyFill="1" applyBorder="1" applyAlignment="1" applyProtection="1">
      <alignment horizontal="center" vertical="center"/>
    </xf>
    <xf numFmtId="44" fontId="8" fillId="22" borderId="1" xfId="2" applyFont="1" applyFill="1" applyBorder="1" applyAlignment="1" applyProtection="1">
      <alignment horizontal="center" vertical="center"/>
    </xf>
    <xf numFmtId="44" fontId="8" fillId="22" borderId="1" xfId="2" applyFont="1" applyFill="1" applyBorder="1" applyAlignment="1" applyProtection="1">
      <alignment vertical="center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49" fontId="10" fillId="21" borderId="2" xfId="0" applyNumberFormat="1" applyFont="1" applyFill="1" applyBorder="1" applyAlignment="1" applyProtection="1">
      <alignment vertical="center"/>
      <protection locked="0"/>
    </xf>
    <xf numFmtId="49" fontId="10" fillId="21" borderId="40" xfId="0" applyNumberFormat="1" applyFont="1" applyFill="1" applyBorder="1" applyAlignment="1" applyProtection="1">
      <alignment vertical="center"/>
      <protection locked="0"/>
    </xf>
    <xf numFmtId="49" fontId="10" fillId="21" borderId="3" xfId="0" applyNumberFormat="1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 applyProtection="1">
      <alignment vertical="center"/>
      <protection locked="0"/>
    </xf>
    <xf numFmtId="44" fontId="2" fillId="22" borderId="0" xfId="0" applyNumberFormat="1" applyFont="1" applyFill="1" applyAlignment="1">
      <alignment vertical="center"/>
    </xf>
    <xf numFmtId="44" fontId="8" fillId="22" borderId="32" xfId="2" applyFont="1" applyFill="1" applyBorder="1" applyAlignment="1" applyProtection="1">
      <alignment horizontal="center" vertical="center"/>
      <protection locked="0"/>
    </xf>
    <xf numFmtId="0" fontId="8" fillId="22" borderId="32" xfId="0" applyFont="1" applyFill="1" applyBorder="1" applyAlignment="1" applyProtection="1">
      <alignment horizontal="center" vertical="center"/>
      <protection locked="0"/>
    </xf>
    <xf numFmtId="0" fontId="8" fillId="22" borderId="29" xfId="0" applyFont="1" applyFill="1" applyBorder="1" applyAlignment="1" applyProtection="1">
      <alignment horizontal="center" vertical="center"/>
      <protection locked="0"/>
    </xf>
    <xf numFmtId="44" fontId="8" fillId="22" borderId="29" xfId="2" applyFont="1" applyFill="1" applyBorder="1" applyAlignment="1" applyProtection="1">
      <alignment horizontal="center" vertical="center"/>
      <protection locked="0"/>
    </xf>
    <xf numFmtId="44" fontId="2" fillId="22" borderId="0" xfId="0" applyNumberFormat="1" applyFont="1" applyFill="1" applyAlignment="1" applyProtection="1">
      <alignment vertical="center"/>
      <protection locked="0"/>
    </xf>
    <xf numFmtId="43" fontId="2" fillId="0" borderId="0" xfId="0" applyNumberFormat="1" applyFont="1" applyAlignment="1" applyProtection="1">
      <alignment vertical="center"/>
      <protection locked="0"/>
    </xf>
    <xf numFmtId="0" fontId="10" fillId="21" borderId="2" xfId="0" applyFont="1" applyFill="1" applyBorder="1" applyAlignment="1" applyProtection="1">
      <alignment vertical="center"/>
      <protection locked="0"/>
    </xf>
    <xf numFmtId="166" fontId="10" fillId="21" borderId="40" xfId="0" applyNumberFormat="1" applyFont="1" applyFill="1" applyBorder="1" applyAlignment="1" applyProtection="1">
      <alignment vertical="center"/>
      <protection locked="0"/>
    </xf>
    <xf numFmtId="166" fontId="2" fillId="2" borderId="40" xfId="0" applyNumberFormat="1" applyFont="1" applyFill="1" applyBorder="1" applyAlignment="1" applyProtection="1">
      <alignment horizontal="left" vertical="center"/>
      <protection locked="0"/>
    </xf>
    <xf numFmtId="44" fontId="2" fillId="0" borderId="1" xfId="10" applyFont="1" applyBorder="1" applyAlignment="1" applyProtection="1">
      <alignment vertical="center"/>
    </xf>
    <xf numFmtId="44" fontId="8" fillId="22" borderId="32" xfId="10" applyFont="1" applyFill="1" applyBorder="1" applyAlignment="1" applyProtection="1">
      <alignment horizontal="center" vertical="center"/>
    </xf>
    <xf numFmtId="166" fontId="2" fillId="2" borderId="40" xfId="0" applyNumberFormat="1" applyFont="1" applyFill="1" applyBorder="1" applyAlignment="1" applyProtection="1">
      <alignment vertical="center"/>
      <protection locked="0"/>
    </xf>
    <xf numFmtId="166" fontId="2" fillId="0" borderId="0" xfId="8" applyNumberFormat="1" applyFont="1" applyBorder="1" applyAlignment="1" applyProtection="1">
      <alignment horizontal="center" vertical="center"/>
      <protection locked="0"/>
    </xf>
    <xf numFmtId="44" fontId="8" fillId="22" borderId="29" xfId="10" applyFont="1" applyFill="1" applyBorder="1" applyAlignment="1" applyProtection="1">
      <alignment horizontal="center" vertical="center"/>
    </xf>
    <xf numFmtId="166" fontId="2" fillId="0" borderId="0" xfId="0" applyNumberFormat="1" applyFont="1" applyAlignment="1" applyProtection="1">
      <alignment vertical="center"/>
      <protection locked="0"/>
    </xf>
    <xf numFmtId="44" fontId="8" fillId="22" borderId="1" xfId="10" applyFont="1" applyFill="1" applyBorder="1" applyAlignment="1" applyProtection="1">
      <alignment vertical="center"/>
    </xf>
    <xf numFmtId="49" fontId="10" fillId="21" borderId="40" xfId="0" applyNumberFormat="1" applyFont="1" applyFill="1" applyBorder="1" applyAlignment="1" applyProtection="1">
      <alignment vertical="center" wrapText="1"/>
      <protection locked="0"/>
    </xf>
    <xf numFmtId="0" fontId="2" fillId="2" borderId="40" xfId="0" applyFont="1" applyFill="1" applyBorder="1" applyAlignment="1" applyProtection="1">
      <alignment vertical="center" wrapText="1"/>
      <protection locked="0"/>
    </xf>
    <xf numFmtId="44" fontId="0" fillId="0" borderId="1" xfId="0" applyNumberFormat="1" applyBorder="1" applyAlignment="1">
      <alignment horizontal="center" vertical="center" wrapText="1"/>
    </xf>
    <xf numFmtId="0" fontId="2" fillId="2" borderId="40" xfId="0" applyFont="1" applyFill="1" applyBorder="1" applyAlignment="1">
      <alignment vertical="center" wrapText="1"/>
    </xf>
    <xf numFmtId="0" fontId="8" fillId="22" borderId="29" xfId="0" applyFont="1" applyFill="1" applyBorder="1" applyAlignment="1">
      <alignment horizontal="center" vertical="center" wrapText="1"/>
    </xf>
    <xf numFmtId="0" fontId="8" fillId="22" borderId="1" xfId="0" applyFont="1" applyFill="1" applyBorder="1" applyAlignment="1">
      <alignment horizontal="center" vertical="center" wrapText="1"/>
    </xf>
    <xf numFmtId="44" fontId="2" fillId="0" borderId="1" xfId="10" applyFont="1" applyBorder="1" applyAlignment="1" applyProtection="1">
      <alignment vertical="center" wrapText="1"/>
    </xf>
    <xf numFmtId="0" fontId="19" fillId="0" borderId="1" xfId="0" applyFont="1" applyBorder="1" applyAlignment="1" applyProtection="1">
      <alignment wrapText="1"/>
      <protection locked="0"/>
    </xf>
    <xf numFmtId="168" fontId="2" fillId="0" borderId="1" xfId="0" applyNumberFormat="1" applyFont="1" applyBorder="1" applyAlignment="1">
      <alignment vertical="center"/>
    </xf>
    <xf numFmtId="44" fontId="2" fillId="0" borderId="1" xfId="10" applyFont="1" applyBorder="1" applyAlignment="1" applyProtection="1">
      <alignment vertical="center"/>
      <protection locked="0"/>
    </xf>
    <xf numFmtId="44" fontId="8" fillId="22" borderId="32" xfId="10" applyFont="1" applyFill="1" applyBorder="1" applyAlignment="1" applyProtection="1">
      <alignment horizontal="center" vertical="center"/>
      <protection locked="0"/>
    </xf>
    <xf numFmtId="44" fontId="8" fillId="22" borderId="29" xfId="10" applyFont="1" applyFill="1" applyBorder="1" applyAlignment="1" applyProtection="1">
      <alignment horizontal="center" vertical="center"/>
      <protection locked="0"/>
    </xf>
    <xf numFmtId="44" fontId="8" fillId="22" borderId="1" xfId="10" applyFont="1" applyFill="1" applyBorder="1" applyAlignment="1" applyProtection="1">
      <alignment vertical="center"/>
      <protection locked="0"/>
    </xf>
    <xf numFmtId="49" fontId="10" fillId="21" borderId="2" xfId="7" applyNumberFormat="1" applyFont="1" applyFill="1" applyBorder="1" applyAlignment="1" applyProtection="1">
      <alignment vertical="center"/>
      <protection locked="0"/>
    </xf>
    <xf numFmtId="49" fontId="10" fillId="21" borderId="40" xfId="7" applyNumberFormat="1" applyFont="1" applyFill="1" applyBorder="1" applyAlignment="1" applyProtection="1">
      <alignment vertical="center"/>
      <protection locked="0"/>
    </xf>
    <xf numFmtId="49" fontId="10" fillId="21" borderId="3" xfId="7" applyNumberFormat="1" applyFont="1" applyFill="1" applyBorder="1" applyAlignment="1" applyProtection="1">
      <alignment vertical="center"/>
      <protection locked="0"/>
    </xf>
    <xf numFmtId="0" fontId="8" fillId="2" borderId="2" xfId="7" applyFont="1" applyFill="1" applyBorder="1" applyAlignment="1" applyProtection="1">
      <alignment vertical="center" wrapText="1"/>
      <protection locked="0"/>
    </xf>
    <xf numFmtId="0" fontId="2" fillId="2" borderId="40" xfId="7" applyFill="1" applyBorder="1" applyAlignment="1" applyProtection="1">
      <alignment horizontal="left" vertical="center"/>
      <protection locked="0"/>
    </xf>
    <xf numFmtId="0" fontId="2" fillId="2" borderId="40" xfId="7" applyFill="1" applyBorder="1" applyAlignment="1" applyProtection="1">
      <alignment vertical="center"/>
      <protection locked="0"/>
    </xf>
    <xf numFmtId="0" fontId="2" fillId="2" borderId="3" xfId="7" applyFill="1" applyBorder="1" applyAlignment="1" applyProtection="1">
      <alignment vertical="center"/>
      <protection locked="0"/>
    </xf>
    <xf numFmtId="0" fontId="4" fillId="18" borderId="1" xfId="7" applyFont="1" applyFill="1" applyBorder="1" applyAlignment="1" applyProtection="1">
      <alignment horizontal="center" vertical="center"/>
      <protection locked="0"/>
    </xf>
    <xf numFmtId="0" fontId="2" fillId="0" borderId="0" xfId="7" applyAlignment="1" applyProtection="1">
      <alignment vertical="center"/>
      <protection locked="0"/>
    </xf>
    <xf numFmtId="0" fontId="8" fillId="2" borderId="40" xfId="7" applyFont="1" applyFill="1" applyBorder="1" applyAlignment="1" applyProtection="1">
      <alignment vertical="center"/>
      <protection locked="0"/>
    </xf>
    <xf numFmtId="0" fontId="8" fillId="22" borderId="32" xfId="7" applyFont="1" applyFill="1" applyBorder="1" applyAlignment="1" applyProtection="1">
      <alignment horizontal="center" vertical="center"/>
      <protection locked="0"/>
    </xf>
    <xf numFmtId="0" fontId="8" fillId="22" borderId="29" xfId="7" applyFont="1" applyFill="1" applyBorder="1" applyAlignment="1" applyProtection="1">
      <alignment horizontal="center" vertical="center"/>
      <protection locked="0"/>
    </xf>
    <xf numFmtId="0" fontId="8" fillId="22" borderId="1" xfId="7" applyFont="1" applyFill="1" applyBorder="1" applyAlignment="1" applyProtection="1">
      <alignment horizontal="center" vertical="center"/>
      <protection locked="0"/>
    </xf>
    <xf numFmtId="44" fontId="0" fillId="0" borderId="0" xfId="0" applyNumberFormat="1"/>
    <xf numFmtId="0" fontId="0" fillId="0" borderId="0" xfId="0" applyAlignment="1">
      <alignment horizontal="right"/>
    </xf>
    <xf numFmtId="9" fontId="16" fillId="0" borderId="0" xfId="3" applyFont="1" applyAlignment="1" applyProtection="1">
      <alignment vertical="center"/>
      <protection locked="0"/>
    </xf>
    <xf numFmtId="0" fontId="5" fillId="23" borderId="1" xfId="4" applyFont="1" applyFill="1" applyBorder="1" applyAlignment="1" applyProtection="1">
      <alignment horizontal="center" vertical="center" wrapText="1"/>
      <protection locked="0"/>
    </xf>
    <xf numFmtId="0" fontId="5" fillId="23" borderId="1" xfId="4" applyFont="1" applyFill="1" applyBorder="1" applyAlignment="1" applyProtection="1">
      <alignment horizontal="left" vertical="center" wrapText="1"/>
      <protection locked="0"/>
    </xf>
    <xf numFmtId="44" fontId="5" fillId="23" borderId="1" xfId="2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vertical="center" wrapText="1"/>
      <protection locked="0"/>
    </xf>
    <xf numFmtId="0" fontId="5" fillId="11" borderId="1" xfId="0" applyFont="1" applyFill="1" applyBorder="1" applyAlignment="1" applyProtection="1">
      <alignment vertical="center" wrapText="1"/>
      <protection locked="0"/>
    </xf>
    <xf numFmtId="0" fontId="24" fillId="0" borderId="0" xfId="0" applyFont="1"/>
    <xf numFmtId="0" fontId="7" fillId="0" borderId="1" xfId="7" applyFont="1" applyBorder="1" applyAlignment="1" applyProtection="1">
      <alignment vertical="center"/>
      <protection locked="0"/>
    </xf>
    <xf numFmtId="43" fontId="7" fillId="0" borderId="1" xfId="8" applyFont="1" applyFill="1" applyBorder="1" applyAlignment="1" applyProtection="1">
      <alignment vertical="center"/>
      <protection locked="0"/>
    </xf>
    <xf numFmtId="43" fontId="7" fillId="0" borderId="1" xfId="8" applyFont="1" applyBorder="1" applyAlignment="1" applyProtection="1">
      <alignment vertical="center"/>
      <protection locked="0"/>
    </xf>
    <xf numFmtId="43" fontId="7" fillId="0" borderId="1" xfId="8" applyFont="1" applyBorder="1" applyAlignment="1" applyProtection="1">
      <alignment horizontal="center" vertical="center"/>
      <protection locked="0"/>
    </xf>
    <xf numFmtId="2" fontId="7" fillId="0" borderId="1" xfId="7" applyNumberFormat="1" applyFont="1" applyBorder="1" applyAlignment="1" applyProtection="1">
      <alignment vertical="center"/>
      <protection locked="0"/>
    </xf>
    <xf numFmtId="44" fontId="7" fillId="0" borderId="1" xfId="10" applyFont="1" applyBorder="1" applyAlignment="1" applyProtection="1">
      <alignment vertical="center"/>
      <protection locked="0"/>
    </xf>
    <xf numFmtId="0" fontId="19" fillId="0" borderId="0" xfId="0" applyFont="1"/>
    <xf numFmtId="0" fontId="5" fillId="12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12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/>
      <protection locked="0"/>
    </xf>
    <xf numFmtId="43" fontId="7" fillId="0" borderId="2" xfId="8" applyFont="1" applyBorder="1" applyAlignment="1" applyProtection="1">
      <alignment horizontal="center" vertical="center"/>
      <protection locked="0"/>
    </xf>
    <xf numFmtId="2" fontId="7" fillId="0" borderId="1" xfId="0" applyNumberFormat="1" applyFont="1" applyBorder="1" applyAlignment="1" applyProtection="1">
      <alignment horizontal="center" vertical="center"/>
      <protection locked="0"/>
    </xf>
    <xf numFmtId="44" fontId="7" fillId="0" borderId="1" xfId="2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justify" wrapText="1"/>
      <protection locked="0"/>
    </xf>
    <xf numFmtId="2" fontId="7" fillId="0" borderId="1" xfId="0" applyNumberFormat="1" applyFont="1" applyBorder="1" applyAlignment="1" applyProtection="1">
      <alignment vertical="center"/>
      <protection locked="0"/>
    </xf>
    <xf numFmtId="0" fontId="28" fillId="0" borderId="1" xfId="0" applyFont="1" applyBorder="1" applyAlignment="1" applyProtection="1">
      <alignment vertical="center"/>
      <protection locked="0"/>
    </xf>
    <xf numFmtId="43" fontId="28" fillId="0" borderId="1" xfId="8" applyFont="1" applyBorder="1" applyAlignment="1" applyProtection="1">
      <alignment vertical="center"/>
      <protection locked="0"/>
    </xf>
    <xf numFmtId="43" fontId="28" fillId="0" borderId="1" xfId="8" applyFont="1" applyBorder="1" applyAlignment="1" applyProtection="1">
      <alignment horizontal="center" vertical="center"/>
      <protection locked="0"/>
    </xf>
    <xf numFmtId="44" fontId="28" fillId="0" borderId="1" xfId="2" applyFont="1" applyBorder="1" applyAlignment="1" applyProtection="1">
      <alignment vertical="center"/>
      <protection locked="0"/>
    </xf>
    <xf numFmtId="0" fontId="28" fillId="0" borderId="1" xfId="0" applyFont="1" applyBorder="1" applyAlignment="1" applyProtection="1">
      <alignment vertical="center" wrapText="1"/>
      <protection locked="0"/>
    </xf>
    <xf numFmtId="44" fontId="7" fillId="0" borderId="1" xfId="10" applyFont="1" applyBorder="1" applyAlignment="1" applyProtection="1">
      <alignment vertical="center"/>
    </xf>
    <xf numFmtId="0" fontId="0" fillId="0" borderId="1" xfId="0" applyBorder="1"/>
    <xf numFmtId="0" fontId="11" fillId="0" borderId="1" xfId="0" applyFont="1" applyBorder="1" applyAlignment="1" applyProtection="1">
      <alignment horizontal="center" vertical="top" wrapText="1"/>
      <protection locked="0"/>
    </xf>
    <xf numFmtId="166" fontId="7" fillId="0" borderId="1" xfId="8" applyNumberFormat="1" applyFont="1" applyBorder="1" applyAlignment="1" applyProtection="1">
      <alignment horizontal="center" vertical="center"/>
      <protection locked="0"/>
    </xf>
    <xf numFmtId="0" fontId="5" fillId="24" borderId="1" xfId="4" applyFont="1" applyFill="1" applyBorder="1" applyAlignment="1" applyProtection="1">
      <alignment horizontal="center" vertical="center" wrapText="1"/>
      <protection locked="0"/>
    </xf>
    <xf numFmtId="0" fontId="5" fillId="24" borderId="1" xfId="4" applyFont="1" applyFill="1" applyBorder="1" applyAlignment="1" applyProtection="1">
      <alignment horizontal="left" vertical="center" wrapText="1"/>
      <protection locked="0"/>
    </xf>
    <xf numFmtId="44" fontId="5" fillId="24" borderId="1" xfId="2" applyFont="1" applyFill="1" applyBorder="1" applyAlignment="1" applyProtection="1">
      <alignment horizontal="center" vertical="center" wrapText="1"/>
      <protection locked="0"/>
    </xf>
    <xf numFmtId="0" fontId="11" fillId="14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5" fillId="11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Protection="1">
      <protection locked="0"/>
    </xf>
    <xf numFmtId="0" fontId="1" fillId="0" borderId="0" xfId="0" applyFont="1"/>
    <xf numFmtId="0" fontId="2" fillId="0" borderId="29" xfId="0" applyFont="1" applyBorder="1" applyAlignment="1" applyProtection="1">
      <alignment vertical="center" wrapText="1"/>
      <protection locked="0"/>
    </xf>
    <xf numFmtId="0" fontId="28" fillId="0" borderId="0" xfId="0" applyFont="1" applyAlignment="1">
      <alignment vertical="center" wrapText="1"/>
    </xf>
    <xf numFmtId="0" fontId="30" fillId="25" borderId="0" xfId="0" applyFont="1" applyFill="1" applyAlignment="1">
      <alignment vertical="center" wrapText="1"/>
    </xf>
    <xf numFmtId="0" fontId="28" fillId="25" borderId="0" xfId="0" applyFont="1" applyFill="1" applyAlignment="1">
      <alignment vertical="center" wrapText="1"/>
    </xf>
    <xf numFmtId="0" fontId="28" fillId="0" borderId="62" xfId="0" applyFont="1" applyBorder="1" applyAlignment="1">
      <alignment vertical="center" wrapText="1"/>
    </xf>
    <xf numFmtId="0" fontId="28" fillId="0" borderId="63" xfId="0" applyFont="1" applyBorder="1" applyAlignment="1">
      <alignment vertical="center" wrapText="1"/>
    </xf>
    <xf numFmtId="0" fontId="32" fillId="26" borderId="64" xfId="0" applyFont="1" applyFill="1" applyBorder="1" applyAlignment="1">
      <alignment horizontal="center" vertical="center" wrapText="1"/>
    </xf>
    <xf numFmtId="0" fontId="32" fillId="26" borderId="65" xfId="0" applyFont="1" applyFill="1" applyBorder="1" applyAlignment="1">
      <alignment horizontal="center" vertical="center" wrapText="1"/>
    </xf>
    <xf numFmtId="0" fontId="33" fillId="0" borderId="62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29" fillId="0" borderId="66" xfId="0" applyFont="1" applyBorder="1" applyAlignment="1">
      <alignment vertical="center" wrapText="1"/>
    </xf>
    <xf numFmtId="165" fontId="33" fillId="0" borderId="67" xfId="0" applyNumberFormat="1" applyFont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center" wrapText="1"/>
    </xf>
    <xf numFmtId="165" fontId="35" fillId="4" borderId="65" xfId="0" applyNumberFormat="1" applyFont="1" applyFill="1" applyBorder="1" applyAlignment="1">
      <alignment horizontal="center" vertical="center" wrapText="1"/>
    </xf>
    <xf numFmtId="0" fontId="28" fillId="0" borderId="62" xfId="0" applyFont="1" applyBorder="1" applyAlignment="1">
      <alignment horizontal="left" vertical="center" wrapText="1"/>
    </xf>
    <xf numFmtId="0" fontId="12" fillId="0" borderId="68" xfId="0" applyFont="1" applyBorder="1" applyAlignment="1">
      <alignment vertical="center" wrapText="1"/>
    </xf>
    <xf numFmtId="0" fontId="33" fillId="0" borderId="62" xfId="0" applyFont="1" applyBorder="1" applyAlignment="1">
      <alignment horizontal="center"/>
    </xf>
    <xf numFmtId="1" fontId="29" fillId="0" borderId="62" xfId="0" applyNumberFormat="1" applyFont="1" applyBorder="1" applyAlignment="1">
      <alignment horizontal="center" vertical="center"/>
    </xf>
    <xf numFmtId="0" fontId="28" fillId="0" borderId="69" xfId="0" applyFont="1" applyBorder="1" applyAlignment="1">
      <alignment vertical="center" wrapText="1"/>
    </xf>
    <xf numFmtId="0" fontId="28" fillId="0" borderId="70" xfId="0" applyFont="1" applyBorder="1" applyAlignment="1">
      <alignment vertical="center" wrapText="1"/>
    </xf>
    <xf numFmtId="0" fontId="37" fillId="0" borderId="0" xfId="0" applyFont="1"/>
    <xf numFmtId="44" fontId="14" fillId="16" borderId="3" xfId="2" applyFont="1" applyFill="1" applyBorder="1" applyAlignment="1" applyProtection="1">
      <alignment vertical="center"/>
      <protection hidden="1"/>
    </xf>
    <xf numFmtId="44" fontId="14" fillId="0" borderId="0" xfId="2" applyFont="1" applyFill="1" applyBorder="1" applyAlignment="1" applyProtection="1">
      <alignment vertical="center"/>
      <protection hidden="1"/>
    </xf>
    <xf numFmtId="0" fontId="0" fillId="0" borderId="2" xfId="0" applyBorder="1"/>
    <xf numFmtId="0" fontId="0" fillId="0" borderId="40" xfId="0" applyBorder="1"/>
    <xf numFmtId="0" fontId="0" fillId="0" borderId="3" xfId="0" applyBorder="1"/>
    <xf numFmtId="0" fontId="10" fillId="21" borderId="1" xfId="7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44" fontId="19" fillId="20" borderId="1" xfId="2" applyFont="1" applyFill="1" applyBorder="1" applyAlignment="1" applyProtection="1">
      <alignment vertical="center"/>
      <protection locked="0"/>
    </xf>
    <xf numFmtId="0" fontId="16" fillId="0" borderId="1" xfId="0" applyFont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44" fontId="26" fillId="20" borderId="0" xfId="2" applyFont="1" applyFill="1" applyBorder="1" applyAlignme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0" fontId="32" fillId="2" borderId="0" xfId="0" applyFont="1" applyFill="1" applyAlignment="1" applyProtection="1">
      <alignment horizontal="center" vertical="center" wrapText="1"/>
      <protection locked="0"/>
    </xf>
    <xf numFmtId="0" fontId="13" fillId="17" borderId="0" xfId="0" applyFont="1" applyFill="1" applyAlignment="1" applyProtection="1">
      <alignment horizontal="center" vertical="center"/>
      <protection locked="0"/>
    </xf>
    <xf numFmtId="0" fontId="28" fillId="20" borderId="0" xfId="2" applyNumberFormat="1" applyFont="1" applyFill="1" applyBorder="1" applyAlignment="1" applyProtection="1">
      <alignment vertical="center"/>
      <protection locked="0"/>
    </xf>
    <xf numFmtId="0" fontId="0" fillId="11" borderId="0" xfId="2" applyNumberFormat="1" applyFont="1" applyFill="1" applyBorder="1" applyAlignment="1" applyProtection="1">
      <protection locked="0"/>
    </xf>
    <xf numFmtId="0" fontId="28" fillId="20" borderId="0" xfId="2" applyNumberFormat="1" applyFont="1" applyFill="1" applyBorder="1" applyAlignment="1" applyProtection="1">
      <alignment horizontal="right" vertical="center"/>
      <protection locked="0"/>
    </xf>
    <xf numFmtId="43" fontId="26" fillId="0" borderId="1" xfId="8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right"/>
      <protection locked="0"/>
    </xf>
    <xf numFmtId="0" fontId="19" fillId="0" borderId="0" xfId="0" applyFont="1" applyProtection="1">
      <protection locked="0"/>
    </xf>
    <xf numFmtId="0" fontId="42" fillId="0" borderId="0" xfId="11" applyFont="1" applyAlignment="1">
      <alignment vertical="center" wrapText="1"/>
    </xf>
    <xf numFmtId="0" fontId="42" fillId="0" borderId="0" xfId="11" applyFont="1" applyAlignment="1">
      <alignment horizontal="left" vertical="center" wrapText="1"/>
    </xf>
    <xf numFmtId="0" fontId="42" fillId="0" borderId="0" xfId="11" applyFont="1" applyAlignment="1">
      <alignment horizontal="center" vertical="center" wrapText="1"/>
    </xf>
    <xf numFmtId="170" fontId="42" fillId="0" borderId="0" xfId="12" applyNumberFormat="1" applyFont="1" applyAlignment="1">
      <alignment horizontal="right" vertical="center" wrapText="1"/>
    </xf>
    <xf numFmtId="170" fontId="43" fillId="0" borderId="0" xfId="12" applyNumberFormat="1" applyFont="1" applyAlignment="1">
      <alignment horizontal="right" vertical="center" wrapText="1"/>
    </xf>
    <xf numFmtId="170" fontId="44" fillId="0" borderId="0" xfId="11" applyNumberFormat="1" applyFont="1" applyAlignment="1">
      <alignment horizontal="right" vertical="center" wrapText="1"/>
    </xf>
    <xf numFmtId="170" fontId="45" fillId="0" borderId="0" xfId="11" applyNumberFormat="1" applyFont="1" applyAlignment="1">
      <alignment horizontal="right" vertical="center" wrapText="1"/>
    </xf>
    <xf numFmtId="170" fontId="42" fillId="0" borderId="0" xfId="12" applyNumberFormat="1" applyFont="1" applyFill="1" applyAlignment="1">
      <alignment horizontal="right" vertical="center" wrapText="1"/>
    </xf>
    <xf numFmtId="0" fontId="42" fillId="0" borderId="0" xfId="11" applyFont="1" applyAlignment="1">
      <alignment vertical="center"/>
    </xf>
    <xf numFmtId="0" fontId="46" fillId="15" borderId="0" xfId="11" applyFont="1" applyFill="1" applyAlignment="1">
      <alignment horizontal="left" vertical="center"/>
    </xf>
    <xf numFmtId="0" fontId="47" fillId="15" borderId="0" xfId="11" applyFont="1" applyFill="1" applyAlignment="1">
      <alignment horizontal="center" vertical="center"/>
    </xf>
    <xf numFmtId="0" fontId="46" fillId="15" borderId="0" xfId="11" applyFont="1" applyFill="1" applyAlignment="1">
      <alignment horizontal="center" vertical="center"/>
    </xf>
    <xf numFmtId="170" fontId="42" fillId="15" borderId="0" xfId="11" applyNumberFormat="1" applyFont="1" applyFill="1" applyAlignment="1">
      <alignment horizontal="right" vertical="center"/>
    </xf>
    <xf numFmtId="170" fontId="48" fillId="15" borderId="0" xfId="11" applyNumberFormat="1" applyFont="1" applyFill="1" applyAlignment="1">
      <alignment horizontal="right" vertical="center"/>
    </xf>
    <xf numFmtId="170" fontId="49" fillId="15" borderId="0" xfId="11" applyNumberFormat="1" applyFont="1" applyFill="1" applyAlignment="1">
      <alignment horizontal="right" vertical="center"/>
    </xf>
    <xf numFmtId="170" fontId="50" fillId="15" borderId="0" xfId="11" applyNumberFormat="1" applyFont="1" applyFill="1" applyAlignment="1">
      <alignment horizontal="right" vertical="center"/>
    </xf>
    <xf numFmtId="170" fontId="46" fillId="15" borderId="0" xfId="11" applyNumberFormat="1" applyFont="1" applyFill="1" applyAlignment="1">
      <alignment horizontal="right" vertical="center"/>
    </xf>
    <xf numFmtId="170" fontId="46" fillId="0" borderId="0" xfId="11" applyNumberFormat="1" applyFont="1" applyAlignment="1">
      <alignment horizontal="right" vertical="center"/>
    </xf>
    <xf numFmtId="170" fontId="51" fillId="0" borderId="0" xfId="11" applyNumberFormat="1" applyFont="1" applyAlignment="1">
      <alignment horizontal="left" vertical="center"/>
    </xf>
    <xf numFmtId="170" fontId="52" fillId="0" borderId="0" xfId="11" applyNumberFormat="1" applyFont="1" applyAlignment="1">
      <alignment horizontal="left" vertical="center"/>
    </xf>
    <xf numFmtId="0" fontId="51" fillId="15" borderId="0" xfId="11" applyFont="1" applyFill="1" applyAlignment="1">
      <alignment horizontal="left" vertical="center"/>
    </xf>
    <xf numFmtId="0" fontId="52" fillId="15" borderId="0" xfId="11" applyFont="1" applyFill="1" applyAlignment="1">
      <alignment vertical="center" wrapText="1"/>
    </xf>
    <xf numFmtId="0" fontId="52" fillId="15" borderId="0" xfId="11" applyFont="1" applyFill="1" applyAlignment="1">
      <alignment horizontal="left" vertical="center" wrapText="1"/>
    </xf>
    <xf numFmtId="170" fontId="52" fillId="15" borderId="0" xfId="11" applyNumberFormat="1" applyFont="1" applyFill="1" applyAlignment="1">
      <alignment horizontal="right" vertical="center" wrapText="1"/>
    </xf>
    <xf numFmtId="170" fontId="52" fillId="0" borderId="0" xfId="11" applyNumberFormat="1" applyFont="1" applyAlignment="1">
      <alignment horizontal="right" vertical="center" wrapText="1"/>
    </xf>
    <xf numFmtId="170" fontId="51" fillId="0" borderId="0" xfId="12" applyNumberFormat="1" applyFont="1" applyFill="1" applyBorder="1" applyAlignment="1">
      <alignment horizontal="center" vertical="center" wrapText="1"/>
    </xf>
    <xf numFmtId="170" fontId="51" fillId="0" borderId="1" xfId="12" applyNumberFormat="1" applyFont="1" applyFill="1" applyBorder="1" applyAlignment="1">
      <alignment horizontal="center" vertical="center" wrapText="1"/>
    </xf>
    <xf numFmtId="170" fontId="51" fillId="0" borderId="1" xfId="11" applyNumberFormat="1" applyFont="1" applyBorder="1" applyAlignment="1">
      <alignment horizontal="center" vertical="center" wrapText="1"/>
    </xf>
    <xf numFmtId="1" fontId="51" fillId="22" borderId="1" xfId="11" applyNumberFormat="1" applyFont="1" applyFill="1" applyBorder="1" applyAlignment="1">
      <alignment horizontal="left" vertical="center" wrapText="1"/>
    </xf>
    <xf numFmtId="1" fontId="51" fillId="22" borderId="1" xfId="11" applyNumberFormat="1" applyFont="1" applyFill="1" applyBorder="1" applyAlignment="1">
      <alignment vertical="center" wrapText="1"/>
    </xf>
    <xf numFmtId="0" fontId="51" fillId="22" borderId="1" xfId="11" applyFont="1" applyFill="1" applyBorder="1" applyAlignment="1">
      <alignment vertical="center" wrapText="1"/>
    </xf>
    <xf numFmtId="170" fontId="52" fillId="22" borderId="1" xfId="11" applyNumberFormat="1" applyFont="1" applyFill="1" applyBorder="1" applyAlignment="1">
      <alignment horizontal="right" vertical="center" wrapText="1"/>
    </xf>
    <xf numFmtId="170" fontId="51" fillId="22" borderId="1" xfId="11" applyNumberFormat="1" applyFont="1" applyFill="1" applyBorder="1" applyAlignment="1">
      <alignment horizontal="right" vertical="center" wrapText="1"/>
    </xf>
    <xf numFmtId="170" fontId="51" fillId="0" borderId="0" xfId="11" applyNumberFormat="1" applyFont="1" applyAlignment="1">
      <alignment horizontal="right" vertical="center" wrapText="1"/>
    </xf>
    <xf numFmtId="170" fontId="52" fillId="0" borderId="0" xfId="12" applyNumberFormat="1" applyFont="1" applyFill="1" applyBorder="1" applyAlignment="1">
      <alignment horizontal="right" vertical="center" wrapText="1"/>
    </xf>
    <xf numFmtId="0" fontId="52" fillId="27" borderId="1" xfId="11" applyFont="1" applyFill="1" applyBorder="1" applyAlignment="1">
      <alignment horizontal="left" vertical="center" wrapText="1"/>
    </xf>
    <xf numFmtId="0" fontId="52" fillId="27" borderId="1" xfId="11" applyFont="1" applyFill="1" applyBorder="1" applyAlignment="1">
      <alignment vertical="center" wrapText="1"/>
    </xf>
    <xf numFmtId="0" fontId="52" fillId="27" borderId="1" xfId="11" applyFont="1" applyFill="1" applyBorder="1" applyAlignment="1">
      <alignment horizontal="center" vertical="center" wrapText="1"/>
    </xf>
    <xf numFmtId="170" fontId="52" fillId="27" borderId="1" xfId="12" applyNumberFormat="1" applyFont="1" applyFill="1" applyBorder="1" applyAlignment="1">
      <alignment horizontal="right" vertical="center" wrapText="1"/>
    </xf>
    <xf numFmtId="170" fontId="52" fillId="27" borderId="1" xfId="11" applyNumberFormat="1" applyFont="1" applyFill="1" applyBorder="1" applyAlignment="1">
      <alignment horizontal="center" vertical="center" wrapText="1"/>
    </xf>
    <xf numFmtId="170" fontId="51" fillId="27" borderId="1" xfId="12" applyNumberFormat="1" applyFont="1" applyFill="1" applyBorder="1" applyAlignment="1">
      <alignment horizontal="right" vertical="center" wrapText="1"/>
    </xf>
    <xf numFmtId="170" fontId="51" fillId="0" borderId="0" xfId="12" applyNumberFormat="1" applyFont="1" applyFill="1" applyBorder="1" applyAlignment="1">
      <alignment horizontal="right" vertical="center" wrapText="1"/>
    </xf>
    <xf numFmtId="0" fontId="52" fillId="15" borderId="1" xfId="11" applyFont="1" applyFill="1" applyBorder="1" applyAlignment="1">
      <alignment horizontal="left" vertical="center" wrapText="1"/>
    </xf>
    <xf numFmtId="0" fontId="52" fillId="15" borderId="1" xfId="11" applyFont="1" applyFill="1" applyBorder="1" applyAlignment="1">
      <alignment horizontal="right" vertical="center" wrapText="1"/>
    </xf>
    <xf numFmtId="0" fontId="52" fillId="15" borderId="1" xfId="11" applyFont="1" applyFill="1" applyBorder="1" applyAlignment="1">
      <alignment horizontal="center" vertical="center" wrapText="1"/>
    </xf>
    <xf numFmtId="170" fontId="52" fillId="15" borderId="1" xfId="12" applyNumberFormat="1" applyFont="1" applyFill="1" applyBorder="1" applyAlignment="1">
      <alignment horizontal="right" vertical="center" wrapText="1"/>
    </xf>
    <xf numFmtId="170" fontId="52" fillId="0" borderId="1" xfId="12" applyNumberFormat="1" applyFont="1" applyBorder="1" applyAlignment="1">
      <alignment horizontal="right" vertical="center" wrapText="1"/>
    </xf>
    <xf numFmtId="171" fontId="52" fillId="15" borderId="1" xfId="12" applyNumberFormat="1" applyFont="1" applyFill="1" applyBorder="1" applyAlignment="1">
      <alignment horizontal="right" vertical="center" wrapText="1"/>
    </xf>
    <xf numFmtId="1" fontId="51" fillId="28" borderId="1" xfId="11" applyNumberFormat="1" applyFont="1" applyFill="1" applyBorder="1" applyAlignment="1">
      <alignment horizontal="left" vertical="center" wrapText="1"/>
    </xf>
    <xf numFmtId="1" fontId="51" fillId="28" borderId="1" xfId="11" applyNumberFormat="1" applyFont="1" applyFill="1" applyBorder="1" applyAlignment="1">
      <alignment vertical="center" wrapText="1"/>
    </xf>
    <xf numFmtId="0" fontId="51" fillId="28" borderId="1" xfId="11" applyFont="1" applyFill="1" applyBorder="1" applyAlignment="1">
      <alignment vertical="center" wrapText="1"/>
    </xf>
    <xf numFmtId="170" fontId="52" fillId="28" borderId="1" xfId="11" applyNumberFormat="1" applyFont="1" applyFill="1" applyBorder="1" applyAlignment="1">
      <alignment horizontal="right" vertical="center" wrapText="1"/>
    </xf>
    <xf numFmtId="170" fontId="51" fillId="28" borderId="1" xfId="11" applyNumberFormat="1" applyFont="1" applyFill="1" applyBorder="1" applyAlignment="1">
      <alignment horizontal="right" vertical="center" wrapText="1"/>
    </xf>
    <xf numFmtId="43" fontId="7" fillId="0" borderId="1" xfId="1" applyFont="1" applyBorder="1" applyAlignment="1" applyProtection="1">
      <alignment vertical="center"/>
      <protection locked="0"/>
    </xf>
    <xf numFmtId="43" fontId="7" fillId="0" borderId="1" xfId="1" applyFont="1" applyFill="1" applyBorder="1" applyAlignment="1" applyProtection="1">
      <alignment vertical="center"/>
      <protection locked="0"/>
    </xf>
    <xf numFmtId="43" fontId="26" fillId="0" borderId="1" xfId="1" applyFont="1" applyBorder="1" applyAlignment="1" applyProtection="1">
      <alignment vertical="center"/>
      <protection locked="0"/>
    </xf>
    <xf numFmtId="43" fontId="26" fillId="0" borderId="1" xfId="8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4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43" fontId="19" fillId="0" borderId="1" xfId="8" applyFont="1" applyBorder="1" applyAlignment="1" applyProtection="1">
      <protection locked="0"/>
    </xf>
    <xf numFmtId="43" fontId="19" fillId="11" borderId="1" xfId="8" applyFont="1" applyFill="1" applyBorder="1" applyAlignment="1" applyProtection="1">
      <protection locked="0"/>
    </xf>
    <xf numFmtId="44" fontId="19" fillId="0" borderId="0" xfId="0" applyNumberFormat="1" applyFont="1"/>
    <xf numFmtId="0" fontId="11" fillId="0" borderId="29" xfId="4" applyFont="1" applyBorder="1" applyAlignment="1" applyProtection="1">
      <alignment horizontal="center" vertical="center" wrapText="1"/>
      <protection locked="0"/>
    </xf>
    <xf numFmtId="43" fontId="7" fillId="0" borderId="0" xfId="8" applyFont="1" applyBorder="1" applyAlignment="1" applyProtection="1">
      <alignment vertical="center"/>
      <protection locked="0"/>
    </xf>
    <xf numFmtId="0" fontId="7" fillId="2" borderId="40" xfId="0" applyFont="1" applyFill="1" applyBorder="1" applyAlignment="1" applyProtection="1">
      <alignment vertical="center"/>
      <protection locked="0"/>
    </xf>
    <xf numFmtId="0" fontId="38" fillId="18" borderId="1" xfId="0" applyFont="1" applyFill="1" applyBorder="1" applyAlignment="1" applyProtection="1">
      <alignment horizontal="center" vertical="center"/>
      <protection locked="0"/>
    </xf>
    <xf numFmtId="167" fontId="7" fillId="0" borderId="1" xfId="8" applyNumberFormat="1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43" fontId="26" fillId="0" borderId="0" xfId="8" applyFont="1" applyBorder="1" applyAlignment="1" applyProtection="1">
      <alignment vertical="center"/>
      <protection locked="0"/>
    </xf>
    <xf numFmtId="0" fontId="26" fillId="2" borderId="40" xfId="0" applyFont="1" applyFill="1" applyBorder="1" applyAlignment="1" applyProtection="1">
      <alignment vertical="center"/>
      <protection locked="0"/>
    </xf>
    <xf numFmtId="0" fontId="27" fillId="18" borderId="1" xfId="0" applyFont="1" applyFill="1" applyBorder="1" applyAlignment="1" applyProtection="1">
      <alignment horizontal="center" vertical="center"/>
      <protection locked="0"/>
    </xf>
    <xf numFmtId="0" fontId="26" fillId="2" borderId="40" xfId="7" applyFont="1" applyFill="1" applyBorder="1" applyAlignment="1" applyProtection="1">
      <alignment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24" fillId="0" borderId="1" xfId="0" applyFont="1" applyBorder="1"/>
    <xf numFmtId="43" fontId="26" fillId="0" borderId="1" xfId="1" applyFont="1" applyFill="1" applyBorder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8" fillId="22" borderId="32" xfId="0" applyFont="1" applyFill="1" applyBorder="1" applyAlignment="1">
      <alignment horizontal="center" vertical="center"/>
    </xf>
    <xf numFmtId="44" fontId="38" fillId="22" borderId="32" xfId="10" applyFont="1" applyFill="1" applyBorder="1" applyAlignment="1" applyProtection="1">
      <alignment horizontal="center" vertical="center"/>
    </xf>
    <xf numFmtId="0" fontId="38" fillId="22" borderId="32" xfId="0" applyFont="1" applyFill="1" applyBorder="1" applyAlignment="1">
      <alignment horizontal="center" vertical="center" wrapText="1"/>
    </xf>
    <xf numFmtId="166" fontId="7" fillId="0" borderId="0" xfId="8" applyNumberFormat="1" applyFont="1" applyBorder="1" applyAlignment="1" applyProtection="1">
      <alignment vertical="center"/>
      <protection locked="0"/>
    </xf>
    <xf numFmtId="0" fontId="38" fillId="22" borderId="32" xfId="0" applyFont="1" applyFill="1" applyBorder="1" applyAlignment="1" applyProtection="1">
      <alignment horizontal="center" vertical="center"/>
      <protection locked="0"/>
    </xf>
    <xf numFmtId="44" fontId="38" fillId="22" borderId="32" xfId="10" applyFont="1" applyFill="1" applyBorder="1" applyAlignment="1" applyProtection="1">
      <alignment horizontal="center" vertical="center"/>
      <protection locked="0"/>
    </xf>
    <xf numFmtId="0" fontId="38" fillId="2" borderId="2" xfId="0" applyFont="1" applyFill="1" applyBorder="1" applyAlignment="1" applyProtection="1">
      <alignment horizontal="center" vertical="center" wrapText="1"/>
      <protection locked="0"/>
    </xf>
    <xf numFmtId="0" fontId="38" fillId="2" borderId="40" xfId="0" applyFont="1" applyFill="1" applyBorder="1" applyAlignment="1" applyProtection="1">
      <alignment vertical="center"/>
      <protection locked="0"/>
    </xf>
    <xf numFmtId="0" fontId="7" fillId="2" borderId="40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40" xfId="0" applyFont="1" applyFill="1" applyBorder="1" applyAlignment="1">
      <alignment vertical="center" wrapText="1"/>
    </xf>
    <xf numFmtId="166" fontId="7" fillId="2" borderId="40" xfId="0" applyNumberFormat="1" applyFont="1" applyFill="1" applyBorder="1" applyAlignment="1" applyProtection="1">
      <alignment vertical="center"/>
      <protection locked="0"/>
    </xf>
    <xf numFmtId="44" fontId="38" fillId="22" borderId="32" xfId="2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vertical="center"/>
      <protection locked="0"/>
    </xf>
    <xf numFmtId="168" fontId="7" fillId="0" borderId="1" xfId="0" applyNumberFormat="1" applyFont="1" applyBorder="1" applyAlignment="1">
      <alignment vertical="center"/>
    </xf>
    <xf numFmtId="44" fontId="19" fillId="0" borderId="1" xfId="0" applyNumberFormat="1" applyFont="1" applyBorder="1" applyAlignment="1">
      <alignment horizontal="center" vertical="center" wrapText="1"/>
    </xf>
    <xf numFmtId="0" fontId="38" fillId="18" borderId="1" xfId="7" applyFont="1" applyFill="1" applyBorder="1" applyAlignment="1" applyProtection="1">
      <alignment horizontal="center" vertical="center"/>
      <protection locked="0"/>
    </xf>
    <xf numFmtId="0" fontId="7" fillId="2" borderId="40" xfId="7" applyFont="1" applyFill="1" applyBorder="1" applyAlignment="1" applyProtection="1">
      <alignment vertical="center"/>
      <protection locked="0"/>
    </xf>
    <xf numFmtId="0" fontId="7" fillId="20" borderId="0" xfId="2" applyNumberFormat="1" applyFont="1" applyFill="1" applyBorder="1" applyAlignment="1" applyProtection="1">
      <alignment horizontal="right" vertical="center"/>
      <protection locked="0"/>
    </xf>
    <xf numFmtId="0" fontId="45" fillId="0" borderId="0" xfId="11" applyFont="1" applyAlignment="1">
      <alignment vertical="center" wrapText="1"/>
    </xf>
    <xf numFmtId="0" fontId="53" fillId="15" borderId="1" xfId="11" applyFont="1" applyFill="1" applyBorder="1" applyAlignment="1">
      <alignment horizontal="left" vertical="center" wrapText="1"/>
    </xf>
    <xf numFmtId="0" fontId="53" fillId="15" borderId="1" xfId="11" applyFont="1" applyFill="1" applyBorder="1" applyAlignment="1">
      <alignment horizontal="right" vertical="center" wrapText="1"/>
    </xf>
    <xf numFmtId="0" fontId="53" fillId="15" borderId="1" xfId="11" applyFont="1" applyFill="1" applyBorder="1" applyAlignment="1">
      <alignment horizontal="center" vertical="center" wrapText="1"/>
    </xf>
    <xf numFmtId="170" fontId="53" fillId="15" borderId="1" xfId="12" applyNumberFormat="1" applyFont="1" applyFill="1" applyBorder="1" applyAlignment="1">
      <alignment horizontal="right" vertical="center" wrapText="1"/>
    </xf>
    <xf numFmtId="170" fontId="53" fillId="0" borderId="1" xfId="12" applyNumberFormat="1" applyFont="1" applyBorder="1" applyAlignment="1">
      <alignment horizontal="right" vertical="center" wrapText="1"/>
    </xf>
    <xf numFmtId="170" fontId="53" fillId="0" borderId="0" xfId="12" applyNumberFormat="1" applyFont="1" applyFill="1" applyBorder="1" applyAlignment="1">
      <alignment horizontal="right" vertical="center" wrapText="1"/>
    </xf>
    <xf numFmtId="44" fontId="24" fillId="11" borderId="0" xfId="2" applyFont="1" applyFill="1" applyBorder="1" applyAlignment="1" applyProtection="1">
      <protection locked="0"/>
    </xf>
    <xf numFmtId="0" fontId="5" fillId="17" borderId="1" xfId="0" applyFont="1" applyFill="1" applyBorder="1" applyAlignment="1" applyProtection="1">
      <alignment horizontal="center" vertical="center"/>
      <protection locked="0"/>
    </xf>
    <xf numFmtId="44" fontId="19" fillId="11" borderId="1" xfId="2" applyFont="1" applyFill="1" applyBorder="1" applyAlignment="1" applyProtection="1">
      <protection locked="0"/>
    </xf>
    <xf numFmtId="0" fontId="40" fillId="0" borderId="36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7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vertical="center" wrapText="1"/>
      <protection locked="0"/>
    </xf>
    <xf numFmtId="0" fontId="8" fillId="2" borderId="17" xfId="0" applyFont="1" applyFill="1" applyBorder="1" applyAlignment="1" applyProtection="1">
      <alignment vertical="center" wrapText="1"/>
      <protection locked="0"/>
    </xf>
    <xf numFmtId="49" fontId="0" fillId="0" borderId="0" xfId="0" applyNumberFormat="1" applyAlignment="1">
      <alignment horizontal="center"/>
    </xf>
    <xf numFmtId="44" fontId="54" fillId="0" borderId="0" xfId="2" applyFont="1" applyBorder="1" applyAlignment="1" applyProtection="1">
      <alignment horizontal="center" vertical="center"/>
      <protection locked="0"/>
    </xf>
    <xf numFmtId="44" fontId="27" fillId="2" borderId="0" xfId="2" applyFont="1" applyFill="1" applyBorder="1" applyAlignment="1" applyProtection="1">
      <alignment horizontal="center" vertical="center" wrapText="1"/>
      <protection locked="0"/>
    </xf>
    <xf numFmtId="44" fontId="25" fillId="17" borderId="0" xfId="2" applyFont="1" applyFill="1" applyBorder="1" applyAlignment="1" applyProtection="1">
      <alignment horizontal="center" vertical="center"/>
      <protection locked="0"/>
    </xf>
    <xf numFmtId="44" fontId="24" fillId="0" borderId="0" xfId="2" applyFont="1"/>
    <xf numFmtId="44" fontId="26" fillId="20" borderId="36" xfId="2" applyFont="1" applyFill="1" applyBorder="1" applyAlignment="1" applyProtection="1">
      <alignment vertical="center"/>
      <protection locked="0"/>
    </xf>
    <xf numFmtId="44" fontId="26" fillId="20" borderId="72" xfId="2" applyFont="1" applyFill="1" applyBorder="1" applyAlignment="1" applyProtection="1">
      <alignment vertical="center"/>
      <protection locked="0"/>
    </xf>
    <xf numFmtId="0" fontId="0" fillId="0" borderId="1" xfId="0" applyBorder="1" applyAlignment="1">
      <alignment horizontal="center"/>
    </xf>
    <xf numFmtId="43" fontId="4" fillId="18" borderId="1" xfId="1" applyFont="1" applyFill="1" applyBorder="1" applyAlignment="1" applyProtection="1">
      <alignment horizontal="center" vertical="center"/>
      <protection locked="0"/>
    </xf>
    <xf numFmtId="43" fontId="27" fillId="0" borderId="0" xfId="1" applyFont="1" applyFill="1" applyBorder="1" applyAlignment="1" applyProtection="1">
      <alignment horizontal="center" vertical="center"/>
    </xf>
    <xf numFmtId="43" fontId="26" fillId="0" borderId="0" xfId="1" applyFont="1" applyAlignment="1" applyProtection="1">
      <alignment vertical="center"/>
      <protection locked="0"/>
    </xf>
    <xf numFmtId="43" fontId="2" fillId="0" borderId="0" xfId="1" applyFont="1" applyAlignment="1" applyProtection="1">
      <alignment vertical="center"/>
      <protection locked="0"/>
    </xf>
    <xf numFmtId="43" fontId="27" fillId="18" borderId="1" xfId="1" applyFont="1" applyFill="1" applyBorder="1" applyAlignment="1" applyProtection="1">
      <alignment horizontal="center" vertical="center"/>
      <protection locked="0"/>
    </xf>
    <xf numFmtId="43" fontId="2" fillId="0" borderId="1" xfId="1" applyFont="1" applyBorder="1" applyAlignment="1" applyProtection="1">
      <alignment vertical="center"/>
      <protection locked="0"/>
    </xf>
    <xf numFmtId="43" fontId="2" fillId="0" borderId="0" xfId="1" applyFont="1" applyBorder="1" applyAlignment="1" applyProtection="1">
      <alignment vertical="center"/>
      <protection locked="0"/>
    </xf>
    <xf numFmtId="43" fontId="0" fillId="0" borderId="0" xfId="1" applyFont="1"/>
    <xf numFmtId="172" fontId="2" fillId="0" borderId="1" xfId="8" applyNumberFormat="1" applyFont="1" applyBorder="1" applyAlignment="1" applyProtection="1">
      <alignment vertical="center"/>
      <protection locked="0"/>
    </xf>
    <xf numFmtId="0" fontId="7" fillId="0" borderId="1" xfId="7" applyFont="1" applyBorder="1" applyAlignment="1" applyProtection="1">
      <alignment vertical="center" wrapText="1"/>
      <protection locked="0"/>
    </xf>
    <xf numFmtId="49" fontId="10" fillId="21" borderId="40" xfId="0" applyNumberFormat="1" applyFont="1" applyFill="1" applyBorder="1" applyAlignment="1" applyProtection="1">
      <alignment horizontal="center" vertical="center"/>
      <protection locked="0"/>
    </xf>
    <xf numFmtId="0" fontId="2" fillId="2" borderId="40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/>
    </xf>
    <xf numFmtId="165" fontId="55" fillId="0" borderId="1" xfId="13" applyNumberFormat="1" applyFont="1" applyBorder="1" applyAlignment="1">
      <alignment horizontal="center" vertical="center" wrapText="1"/>
    </xf>
    <xf numFmtId="0" fontId="12" fillId="0" borderId="29" xfId="4" applyFont="1" applyBorder="1" applyAlignment="1" applyProtection="1">
      <alignment horizontal="left" vertical="center" wrapText="1"/>
      <protection locked="0"/>
    </xf>
    <xf numFmtId="0" fontId="12" fillId="0" borderId="29" xfId="4" applyFont="1" applyBorder="1" applyAlignment="1" applyProtection="1">
      <alignment horizontal="center" vertical="center" wrapText="1"/>
      <protection locked="0"/>
    </xf>
    <xf numFmtId="44" fontId="12" fillId="0" borderId="1" xfId="2" applyFont="1" applyBorder="1" applyAlignment="1" applyProtection="1">
      <alignment horizontal="center" vertical="center" wrapText="1"/>
      <protection hidden="1"/>
    </xf>
    <xf numFmtId="0" fontId="5" fillId="29" borderId="1" xfId="4" applyFont="1" applyFill="1" applyBorder="1" applyAlignment="1" applyProtection="1">
      <alignment horizontal="center" vertical="center" wrapText="1"/>
      <protection locked="0"/>
    </xf>
    <xf numFmtId="0" fontId="13" fillId="29" borderId="1" xfId="4" applyFont="1" applyFill="1" applyBorder="1" applyAlignment="1" applyProtection="1">
      <alignment horizontal="left" vertical="center" wrapText="1"/>
      <protection locked="0"/>
    </xf>
    <xf numFmtId="44" fontId="13" fillId="29" borderId="1" xfId="2" applyFont="1" applyFill="1" applyBorder="1" applyAlignment="1" applyProtection="1">
      <alignment horizontal="center" vertical="center" wrapText="1"/>
      <protection locked="0"/>
    </xf>
    <xf numFmtId="44" fontId="5" fillId="29" borderId="1" xfId="2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49" fontId="38" fillId="30" borderId="76" xfId="15" applyNumberFormat="1" applyFont="1" applyFill="1" applyBorder="1" applyAlignment="1" applyProtection="1">
      <alignment horizontal="center" vertical="center" wrapText="1"/>
      <protection locked="0"/>
    </xf>
    <xf numFmtId="0" fontId="38" fillId="30" borderId="76" xfId="15" applyFont="1" applyFill="1" applyBorder="1" applyAlignment="1">
      <alignment horizontal="center" vertical="center"/>
    </xf>
    <xf numFmtId="4" fontId="38" fillId="30" borderId="76" xfId="15" applyNumberFormat="1" applyFont="1" applyFill="1" applyBorder="1" applyAlignment="1">
      <alignment horizontal="center" vertical="center"/>
    </xf>
    <xf numFmtId="49" fontId="38" fillId="31" borderId="77" xfId="0" applyNumberFormat="1" applyFont="1" applyFill="1" applyBorder="1" applyAlignment="1" applyProtection="1">
      <alignment horizontal="center" wrapText="1"/>
      <protection locked="0"/>
    </xf>
    <xf numFmtId="49" fontId="38" fillId="31" borderId="77" xfId="0" applyNumberFormat="1" applyFont="1" applyFill="1" applyBorder="1" applyAlignment="1" applyProtection="1">
      <alignment wrapText="1"/>
      <protection locked="0"/>
    </xf>
    <xf numFmtId="0" fontId="38" fillId="32" borderId="77" xfId="0" applyFont="1" applyFill="1" applyBorder="1"/>
    <xf numFmtId="4" fontId="38" fillId="32" borderId="77" xfId="0" applyNumberFormat="1" applyFont="1" applyFill="1" applyBorder="1" applyAlignment="1">
      <alignment horizontal="center"/>
    </xf>
    <xf numFmtId="4" fontId="38" fillId="32" borderId="78" xfId="0" applyNumberFormat="1" applyFont="1" applyFill="1" applyBorder="1" applyAlignment="1">
      <alignment horizontal="center"/>
    </xf>
    <xf numFmtId="49" fontId="7" fillId="31" borderId="76" xfId="0" applyNumberFormat="1" applyFont="1" applyFill="1" applyBorder="1" applyAlignment="1" applyProtection="1">
      <alignment horizontal="center" wrapText="1"/>
      <protection locked="0"/>
    </xf>
    <xf numFmtId="0" fontId="7" fillId="0" borderId="76" xfId="0" applyFont="1" applyBorder="1" applyAlignment="1">
      <alignment horizontal="left" wrapText="1"/>
    </xf>
    <xf numFmtId="0" fontId="7" fillId="0" borderId="76" xfId="0" applyFont="1" applyBorder="1" applyAlignment="1">
      <alignment horizontal="center" wrapText="1"/>
    </xf>
    <xf numFmtId="0" fontId="7" fillId="31" borderId="76" xfId="0" applyFont="1" applyFill="1" applyBorder="1" applyAlignment="1" applyProtection="1">
      <alignment horizontal="center" wrapText="1"/>
      <protection locked="0"/>
    </xf>
    <xf numFmtId="4" fontId="7" fillId="0" borderId="76" xfId="0" applyNumberFormat="1" applyFont="1" applyBorder="1" applyAlignment="1">
      <alignment horizontal="center" wrapText="1"/>
    </xf>
    <xf numFmtId="0" fontId="7" fillId="31" borderId="79" xfId="0" applyFont="1" applyFill="1" applyBorder="1" applyAlignment="1" applyProtection="1">
      <alignment horizontal="center" wrapText="1"/>
      <protection locked="0"/>
    </xf>
    <xf numFmtId="0" fontId="7" fillId="31" borderId="80" xfId="0" applyFont="1" applyFill="1" applyBorder="1" applyAlignment="1" applyProtection="1">
      <alignment horizontal="center" wrapText="1"/>
      <protection locked="0"/>
    </xf>
    <xf numFmtId="0" fontId="14" fillId="23" borderId="1" xfId="4" applyFont="1" applyFill="1" applyBorder="1" applyAlignment="1" applyProtection="1">
      <alignment horizontal="center" vertical="center" wrapText="1"/>
      <protection locked="0"/>
    </xf>
    <xf numFmtId="0" fontId="14" fillId="23" borderId="1" xfId="4" applyFont="1" applyFill="1" applyBorder="1" applyAlignment="1" applyProtection="1">
      <alignment horizontal="left" vertical="center" wrapText="1"/>
      <protection locked="0"/>
    </xf>
    <xf numFmtId="44" fontId="14" fillId="23" borderId="1" xfId="2" applyFont="1" applyFill="1" applyBorder="1" applyAlignment="1" applyProtection="1">
      <alignment horizontal="center" vertical="center" wrapText="1"/>
      <protection locked="0"/>
    </xf>
    <xf numFmtId="0" fontId="11" fillId="0" borderId="29" xfId="4" applyFont="1" applyBorder="1" applyAlignment="1" applyProtection="1">
      <alignment horizontal="left" vertical="center" wrapText="1"/>
      <protection locked="0"/>
    </xf>
    <xf numFmtId="0" fontId="57" fillId="0" borderId="0" xfId="0" applyFont="1" applyAlignment="1" applyProtection="1">
      <alignment horizontal="center" vertical="center"/>
      <protection locked="0"/>
    </xf>
    <xf numFmtId="0" fontId="58" fillId="2" borderId="0" xfId="0" applyFont="1" applyFill="1" applyAlignment="1" applyProtection="1">
      <alignment vertical="center" wrapText="1"/>
      <protection locked="0"/>
    </xf>
    <xf numFmtId="0" fontId="59" fillId="17" borderId="0" xfId="0" applyFont="1" applyFill="1" applyAlignment="1" applyProtection="1">
      <alignment horizontal="center" vertical="center"/>
      <protection locked="0"/>
    </xf>
    <xf numFmtId="8" fontId="60" fillId="20" borderId="0" xfId="2" applyNumberFormat="1" applyFont="1" applyFill="1" applyBorder="1" applyAlignment="1" applyProtection="1">
      <alignment vertical="center"/>
      <protection locked="0"/>
    </xf>
    <xf numFmtId="44" fontId="60" fillId="20" borderId="0" xfId="2" applyFont="1" applyFill="1" applyBorder="1" applyAlignment="1" applyProtection="1">
      <alignment vertical="center"/>
      <protection locked="0"/>
    </xf>
    <xf numFmtId="8" fontId="61" fillId="11" borderId="0" xfId="2" applyNumberFormat="1" applyFont="1" applyFill="1" applyBorder="1" applyAlignment="1" applyProtection="1">
      <protection locked="0"/>
    </xf>
    <xf numFmtId="0" fontId="61" fillId="0" borderId="0" xfId="0" applyFont="1"/>
    <xf numFmtId="17" fontId="62" fillId="0" borderId="0" xfId="0" applyNumberFormat="1" applyFont="1" applyAlignment="1" applyProtection="1">
      <alignment horizontal="center" vertical="center"/>
      <protection locked="0"/>
    </xf>
    <xf numFmtId="44" fontId="24" fillId="0" borderId="0" xfId="2" applyFont="1" applyAlignment="1" applyProtection="1">
      <alignment vertical="center"/>
      <protection locked="0"/>
    </xf>
    <xf numFmtId="44" fontId="24" fillId="0" borderId="0" xfId="2" applyFont="1" applyProtection="1"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49" fontId="0" fillId="0" borderId="13" xfId="0" applyNumberForma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3" fillId="2" borderId="1" xfId="4" applyFont="1" applyFill="1" applyBorder="1" applyAlignment="1" applyProtection="1">
      <alignment horizontal="center" vertical="center"/>
      <protection locked="0"/>
    </xf>
    <xf numFmtId="0" fontId="10" fillId="0" borderId="1" xfId="4" applyFont="1" applyBorder="1" applyAlignment="1" applyProtection="1">
      <alignment horizontal="center" vertical="center" wrapText="1"/>
      <protection locked="0"/>
    </xf>
    <xf numFmtId="0" fontId="14" fillId="16" borderId="2" xfId="4" applyFont="1" applyFill="1" applyBorder="1" applyAlignment="1" applyProtection="1">
      <alignment horizontal="center" vertical="center"/>
      <protection locked="0"/>
    </xf>
    <xf numFmtId="0" fontId="14" fillId="16" borderId="40" xfId="4" applyFont="1" applyFill="1" applyBorder="1" applyAlignment="1" applyProtection="1">
      <alignment horizontal="center" vertical="center"/>
      <protection locked="0"/>
    </xf>
    <xf numFmtId="0" fontId="4" fillId="0" borderId="1" xfId="4" applyFont="1" applyBorder="1" applyAlignment="1" applyProtection="1">
      <alignment horizontal="center" vertical="center" wrapText="1"/>
      <protection locked="0"/>
    </xf>
    <xf numFmtId="0" fontId="51" fillId="15" borderId="2" xfId="11" applyFont="1" applyFill="1" applyBorder="1" applyAlignment="1">
      <alignment horizontal="left" vertical="center"/>
    </xf>
    <xf numFmtId="0" fontId="51" fillId="15" borderId="40" xfId="11" applyFont="1" applyFill="1" applyBorder="1" applyAlignment="1">
      <alignment horizontal="left" vertical="center"/>
    </xf>
    <xf numFmtId="0" fontId="51" fillId="15" borderId="3" xfId="11" applyFont="1" applyFill="1" applyBorder="1" applyAlignment="1">
      <alignment horizontal="left" vertical="center"/>
    </xf>
    <xf numFmtId="170" fontId="51" fillId="15" borderId="2" xfId="11" applyNumberFormat="1" applyFont="1" applyFill="1" applyBorder="1" applyAlignment="1">
      <alignment horizontal="left" vertical="center"/>
    </xf>
    <xf numFmtId="170" fontId="51" fillId="15" borderId="40" xfId="11" applyNumberFormat="1" applyFont="1" applyFill="1" applyBorder="1" applyAlignment="1">
      <alignment horizontal="left" vertical="center"/>
    </xf>
    <xf numFmtId="170" fontId="51" fillId="15" borderId="3" xfId="11" applyNumberFormat="1" applyFont="1" applyFill="1" applyBorder="1" applyAlignment="1">
      <alignment horizontal="left" vertical="center"/>
    </xf>
    <xf numFmtId="0" fontId="52" fillId="15" borderId="26" xfId="11" applyFont="1" applyFill="1" applyBorder="1" applyAlignment="1">
      <alignment horizontal="left" vertical="center" wrapText="1"/>
    </xf>
    <xf numFmtId="0" fontId="52" fillId="15" borderId="54" xfId="11" applyFont="1" applyFill="1" applyBorder="1" applyAlignment="1">
      <alignment horizontal="left" vertical="center" wrapText="1"/>
    </xf>
    <xf numFmtId="0" fontId="52" fillId="15" borderId="55" xfId="11" applyFont="1" applyFill="1" applyBorder="1" applyAlignment="1">
      <alignment horizontal="left" vertical="center" wrapText="1"/>
    </xf>
    <xf numFmtId="170" fontId="52" fillId="15" borderId="26" xfId="11" applyNumberFormat="1" applyFont="1" applyFill="1" applyBorder="1" applyAlignment="1">
      <alignment horizontal="left" vertical="center"/>
    </xf>
    <xf numFmtId="170" fontId="52" fillId="15" borderId="54" xfId="11" applyNumberFormat="1" applyFont="1" applyFill="1" applyBorder="1" applyAlignment="1">
      <alignment horizontal="left" vertical="center"/>
    </xf>
    <xf numFmtId="170" fontId="52" fillId="15" borderId="55" xfId="11" applyNumberFormat="1" applyFont="1" applyFill="1" applyBorder="1" applyAlignment="1">
      <alignment horizontal="left" vertical="center"/>
    </xf>
    <xf numFmtId="49" fontId="51" fillId="0" borderId="1" xfId="11" applyNumberFormat="1" applyFont="1" applyBorder="1" applyAlignment="1">
      <alignment horizontal="center" vertical="center" wrapText="1"/>
    </xf>
    <xf numFmtId="170" fontId="51" fillId="0" borderId="2" xfId="12" applyNumberFormat="1" applyFont="1" applyFill="1" applyBorder="1" applyAlignment="1">
      <alignment horizontal="center" vertical="center" wrapText="1"/>
    </xf>
    <xf numFmtId="170" fontId="51" fillId="0" borderId="40" xfId="12" applyNumberFormat="1" applyFont="1" applyFill="1" applyBorder="1" applyAlignment="1">
      <alignment horizontal="center" vertical="center" wrapText="1"/>
    </xf>
    <xf numFmtId="170" fontId="51" fillId="0" borderId="3" xfId="12" applyNumberFormat="1" applyFont="1" applyFill="1" applyBorder="1" applyAlignment="1">
      <alignment horizontal="center" vertical="center" wrapText="1"/>
    </xf>
    <xf numFmtId="0" fontId="14" fillId="16" borderId="22" xfId="4" applyFont="1" applyFill="1" applyBorder="1" applyAlignment="1" applyProtection="1">
      <alignment horizontal="center" vertical="center"/>
      <protection locked="0"/>
    </xf>
    <xf numFmtId="0" fontId="14" fillId="16" borderId="39" xfId="4" applyFont="1" applyFill="1" applyBorder="1" applyAlignment="1" applyProtection="1">
      <alignment horizontal="center" vertical="center"/>
      <protection locked="0"/>
    </xf>
    <xf numFmtId="0" fontId="8" fillId="7" borderId="8" xfId="0" applyFont="1" applyFill="1" applyBorder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vertical="center"/>
      <protection locked="0"/>
    </xf>
    <xf numFmtId="0" fontId="8" fillId="8" borderId="7" xfId="0" applyFont="1" applyFill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vertical="center"/>
      <protection locked="0"/>
    </xf>
    <xf numFmtId="0" fontId="8" fillId="4" borderId="8" xfId="0" applyFont="1" applyFill="1" applyBorder="1" applyAlignment="1" applyProtection="1">
      <alignment horizontal="left" vertical="center" wrapText="1"/>
      <protection locked="0"/>
    </xf>
    <xf numFmtId="0" fontId="8" fillId="4" borderId="9" xfId="0" applyFont="1" applyFill="1" applyBorder="1" applyAlignment="1" applyProtection="1">
      <alignment horizontal="left" vertical="center" wrapText="1"/>
      <protection locked="0"/>
    </xf>
    <xf numFmtId="0" fontId="8" fillId="4" borderId="10" xfId="0" applyFont="1" applyFill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center" vertical="center" textRotation="90"/>
      <protection locked="0"/>
    </xf>
    <xf numFmtId="0" fontId="4" fillId="0" borderId="12" xfId="0" applyFont="1" applyBorder="1" applyAlignment="1" applyProtection="1">
      <alignment horizontal="center" vertical="center" textRotation="90"/>
      <protection locked="0"/>
    </xf>
    <xf numFmtId="0" fontId="4" fillId="0" borderId="15" xfId="0" applyFont="1" applyBorder="1" applyAlignment="1" applyProtection="1">
      <alignment horizontal="center" vertical="center" textRotation="90"/>
      <protection locked="0"/>
    </xf>
    <xf numFmtId="0" fontId="4" fillId="0" borderId="16" xfId="0" applyFont="1" applyBorder="1" applyAlignment="1" applyProtection="1">
      <alignment horizontal="center" vertical="center" textRotation="90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vertical="center"/>
      <protection locked="0"/>
    </xf>
    <xf numFmtId="0" fontId="7" fillId="0" borderId="20" xfId="0" applyFont="1" applyBorder="1" applyAlignment="1" applyProtection="1">
      <alignment vertical="center"/>
      <protection locked="0"/>
    </xf>
    <xf numFmtId="0" fontId="7" fillId="0" borderId="16" xfId="0" applyFont="1" applyBorder="1" applyAlignment="1" applyProtection="1">
      <alignment vertical="center"/>
      <protection locked="0"/>
    </xf>
    <xf numFmtId="0" fontId="7" fillId="0" borderId="30" xfId="0" applyFont="1" applyBorder="1" applyAlignment="1" applyProtection="1">
      <alignment vertical="center"/>
      <protection locked="0"/>
    </xf>
    <xf numFmtId="0" fontId="7" fillId="0" borderId="35" xfId="0" applyFont="1" applyBorder="1" applyAlignment="1" applyProtection="1">
      <alignment vertical="center"/>
      <protection locked="0"/>
    </xf>
    <xf numFmtId="0" fontId="8" fillId="0" borderId="8" xfId="0" applyFont="1" applyBorder="1" applyAlignment="1" applyProtection="1">
      <alignment horizontal="left" vertical="center"/>
      <protection locked="0"/>
    </xf>
    <xf numFmtId="0" fontId="4" fillId="0" borderId="22" xfId="0" applyFont="1" applyBorder="1" applyAlignment="1" applyProtection="1">
      <alignment horizontal="center" vertical="center" textRotation="90" wrapText="1"/>
      <protection locked="0"/>
    </xf>
    <xf numFmtId="0" fontId="4" fillId="0" borderId="15" xfId="0" applyFont="1" applyBorder="1" applyAlignment="1" applyProtection="1">
      <alignment horizontal="center" vertical="center" textRotation="90" wrapText="1"/>
      <protection locked="0"/>
    </xf>
    <xf numFmtId="0" fontId="8" fillId="0" borderId="22" xfId="0" applyFont="1" applyBorder="1" applyAlignment="1" applyProtection="1">
      <alignment horizontal="center" vertical="center" textRotation="90"/>
      <protection locked="0"/>
    </xf>
    <xf numFmtId="0" fontId="8" fillId="0" borderId="33" xfId="0" applyFont="1" applyBorder="1" applyAlignment="1" applyProtection="1">
      <alignment horizontal="center" vertical="center" textRotation="90"/>
      <protection locked="0"/>
    </xf>
    <xf numFmtId="0" fontId="8" fillId="0" borderId="15" xfId="0" applyFont="1" applyBorder="1" applyAlignment="1" applyProtection="1">
      <alignment horizontal="center" vertical="center" textRotation="90"/>
      <protection locked="0"/>
    </xf>
    <xf numFmtId="0" fontId="8" fillId="0" borderId="16" xfId="0" applyFont="1" applyBorder="1" applyAlignment="1" applyProtection="1">
      <alignment horizontal="center" vertical="center" textRotation="90"/>
      <protection locked="0"/>
    </xf>
    <xf numFmtId="0" fontId="8" fillId="0" borderId="34" xfId="0" applyFont="1" applyBorder="1" applyAlignment="1" applyProtection="1">
      <alignment horizontal="center" vertical="center" textRotation="90"/>
      <protection locked="0"/>
    </xf>
    <xf numFmtId="0" fontId="8" fillId="0" borderId="35" xfId="0" applyFont="1" applyBorder="1" applyAlignment="1" applyProtection="1">
      <alignment horizontal="center" vertical="center" textRotation="90"/>
      <protection locked="0"/>
    </xf>
    <xf numFmtId="0" fontId="56" fillId="15" borderId="73" xfId="14" applyFont="1" applyFill="1" applyBorder="1" applyAlignment="1">
      <alignment horizontal="center" vertical="center"/>
    </xf>
    <xf numFmtId="0" fontId="56" fillId="15" borderId="74" xfId="14" applyFont="1" applyFill="1" applyBorder="1" applyAlignment="1">
      <alignment horizontal="center" vertical="center"/>
    </xf>
    <xf numFmtId="0" fontId="56" fillId="15" borderId="75" xfId="14" applyFont="1" applyFill="1" applyBorder="1" applyAlignment="1">
      <alignment horizontal="center" vertical="center"/>
    </xf>
    <xf numFmtId="0" fontId="4" fillId="0" borderId="26" xfId="0" applyFont="1" applyBorder="1" applyAlignment="1" applyProtection="1">
      <alignment horizontal="center" vertical="center" textRotation="90" wrapText="1"/>
      <protection locked="0"/>
    </xf>
    <xf numFmtId="0" fontId="4" fillId="0" borderId="29" xfId="0" applyFont="1" applyBorder="1" applyAlignment="1" applyProtection="1">
      <alignment horizontal="center" vertical="center" textRotation="90"/>
      <protection locked="0"/>
    </xf>
    <xf numFmtId="0" fontId="4" fillId="0" borderId="32" xfId="0" applyFont="1" applyBorder="1" applyAlignment="1" applyProtection="1">
      <alignment horizontal="center" vertical="center" textRotation="90"/>
      <protection locked="0"/>
    </xf>
    <xf numFmtId="0" fontId="4" fillId="0" borderId="17" xfId="0" applyFont="1" applyBorder="1" applyAlignment="1" applyProtection="1">
      <alignment horizontal="center" vertical="center" textRotation="90"/>
      <protection locked="0"/>
    </xf>
    <xf numFmtId="0" fontId="8" fillId="0" borderId="11" xfId="0" applyFont="1" applyBorder="1" applyAlignment="1" applyProtection="1">
      <alignment horizontal="center" vertical="center" textRotation="90"/>
      <protection locked="0"/>
    </xf>
    <xf numFmtId="0" fontId="8" fillId="0" borderId="12" xfId="0" applyFont="1" applyBorder="1" applyAlignment="1" applyProtection="1">
      <alignment horizontal="center" vertical="center" textRotation="90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34" xfId="0" applyFont="1" applyBorder="1" applyAlignment="1" applyProtection="1">
      <alignment horizontal="center" vertical="center"/>
      <protection locked="0"/>
    </xf>
    <xf numFmtId="0" fontId="7" fillId="0" borderId="35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vertical="center"/>
      <protection locked="0"/>
    </xf>
    <xf numFmtId="0" fontId="8" fillId="8" borderId="37" xfId="0" applyFont="1" applyFill="1" applyBorder="1" applyAlignment="1" applyProtection="1">
      <alignment horizontal="center" vertical="center"/>
      <protection locked="0"/>
    </xf>
    <xf numFmtId="0" fontId="7" fillId="0" borderId="38" xfId="0" applyFont="1" applyBorder="1" applyAlignment="1" applyProtection="1">
      <alignment vertical="center"/>
      <protection locked="0"/>
    </xf>
    <xf numFmtId="0" fontId="7" fillId="0" borderId="27" xfId="0" applyFont="1" applyBorder="1" applyAlignment="1" applyProtection="1">
      <alignment vertical="center"/>
      <protection locked="0"/>
    </xf>
    <xf numFmtId="0" fontId="4" fillId="0" borderId="29" xfId="0" applyFont="1" applyBorder="1" applyAlignment="1" applyProtection="1">
      <alignment horizontal="center" vertical="center" textRotation="90" wrapText="1"/>
      <protection locked="0"/>
    </xf>
    <xf numFmtId="0" fontId="4" fillId="0" borderId="32" xfId="0" applyFont="1" applyBorder="1" applyAlignment="1" applyProtection="1">
      <alignment horizontal="center" vertical="center" textRotation="90" wrapText="1"/>
      <protection locked="0"/>
    </xf>
    <xf numFmtId="0" fontId="4" fillId="0" borderId="17" xfId="0" applyFont="1" applyBorder="1" applyAlignment="1" applyProtection="1">
      <alignment horizontal="center" vertical="center" textRotation="90" wrapTex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7" borderId="19" xfId="0" applyFont="1" applyFill="1" applyBorder="1" applyAlignment="1" applyProtection="1">
      <alignment horizontal="center" vertical="center"/>
      <protection locked="0"/>
    </xf>
    <xf numFmtId="0" fontId="8" fillId="8" borderId="9" xfId="0" applyFont="1" applyFill="1" applyBorder="1" applyAlignment="1" applyProtection="1">
      <alignment horizontal="center" vertical="center"/>
      <protection locked="0"/>
    </xf>
    <xf numFmtId="0" fontId="8" fillId="8" borderId="19" xfId="0" applyFont="1" applyFill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 textRotation="90"/>
      <protection locked="0"/>
    </xf>
    <xf numFmtId="0" fontId="4" fillId="0" borderId="71" xfId="0" applyFont="1" applyBorder="1" applyAlignment="1" applyProtection="1">
      <alignment horizontal="center" vertical="center" textRotation="90"/>
      <protection locked="0"/>
    </xf>
    <xf numFmtId="0" fontId="8" fillId="0" borderId="30" xfId="0" applyFont="1" applyBorder="1" applyAlignment="1" applyProtection="1">
      <alignment horizontal="left" vertical="center"/>
      <protection locked="0"/>
    </xf>
    <xf numFmtId="0" fontId="8" fillId="0" borderId="35" xfId="0" applyFont="1" applyBorder="1" applyAlignment="1" applyProtection="1">
      <alignment horizontal="left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36" fillId="0" borderId="5" xfId="0" applyFont="1" applyBorder="1" applyAlignment="1" applyProtection="1">
      <alignment vertical="center"/>
      <protection locked="0"/>
    </xf>
    <xf numFmtId="0" fontId="36" fillId="0" borderId="6" xfId="0" applyFont="1" applyBorder="1" applyAlignment="1" applyProtection="1">
      <alignment vertical="center"/>
      <protection locked="0"/>
    </xf>
    <xf numFmtId="0" fontId="8" fillId="7" borderId="18" xfId="0" applyFont="1" applyFill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 textRotation="135"/>
      <protection locked="0"/>
    </xf>
    <xf numFmtId="0" fontId="4" fillId="0" borderId="32" xfId="0" applyFont="1" applyBorder="1" applyAlignment="1" applyProtection="1">
      <alignment horizontal="center" vertical="center" textRotation="135"/>
      <protection locked="0"/>
    </xf>
    <xf numFmtId="0" fontId="4" fillId="0" borderId="17" xfId="0" applyFont="1" applyBorder="1" applyAlignment="1" applyProtection="1">
      <alignment horizontal="center" vertical="center" textRotation="135"/>
      <protection locked="0"/>
    </xf>
    <xf numFmtId="0" fontId="18" fillId="0" borderId="48" xfId="0" applyFont="1" applyBorder="1" applyAlignment="1" applyProtection="1">
      <alignment horizontal="center" vertical="center" wrapText="1"/>
      <protection locked="0"/>
    </xf>
    <xf numFmtId="0" fontId="18" fillId="0" borderId="50" xfId="0" applyFont="1" applyBorder="1" applyAlignment="1" applyProtection="1">
      <alignment horizontal="center" vertical="center" wrapText="1"/>
      <protection locked="0"/>
    </xf>
    <xf numFmtId="10" fontId="8" fillId="0" borderId="1" xfId="3" applyNumberFormat="1" applyFont="1" applyBorder="1" applyAlignment="1" applyProtection="1">
      <alignment horizontal="center" vertical="center"/>
    </xf>
    <xf numFmtId="0" fontId="16" fillId="19" borderId="1" xfId="0" applyFont="1" applyFill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44" xfId="0" applyFont="1" applyBorder="1" applyAlignment="1" applyProtection="1">
      <alignment horizontal="center" vertical="center"/>
      <protection locked="0"/>
    </xf>
    <xf numFmtId="44" fontId="8" fillId="0" borderId="0" xfId="2" applyFont="1" applyAlignment="1" applyProtection="1">
      <alignment horizontal="center" vertical="center"/>
      <protection locked="0"/>
    </xf>
    <xf numFmtId="0" fontId="15" fillId="0" borderId="41" xfId="0" applyFont="1" applyBorder="1" applyAlignment="1" applyProtection="1">
      <alignment horizontal="center" vertical="center"/>
      <protection locked="0"/>
    </xf>
    <xf numFmtId="0" fontId="15" fillId="0" borderId="42" xfId="0" applyFont="1" applyBorder="1" applyAlignment="1" applyProtection="1">
      <alignment horizontal="center" vertical="center"/>
      <protection locked="0"/>
    </xf>
    <xf numFmtId="0" fontId="15" fillId="0" borderId="43" xfId="0" applyFont="1" applyBorder="1" applyAlignment="1" applyProtection="1">
      <alignment horizontal="center" vertical="center"/>
      <protection locked="0"/>
    </xf>
    <xf numFmtId="0" fontId="8" fillId="19" borderId="1" xfId="0" applyFont="1" applyFill="1" applyBorder="1" applyAlignment="1" applyProtection="1">
      <alignment horizontal="center" vertical="center" wrapText="1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31" fillId="25" borderId="56" xfId="0" applyFont="1" applyFill="1" applyBorder="1" applyAlignment="1">
      <alignment horizontal="center" vertical="center" wrapText="1"/>
    </xf>
    <xf numFmtId="0" fontId="7" fillId="0" borderId="57" xfId="0" applyFont="1" applyBorder="1"/>
    <xf numFmtId="0" fontId="13" fillId="25" borderId="58" xfId="0" applyFont="1" applyFill="1" applyBorder="1" applyAlignment="1">
      <alignment horizontal="left" vertical="center" wrapText="1"/>
    </xf>
    <xf numFmtId="0" fontId="7" fillId="0" borderId="59" xfId="0" applyFont="1" applyBorder="1"/>
    <xf numFmtId="0" fontId="13" fillId="0" borderId="60" xfId="0" applyFont="1" applyBorder="1" applyAlignment="1">
      <alignment horizontal="left" vertical="center" wrapText="1"/>
    </xf>
    <xf numFmtId="0" fontId="7" fillId="0" borderId="61" xfId="0" applyFont="1" applyBorder="1"/>
    <xf numFmtId="0" fontId="29" fillId="0" borderId="62" xfId="0" applyFont="1" applyBorder="1" applyAlignment="1">
      <alignment horizontal="left" vertical="center" wrapText="1"/>
    </xf>
    <xf numFmtId="0" fontId="7" fillId="0" borderId="63" xfId="0" applyFont="1" applyBorder="1" applyAlignment="1">
      <alignment wrapText="1"/>
    </xf>
    <xf numFmtId="43" fontId="2" fillId="0" borderId="2" xfId="8" applyFont="1" applyBorder="1" applyAlignment="1" applyProtection="1">
      <alignment horizontal="center" vertical="center"/>
      <protection locked="0"/>
    </xf>
    <xf numFmtId="43" fontId="2" fillId="0" borderId="40" xfId="8" applyFont="1" applyBorder="1" applyAlignment="1" applyProtection="1">
      <alignment horizontal="center" vertical="center"/>
      <protection locked="0"/>
    </xf>
    <xf numFmtId="43" fontId="2" fillId="0" borderId="3" xfId="8" applyFont="1" applyBorder="1" applyAlignment="1" applyProtection="1">
      <alignment horizontal="center" vertical="center"/>
      <protection locked="0"/>
    </xf>
    <xf numFmtId="0" fontId="8" fillId="17" borderId="29" xfId="0" applyFont="1" applyFill="1" applyBorder="1" applyAlignment="1" applyProtection="1">
      <alignment horizontal="center" vertical="center"/>
      <protection locked="0"/>
    </xf>
    <xf numFmtId="0" fontId="8" fillId="17" borderId="17" xfId="0" applyFont="1" applyFill="1" applyBorder="1" applyAlignment="1" applyProtection="1">
      <alignment horizontal="center" vertical="center"/>
      <protection locked="0"/>
    </xf>
    <xf numFmtId="0" fontId="8" fillId="17" borderId="1" xfId="0" applyFont="1" applyFill="1" applyBorder="1" applyAlignment="1" applyProtection="1">
      <alignment horizontal="center" vertical="center"/>
      <protection locked="0"/>
    </xf>
    <xf numFmtId="0" fontId="8" fillId="18" borderId="1" xfId="0" applyFont="1" applyFill="1" applyBorder="1" applyAlignment="1" applyProtection="1">
      <alignment horizontal="center" vertical="center"/>
      <protection locked="0"/>
    </xf>
    <xf numFmtId="0" fontId="8" fillId="17" borderId="1" xfId="0" applyFont="1" applyFill="1" applyBorder="1" applyAlignment="1" applyProtection="1">
      <alignment horizontal="center" vertical="center" wrapText="1"/>
      <protection locked="0"/>
    </xf>
    <xf numFmtId="0" fontId="8" fillId="18" borderId="22" xfId="0" applyFont="1" applyFill="1" applyBorder="1" applyAlignment="1" applyProtection="1">
      <alignment horizontal="center" vertical="center"/>
      <protection locked="0"/>
    </xf>
    <xf numFmtId="0" fontId="8" fillId="18" borderId="39" xfId="0" applyFont="1" applyFill="1" applyBorder="1" applyAlignment="1" applyProtection="1">
      <alignment horizontal="center" vertical="center"/>
      <protection locked="0"/>
    </xf>
    <xf numFmtId="0" fontId="8" fillId="18" borderId="53" xfId="0" applyFont="1" applyFill="1" applyBorder="1" applyAlignment="1" applyProtection="1">
      <alignment horizontal="center" vertical="center"/>
      <protection locked="0"/>
    </xf>
    <xf numFmtId="0" fontId="8" fillId="18" borderId="26" xfId="0" applyFont="1" applyFill="1" applyBorder="1" applyAlignment="1" applyProtection="1">
      <alignment horizontal="center" vertical="center"/>
      <protection locked="0"/>
    </xf>
    <xf numFmtId="0" fontId="8" fillId="18" borderId="54" xfId="0" applyFont="1" applyFill="1" applyBorder="1" applyAlignment="1" applyProtection="1">
      <alignment horizontal="center" vertical="center"/>
      <protection locked="0"/>
    </xf>
    <xf numFmtId="0" fontId="8" fillId="18" borderId="55" xfId="0" applyFont="1" applyFill="1" applyBorder="1" applyAlignment="1" applyProtection="1">
      <alignment horizontal="center" vertical="center"/>
      <protection locked="0"/>
    </xf>
    <xf numFmtId="0" fontId="8" fillId="18" borderId="29" xfId="0" applyFont="1" applyFill="1" applyBorder="1" applyAlignment="1" applyProtection="1">
      <alignment horizontal="center" vertical="center"/>
      <protection locked="0"/>
    </xf>
    <xf numFmtId="0" fontId="8" fillId="18" borderId="17" xfId="0" applyFont="1" applyFill="1" applyBorder="1" applyAlignment="1" applyProtection="1">
      <alignment horizontal="center" vertical="center"/>
      <protection locked="0"/>
    </xf>
    <xf numFmtId="0" fontId="8" fillId="2" borderId="40" xfId="0" applyFont="1" applyFill="1" applyBorder="1" applyAlignment="1" applyProtection="1">
      <alignment horizontal="left" vertical="center"/>
      <protection locked="0"/>
    </xf>
    <xf numFmtId="43" fontId="2" fillId="0" borderId="22" xfId="8" applyFont="1" applyBorder="1" applyAlignment="1" applyProtection="1">
      <alignment horizontal="center" vertical="center"/>
      <protection locked="0"/>
    </xf>
    <xf numFmtId="43" fontId="2" fillId="0" borderId="39" xfId="8" applyFont="1" applyBorder="1" applyAlignment="1" applyProtection="1">
      <alignment horizontal="center" vertical="center"/>
      <protection locked="0"/>
    </xf>
    <xf numFmtId="0" fontId="8" fillId="18" borderId="15" xfId="0" applyFont="1" applyFill="1" applyBorder="1" applyAlignment="1" applyProtection="1">
      <alignment horizontal="center" vertical="center"/>
      <protection locked="0"/>
    </xf>
    <xf numFmtId="0" fontId="8" fillId="18" borderId="0" xfId="0" applyFont="1" applyFill="1" applyAlignment="1" applyProtection="1">
      <alignment horizontal="center" vertical="center"/>
      <protection locked="0"/>
    </xf>
    <xf numFmtId="0" fontId="8" fillId="18" borderId="29" xfId="0" applyFont="1" applyFill="1" applyBorder="1" applyAlignment="1" applyProtection="1">
      <alignment horizontal="center" vertical="justify"/>
      <protection locked="0"/>
    </xf>
    <xf numFmtId="0" fontId="8" fillId="18" borderId="17" xfId="0" applyFont="1" applyFill="1" applyBorder="1" applyAlignment="1" applyProtection="1">
      <alignment horizontal="center" vertical="justify"/>
      <protection locked="0"/>
    </xf>
    <xf numFmtId="0" fontId="9" fillId="0" borderId="54" xfId="0" applyFont="1" applyBorder="1" applyAlignment="1" applyProtection="1">
      <alignment horizontal="center" vertical="center"/>
      <protection locked="0"/>
    </xf>
    <xf numFmtId="0" fontId="10" fillId="21" borderId="1" xfId="0" applyFont="1" applyFill="1" applyBorder="1" applyAlignment="1" applyProtection="1">
      <alignment horizontal="left" vertical="center"/>
      <protection locked="0"/>
    </xf>
    <xf numFmtId="0" fontId="8" fillId="17" borderId="1" xfId="0" applyFont="1" applyFill="1" applyBorder="1" applyAlignment="1">
      <alignment horizontal="center" vertical="center"/>
    </xf>
    <xf numFmtId="49" fontId="10" fillId="21" borderId="2" xfId="0" applyNumberFormat="1" applyFont="1" applyFill="1" applyBorder="1" applyAlignment="1" applyProtection="1">
      <alignment horizontal="left" vertical="center" wrapText="1"/>
      <protection locked="0"/>
    </xf>
    <xf numFmtId="49" fontId="10" fillId="21" borderId="40" xfId="0" applyNumberFormat="1" applyFont="1" applyFill="1" applyBorder="1" applyAlignment="1" applyProtection="1">
      <alignment horizontal="left" vertical="center" wrapText="1"/>
      <protection locked="0"/>
    </xf>
    <xf numFmtId="49" fontId="10" fillId="21" borderId="3" xfId="0" applyNumberFormat="1" applyFont="1" applyFill="1" applyBorder="1" applyAlignment="1" applyProtection="1">
      <alignment horizontal="left" vertical="center" wrapText="1"/>
      <protection locked="0"/>
    </xf>
    <xf numFmtId="0" fontId="8" fillId="17" borderId="29" xfId="0" applyFont="1" applyFill="1" applyBorder="1" applyAlignment="1">
      <alignment horizontal="center" vertical="center"/>
    </xf>
    <xf numFmtId="0" fontId="8" fillId="17" borderId="17" xfId="0" applyFont="1" applyFill="1" applyBorder="1" applyAlignment="1">
      <alignment horizontal="center" vertical="center"/>
    </xf>
    <xf numFmtId="0" fontId="8" fillId="17" borderId="2" xfId="0" applyFont="1" applyFill="1" applyBorder="1" applyAlignment="1" applyProtection="1">
      <alignment horizontal="center" vertical="center"/>
      <protection locked="0"/>
    </xf>
    <xf numFmtId="0" fontId="38" fillId="18" borderId="22" xfId="0" applyFont="1" applyFill="1" applyBorder="1" applyAlignment="1" applyProtection="1">
      <alignment horizontal="center" vertical="center"/>
      <protection locked="0"/>
    </xf>
    <xf numFmtId="0" fontId="38" fillId="18" borderId="39" xfId="0" applyFont="1" applyFill="1" applyBorder="1" applyAlignment="1" applyProtection="1">
      <alignment horizontal="center" vertical="center"/>
      <protection locked="0"/>
    </xf>
    <xf numFmtId="0" fontId="38" fillId="18" borderId="53" xfId="0" applyFont="1" applyFill="1" applyBorder="1" applyAlignment="1" applyProtection="1">
      <alignment horizontal="center" vertical="center"/>
      <protection locked="0"/>
    </xf>
    <xf numFmtId="0" fontId="38" fillId="18" borderId="26" xfId="0" applyFont="1" applyFill="1" applyBorder="1" applyAlignment="1" applyProtection="1">
      <alignment horizontal="center" vertical="center"/>
      <protection locked="0"/>
    </xf>
    <xf numFmtId="0" fontId="38" fillId="18" borderId="54" xfId="0" applyFont="1" applyFill="1" applyBorder="1" applyAlignment="1" applyProtection="1">
      <alignment horizontal="center" vertical="center"/>
      <protection locked="0"/>
    </xf>
    <xf numFmtId="0" fontId="38" fillId="18" borderId="55" xfId="0" applyFont="1" applyFill="1" applyBorder="1" applyAlignment="1" applyProtection="1">
      <alignment horizontal="center" vertical="center"/>
      <protection locked="0"/>
    </xf>
    <xf numFmtId="0" fontId="38" fillId="18" borderId="1" xfId="0" applyFont="1" applyFill="1" applyBorder="1" applyAlignment="1" applyProtection="1">
      <alignment horizontal="center" vertical="center"/>
      <protection locked="0"/>
    </xf>
    <xf numFmtId="43" fontId="2" fillId="0" borderId="2" xfId="1" applyFont="1" applyBorder="1" applyAlignment="1" applyProtection="1">
      <alignment horizontal="center" vertical="center"/>
      <protection locked="0"/>
    </xf>
    <xf numFmtId="43" fontId="2" fillId="0" borderId="40" xfId="1" applyFont="1" applyBorder="1" applyAlignment="1" applyProtection="1">
      <alignment horizontal="center" vertical="center"/>
      <protection locked="0"/>
    </xf>
    <xf numFmtId="43" fontId="2" fillId="0" borderId="3" xfId="1" applyFont="1" applyBorder="1" applyAlignment="1" applyProtection="1">
      <alignment horizontal="center" vertical="center"/>
      <protection locked="0"/>
    </xf>
    <xf numFmtId="44" fontId="8" fillId="17" borderId="1" xfId="2" applyFont="1" applyFill="1" applyBorder="1" applyAlignment="1" applyProtection="1">
      <alignment horizontal="center" vertical="center"/>
    </xf>
    <xf numFmtId="43" fontId="8" fillId="18" borderId="22" xfId="1" applyFont="1" applyFill="1" applyBorder="1" applyAlignment="1" applyProtection="1">
      <alignment horizontal="center" vertical="center"/>
      <protection locked="0"/>
    </xf>
    <xf numFmtId="43" fontId="8" fillId="18" borderId="39" xfId="1" applyFont="1" applyFill="1" applyBorder="1" applyAlignment="1" applyProtection="1">
      <alignment horizontal="center" vertical="center"/>
      <protection locked="0"/>
    </xf>
    <xf numFmtId="43" fontId="8" fillId="18" borderId="53" xfId="1" applyFont="1" applyFill="1" applyBorder="1" applyAlignment="1" applyProtection="1">
      <alignment horizontal="center" vertical="center"/>
      <protection locked="0"/>
    </xf>
    <xf numFmtId="43" fontId="8" fillId="18" borderId="26" xfId="1" applyFont="1" applyFill="1" applyBorder="1" applyAlignment="1" applyProtection="1">
      <alignment horizontal="center" vertical="center"/>
      <protection locked="0"/>
    </xf>
    <xf numFmtId="43" fontId="8" fillId="18" borderId="54" xfId="1" applyFont="1" applyFill="1" applyBorder="1" applyAlignment="1" applyProtection="1">
      <alignment horizontal="center" vertical="center"/>
      <protection locked="0"/>
    </xf>
    <xf numFmtId="43" fontId="8" fillId="18" borderId="55" xfId="1" applyFont="1" applyFill="1" applyBorder="1" applyAlignment="1" applyProtection="1">
      <alignment horizontal="center" vertical="center"/>
      <protection locked="0"/>
    </xf>
    <xf numFmtId="43" fontId="8" fillId="18" borderId="29" xfId="1" applyFont="1" applyFill="1" applyBorder="1" applyAlignment="1" applyProtection="1">
      <alignment horizontal="center" vertical="center"/>
      <protection locked="0"/>
    </xf>
    <xf numFmtId="43" fontId="8" fillId="18" borderId="17" xfId="1" applyFont="1" applyFill="1" applyBorder="1" applyAlignment="1" applyProtection="1">
      <alignment horizontal="center" vertical="center"/>
      <protection locked="0"/>
    </xf>
    <xf numFmtId="43" fontId="8" fillId="18" borderId="15" xfId="1" applyFont="1" applyFill="1" applyBorder="1" applyAlignment="1" applyProtection="1">
      <alignment horizontal="center" vertical="center"/>
      <protection locked="0"/>
    </xf>
    <xf numFmtId="43" fontId="8" fillId="18" borderId="0" xfId="1" applyFont="1" applyFill="1" applyAlignment="1" applyProtection="1">
      <alignment horizontal="center" vertical="center"/>
      <protection locked="0"/>
    </xf>
    <xf numFmtId="43" fontId="38" fillId="18" borderId="1" xfId="1" applyFont="1" applyFill="1" applyBorder="1" applyAlignment="1" applyProtection="1">
      <alignment horizontal="center" vertical="center"/>
      <protection locked="0"/>
    </xf>
    <xf numFmtId="43" fontId="8" fillId="18" borderId="32" xfId="1" applyFont="1" applyFill="1" applyBorder="1" applyAlignment="1" applyProtection="1">
      <alignment horizontal="center" vertical="center"/>
      <protection locked="0"/>
    </xf>
    <xf numFmtId="0" fontId="8" fillId="17" borderId="32" xfId="0" applyFont="1" applyFill="1" applyBorder="1" applyAlignment="1" applyProtection="1">
      <alignment horizontal="center" vertical="center"/>
      <protection locked="0"/>
    </xf>
    <xf numFmtId="44" fontId="8" fillId="17" borderId="17" xfId="2" applyFont="1" applyFill="1" applyBorder="1" applyAlignment="1" applyProtection="1">
      <alignment horizontal="center" vertical="center"/>
      <protection locked="0"/>
    </xf>
    <xf numFmtId="44" fontId="8" fillId="17" borderId="1" xfId="2" applyFont="1" applyFill="1" applyBorder="1" applyAlignment="1" applyProtection="1">
      <alignment horizontal="center" vertical="center"/>
      <protection locked="0"/>
    </xf>
    <xf numFmtId="0" fontId="27" fillId="2" borderId="40" xfId="0" applyFont="1" applyFill="1" applyBorder="1" applyAlignment="1" applyProtection="1">
      <alignment horizontal="left" vertical="center"/>
      <protection locked="0"/>
    </xf>
    <xf numFmtId="0" fontId="8" fillId="18" borderId="32" xfId="0" applyFont="1" applyFill="1" applyBorder="1" applyAlignment="1" applyProtection="1">
      <alignment horizontal="center" vertical="center"/>
      <protection locked="0"/>
    </xf>
    <xf numFmtId="0" fontId="38" fillId="18" borderId="2" xfId="0" applyFont="1" applyFill="1" applyBorder="1" applyAlignment="1" applyProtection="1">
      <alignment horizontal="center" vertical="center"/>
      <protection locked="0"/>
    </xf>
    <xf numFmtId="0" fontId="38" fillId="18" borderId="40" xfId="0" applyFont="1" applyFill="1" applyBorder="1" applyAlignment="1" applyProtection="1">
      <alignment horizontal="center" vertical="center"/>
      <protection locked="0"/>
    </xf>
    <xf numFmtId="0" fontId="38" fillId="18" borderId="3" xfId="0" applyFont="1" applyFill="1" applyBorder="1" applyAlignment="1" applyProtection="1">
      <alignment horizontal="center" vertical="center"/>
      <protection locked="0"/>
    </xf>
    <xf numFmtId="0" fontId="8" fillId="18" borderId="2" xfId="0" applyFont="1" applyFill="1" applyBorder="1" applyAlignment="1" applyProtection="1">
      <alignment horizontal="center" vertical="center"/>
      <protection locked="0"/>
    </xf>
    <xf numFmtId="0" fontId="8" fillId="18" borderId="40" xfId="0" applyFont="1" applyFill="1" applyBorder="1" applyAlignment="1" applyProtection="1">
      <alignment horizontal="center" vertical="center"/>
      <protection locked="0"/>
    </xf>
    <xf numFmtId="0" fontId="8" fillId="18" borderId="3" xfId="0" applyFont="1" applyFill="1" applyBorder="1" applyAlignment="1" applyProtection="1">
      <alignment horizontal="center" vertical="center"/>
      <protection locked="0"/>
    </xf>
    <xf numFmtId="166" fontId="8" fillId="17" borderId="29" xfId="0" applyNumberFormat="1" applyFont="1" applyFill="1" applyBorder="1" applyAlignment="1" applyProtection="1">
      <alignment horizontal="center" vertical="center"/>
      <protection locked="0"/>
    </xf>
    <xf numFmtId="166" fontId="8" fillId="17" borderId="17" xfId="0" applyNumberFormat="1" applyFont="1" applyFill="1" applyBorder="1" applyAlignment="1" applyProtection="1">
      <alignment horizontal="center" vertical="center"/>
      <protection locked="0"/>
    </xf>
    <xf numFmtId="0" fontId="38" fillId="17" borderId="1" xfId="0" applyFont="1" applyFill="1" applyBorder="1" applyAlignment="1">
      <alignment horizontal="center" vertical="center"/>
    </xf>
    <xf numFmtId="0" fontId="38" fillId="18" borderId="29" xfId="0" applyFont="1" applyFill="1" applyBorder="1" applyAlignment="1" applyProtection="1">
      <alignment horizontal="center" vertical="center"/>
      <protection locked="0"/>
    </xf>
    <xf numFmtId="0" fontId="38" fillId="18" borderId="17" xfId="0" applyFont="1" applyFill="1" applyBorder="1" applyAlignment="1" applyProtection="1">
      <alignment horizontal="center" vertical="center"/>
      <protection locked="0"/>
    </xf>
    <xf numFmtId="0" fontId="38" fillId="17" borderId="1" xfId="0" applyFont="1" applyFill="1" applyBorder="1" applyAlignment="1" applyProtection="1">
      <alignment horizontal="center" vertical="center"/>
      <protection locked="0"/>
    </xf>
    <xf numFmtId="166" fontId="38" fillId="17" borderId="29" xfId="0" applyNumberFormat="1" applyFont="1" applyFill="1" applyBorder="1" applyAlignment="1" applyProtection="1">
      <alignment horizontal="center" vertical="center"/>
      <protection locked="0"/>
    </xf>
    <xf numFmtId="166" fontId="38" fillId="17" borderId="17" xfId="0" applyNumberFormat="1" applyFont="1" applyFill="1" applyBorder="1" applyAlignment="1" applyProtection="1">
      <alignment horizontal="center" vertical="center"/>
      <protection locked="0"/>
    </xf>
    <xf numFmtId="0" fontId="38" fillId="17" borderId="29" xfId="0" applyFont="1" applyFill="1" applyBorder="1" applyAlignment="1" applyProtection="1">
      <alignment horizontal="center" vertical="center"/>
      <protection locked="0"/>
    </xf>
    <xf numFmtId="0" fontId="38" fillId="17" borderId="17" xfId="0" applyFont="1" applyFill="1" applyBorder="1" applyAlignment="1" applyProtection="1">
      <alignment horizontal="center" vertical="center"/>
      <protection locked="0"/>
    </xf>
    <xf numFmtId="0" fontId="8" fillId="17" borderId="1" xfId="0" applyFont="1" applyFill="1" applyBorder="1" applyAlignment="1">
      <alignment horizontal="center" vertical="center" wrapText="1"/>
    </xf>
    <xf numFmtId="0" fontId="38" fillId="17" borderId="1" xfId="0" applyFont="1" applyFill="1" applyBorder="1" applyAlignment="1">
      <alignment horizontal="center" vertical="center" wrapText="1"/>
    </xf>
    <xf numFmtId="0" fontId="38" fillId="17" borderId="1" xfId="0" applyFont="1" applyFill="1" applyBorder="1" applyAlignment="1" applyProtection="1">
      <alignment horizontal="center" vertical="center" wrapText="1"/>
      <protection locked="0"/>
    </xf>
    <xf numFmtId="0" fontId="9" fillId="0" borderId="54" xfId="7" applyFont="1" applyBorder="1" applyAlignment="1" applyProtection="1">
      <alignment horizontal="center" vertical="center"/>
      <protection locked="0"/>
    </xf>
    <xf numFmtId="0" fontId="8" fillId="2" borderId="40" xfId="7" applyFont="1" applyFill="1" applyBorder="1" applyAlignment="1" applyProtection="1">
      <alignment horizontal="left" vertical="center"/>
      <protection locked="0"/>
    </xf>
    <xf numFmtId="0" fontId="8" fillId="18" borderId="1" xfId="7" applyFont="1" applyFill="1" applyBorder="1" applyAlignment="1" applyProtection="1">
      <alignment horizontal="center" vertical="center"/>
      <protection locked="0"/>
    </xf>
    <xf numFmtId="0" fontId="8" fillId="17" borderId="1" xfId="7" applyFont="1" applyFill="1" applyBorder="1" applyAlignment="1" applyProtection="1">
      <alignment horizontal="center" vertical="center" wrapText="1"/>
      <protection locked="0"/>
    </xf>
    <xf numFmtId="0" fontId="8" fillId="18" borderId="29" xfId="7" applyFont="1" applyFill="1" applyBorder="1" applyAlignment="1" applyProtection="1">
      <alignment horizontal="center" vertical="center"/>
      <protection locked="0"/>
    </xf>
    <xf numFmtId="0" fontId="8" fillId="18" borderId="17" xfId="7" applyFont="1" applyFill="1" applyBorder="1" applyAlignment="1" applyProtection="1">
      <alignment horizontal="center" vertical="center"/>
      <protection locked="0"/>
    </xf>
    <xf numFmtId="0" fontId="8" fillId="17" borderId="1" xfId="7" applyFont="1" applyFill="1" applyBorder="1" applyAlignment="1" applyProtection="1">
      <alignment horizontal="center" vertical="center"/>
      <protection locked="0"/>
    </xf>
    <xf numFmtId="0" fontId="8" fillId="17" borderId="29" xfId="7" applyFont="1" applyFill="1" applyBorder="1" applyAlignment="1" applyProtection="1">
      <alignment horizontal="center" vertical="center"/>
      <protection locked="0"/>
    </xf>
    <xf numFmtId="0" fontId="8" fillId="17" borderId="17" xfId="7" applyFont="1" applyFill="1" applyBorder="1" applyAlignment="1" applyProtection="1">
      <alignment horizontal="center" vertical="center"/>
      <protection locked="0"/>
    </xf>
    <xf numFmtId="0" fontId="38" fillId="18" borderId="22" xfId="7" applyFont="1" applyFill="1" applyBorder="1" applyAlignment="1" applyProtection="1">
      <alignment horizontal="center" vertical="center"/>
      <protection locked="0"/>
    </xf>
    <xf numFmtId="0" fontId="38" fillId="18" borderId="39" xfId="7" applyFont="1" applyFill="1" applyBorder="1" applyAlignment="1" applyProtection="1">
      <alignment horizontal="center" vertical="center"/>
      <protection locked="0"/>
    </xf>
    <xf numFmtId="0" fontId="38" fillId="18" borderId="53" xfId="7" applyFont="1" applyFill="1" applyBorder="1" applyAlignment="1" applyProtection="1">
      <alignment horizontal="center" vertical="center"/>
      <protection locked="0"/>
    </xf>
    <xf numFmtId="0" fontId="38" fillId="18" borderId="26" xfId="7" applyFont="1" applyFill="1" applyBorder="1" applyAlignment="1" applyProtection="1">
      <alignment horizontal="center" vertical="center"/>
      <protection locked="0"/>
    </xf>
    <xf numFmtId="0" fontId="38" fillId="18" borderId="54" xfId="7" applyFont="1" applyFill="1" applyBorder="1" applyAlignment="1" applyProtection="1">
      <alignment horizontal="center" vertical="center"/>
      <protection locked="0"/>
    </xf>
    <xf numFmtId="0" fontId="38" fillId="18" borderId="55" xfId="7" applyFont="1" applyFill="1" applyBorder="1" applyAlignment="1" applyProtection="1">
      <alignment horizontal="center" vertical="center"/>
      <protection locked="0"/>
    </xf>
    <xf numFmtId="0" fontId="38" fillId="18" borderId="1" xfId="7" applyFont="1" applyFill="1" applyBorder="1" applyAlignment="1" applyProtection="1">
      <alignment horizontal="center" vertical="center"/>
      <protection locked="0"/>
    </xf>
    <xf numFmtId="0" fontId="8" fillId="18" borderId="22" xfId="7" applyFont="1" applyFill="1" applyBorder="1" applyAlignment="1" applyProtection="1">
      <alignment horizontal="center" vertical="center"/>
      <protection locked="0"/>
    </xf>
    <xf numFmtId="0" fontId="8" fillId="18" borderId="39" xfId="7" applyFont="1" applyFill="1" applyBorder="1" applyAlignment="1" applyProtection="1">
      <alignment horizontal="center" vertical="center"/>
      <protection locked="0"/>
    </xf>
    <xf numFmtId="0" fontId="8" fillId="18" borderId="53" xfId="7" applyFont="1" applyFill="1" applyBorder="1" applyAlignment="1" applyProtection="1">
      <alignment horizontal="center" vertical="center"/>
      <protection locked="0"/>
    </xf>
    <xf numFmtId="0" fontId="8" fillId="18" borderId="26" xfId="7" applyFont="1" applyFill="1" applyBorder="1" applyAlignment="1" applyProtection="1">
      <alignment horizontal="center" vertical="center"/>
      <protection locked="0"/>
    </xf>
    <xf numFmtId="0" fontId="8" fillId="18" borderId="54" xfId="7" applyFont="1" applyFill="1" applyBorder="1" applyAlignment="1" applyProtection="1">
      <alignment horizontal="center" vertical="center"/>
      <protection locked="0"/>
    </xf>
    <xf numFmtId="0" fontId="8" fillId="18" borderId="55" xfId="7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/>
    <xf numFmtId="43" fontId="19" fillId="0" borderId="1" xfId="8" applyFont="1" applyFill="1" applyBorder="1" applyAlignment="1" applyProtection="1">
      <protection locked="0"/>
    </xf>
    <xf numFmtId="0" fontId="19" fillId="0" borderId="1" xfId="0" applyFont="1" applyBorder="1" applyAlignment="1">
      <alignment horizontal="center"/>
    </xf>
    <xf numFmtId="44" fontId="7" fillId="20" borderId="1" xfId="2" applyFont="1" applyFill="1" applyBorder="1" applyAlignment="1" applyProtection="1">
      <alignment vertical="center"/>
      <protection locked="0"/>
    </xf>
    <xf numFmtId="0" fontId="19" fillId="0" borderId="1" xfId="0" applyFont="1" applyBorder="1" applyAlignment="1">
      <alignment wrapText="1"/>
    </xf>
    <xf numFmtId="0" fontId="38" fillId="2" borderId="17" xfId="0" applyFont="1" applyFill="1" applyBorder="1" applyAlignment="1" applyProtection="1">
      <alignment vertical="center" wrapText="1"/>
      <protection locked="0"/>
    </xf>
    <xf numFmtId="0" fontId="38" fillId="2" borderId="1" xfId="0" applyFont="1" applyFill="1" applyBorder="1" applyAlignment="1" applyProtection="1">
      <alignment vertical="center" wrapText="1"/>
      <protection locked="0"/>
    </xf>
    <xf numFmtId="8" fontId="7" fillId="20" borderId="1" xfId="2" applyNumberFormat="1" applyFont="1" applyFill="1" applyBorder="1" applyAlignment="1" applyProtection="1">
      <alignment vertical="center"/>
      <protection locked="0"/>
    </xf>
    <xf numFmtId="0" fontId="12" fillId="0" borderId="1" xfId="4" applyFont="1" applyBorder="1" applyAlignment="1" applyProtection="1">
      <alignment horizontal="left" vertical="center" wrapText="1"/>
      <protection locked="0"/>
    </xf>
    <xf numFmtId="0" fontId="12" fillId="0" borderId="1" xfId="4" applyFont="1" applyBorder="1" applyAlignment="1" applyProtection="1">
      <alignment horizontal="center" vertical="center" wrapText="1"/>
      <protection locked="0"/>
    </xf>
  </cellXfs>
  <cellStyles count="16">
    <cellStyle name="Moeda" xfId="2" builtinId="4"/>
    <cellStyle name="Moeda 2" xfId="10"/>
    <cellStyle name="Normal" xfId="0" builtinId="0"/>
    <cellStyle name="Normal 10" xfId="11"/>
    <cellStyle name="Normal 10 3 2" xfId="6"/>
    <cellStyle name="Normal 141" xfId="15"/>
    <cellStyle name="Normal 174 4" xfId="14"/>
    <cellStyle name="Normal 2" xfId="9"/>
    <cellStyle name="Normal 3" xfId="4"/>
    <cellStyle name="Normal 3 2 2 2" xfId="5"/>
    <cellStyle name="Normal 3 3" xfId="7"/>
    <cellStyle name="Normal 9" xfId="13"/>
    <cellStyle name="Porcentagem" xfId="3" builtinId="5"/>
    <cellStyle name="Separador de milhares 2" xfId="12"/>
    <cellStyle name="Vírgula" xfId="1" builtinId="3"/>
    <cellStyle name="Vírgula 2" xfId="8"/>
  </cellStyles>
  <dxfs count="4">
    <dxf>
      <fill>
        <patternFill>
          <fgColor indexed="64"/>
          <bgColor rgb="FFFF7C80"/>
        </patternFill>
      </fill>
    </dxf>
    <dxf>
      <fill>
        <patternFill>
          <fgColor indexed="64"/>
          <bgColor rgb="FFFF7C80"/>
        </patternFill>
      </fill>
    </dxf>
    <dxf>
      <fill>
        <patternFill>
          <fgColor indexed="64"/>
          <bgColor rgb="FFFF7C80"/>
        </patternFill>
      </fill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185964</xdr:colOff>
          <xdr:row>320</xdr:row>
          <xdr:rowOff>74839</xdr:rowOff>
        </xdr:from>
        <xdr:to>
          <xdr:col>3</xdr:col>
          <xdr:colOff>483854</xdr:colOff>
          <xdr:row>324</xdr:row>
          <xdr:rowOff>97251</xdr:rowOff>
        </xdr:to>
        <xdr:pic>
          <xdr:nvPicPr>
            <xdr:cNvPr id="4" name="Picture 483">
              <a:extLst>
                <a:ext uri="{FF2B5EF4-FFF2-40B4-BE49-F238E27FC236}">
                  <a16:creationId xmlns:a16="http://schemas.microsoft.com/office/drawing/2014/main" id="{00000000-0008-0000-0400-000007000000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[1]DADOS!$A$53:$K$57" spid="_x0000_s381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19314" y="36269839"/>
              <a:ext cx="6412940" cy="7844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361950</xdr:colOff>
      <xdr:row>15</xdr:row>
      <xdr:rowOff>180975</xdr:rowOff>
    </xdr:from>
    <xdr:ext cx="3238500" cy="523875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8150" y="4048125"/>
          <a:ext cx="3238500" cy="523875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361950</xdr:colOff>
      <xdr:row>15</xdr:row>
      <xdr:rowOff>180975</xdr:rowOff>
    </xdr:from>
    <xdr:ext cx="3238500" cy="523875"/>
    <xdr:pic>
      <xdr:nvPicPr>
        <xdr:cNvPr id="5" name="image3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9100" y="3629025"/>
          <a:ext cx="3238500" cy="5238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stavovalenca\Desktop\SIURB%20BACKUP%2025-03-2023\172%20-%20PISTA%20DE%20MOTOCROSS\OR&#199;AMENTO\PO%20-%20PISTA%20DE%20MOTOCROSS%20REV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er/Downloads/01%20-%20PLANILHA_COMPOSICAO_RECALCULADA%20(1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MC"/>
      <sheetName val="PLQ"/>
      <sheetName val="CFF"/>
    </sheetNames>
    <sheetDataSet>
      <sheetData sheetId="0">
        <row r="31">
          <cell r="K31" t="str">
            <v>LOCALIDADE / ENDEREÇO</v>
          </cell>
        </row>
        <row r="32">
          <cell r="K32" t="str">
            <v>GONÇALVES FERREIRA</v>
          </cell>
        </row>
        <row r="37">
          <cell r="G37" t="str">
            <v>OBJETO</v>
          </cell>
        </row>
        <row r="38">
          <cell r="G38" t="str">
            <v>PISTA DE MOTOCROSS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1"/>
      <sheetName val="INSUMOS"/>
      <sheetName val="RESUMO"/>
      <sheetName val="COMPOSIÇÃO 02"/>
      <sheetName val="ANEXO A 02"/>
      <sheetName val="COMPOSIÇÃO UNIT"/>
      <sheetName val="ANEXO A"/>
      <sheetName val="BDI"/>
      <sheetName val="ESPECIF e QUANT"/>
      <sheetName val="1.1 - Palco Grande Porte"/>
      <sheetName val="1.2 - Palco Médio Porte"/>
      <sheetName val="1.3 Pavilhão Polo Alto do Moura"/>
      <sheetName val="1.4 - CAMAROTE_A"/>
      <sheetName val="1.5 - CAMAROTE_B"/>
      <sheetName val="1.6 - CAMAROTE_C_RESTAURANTES"/>
      <sheetName val="1.7.1 - Pavilhão Mestre Camarão"/>
      <sheetName val="1.7.2 - Pavilhão Food Trucks"/>
      <sheetName val="1.7.3 - Pavilhão Igreja"/>
      <sheetName val="1.7.4 - Pavilhão Ativação"/>
      <sheetName val="1.7.5 - Pav Rep Casa do Forro "/>
      <sheetName val="1.7.6 -Pav Polo Monte Bom Jesus"/>
      <sheetName val="1.7.7 Pav Mercado de Artesanato"/>
      <sheetName val="1.7.8 Pavilhão Mercado Criativo"/>
      <sheetName val="1.7.9 - Comboio da Cultura"/>
      <sheetName val="1.8 - Pavilhão Quadrilha"/>
      <sheetName val="1.9 - POLO_JUAREZ_SANTIAGO"/>
      <sheetName val="1.10.1 - Pórtico_I"/>
      <sheetName val="1.10.2 - Pórtico_II"/>
      <sheetName val="1.10.3 - Pórtico_III"/>
      <sheetName val="1.10.4 - Pórtico_IV"/>
      <sheetName val="1.11 - TORRE_I"/>
      <sheetName val="1.12.1 - Passarela Tipo I"/>
      <sheetName val="1.12.2 - Passarela Tipo II"/>
      <sheetName val="1.12.3 - Passarela Tipo III"/>
      <sheetName val="1.12.4 - Passarela Tipo IV"/>
      <sheetName val="1.13.1 - Fechamentos"/>
      <sheetName val="1.13.2 - Disciplinadores"/>
      <sheetName val="1.13.3 - Barricadas"/>
      <sheetName val="1.14.1 - Barracas_I"/>
      <sheetName val="1.14.2 - Barracas_II"/>
      <sheetName val="1.15 - Piso"/>
      <sheetName val="1.16.1 - Toldo_I"/>
      <sheetName val="1.16.2 - Toldo_II"/>
      <sheetName val="1.17.1 - Estande Tipo I"/>
      <sheetName val="1.17.2 - Estande Tipo II"/>
    </sheetNames>
    <sheetDataSet>
      <sheetData sheetId="0"/>
      <sheetData sheetId="1">
        <row r="7">
          <cell r="A7" t="str">
            <v>Locação Estrutura Metálica - PISO</v>
          </cell>
        </row>
        <row r="23">
          <cell r="A23" t="str">
            <v>Locação Estrutura Metálica - PÓRTICOS (base 0,30x2,30m)</v>
          </cell>
        </row>
      </sheetData>
      <sheetData sheetId="2"/>
      <sheetData sheetId="3">
        <row r="7">
          <cell r="A7" t="str">
            <v>Locação Estrutura Metálica - PISO</v>
          </cell>
        </row>
      </sheetData>
      <sheetData sheetId="4"/>
      <sheetData sheetId="5">
        <row r="7">
          <cell r="A7" t="str">
            <v>Locação Estrutura Metálica - PISO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view="pageBreakPreview" zoomScaleNormal="100" zoomScaleSheetLayoutView="100" workbookViewId="0">
      <selection activeCell="A23" sqref="A23:XFD40"/>
    </sheetView>
  </sheetViews>
  <sheetFormatPr defaultRowHeight="15" x14ac:dyDescent="0.25"/>
  <cols>
    <col min="1" max="1" width="7.7109375" customWidth="1"/>
    <col min="2" max="2" width="53.42578125" customWidth="1"/>
    <col min="3" max="3" width="32.140625" customWidth="1"/>
  </cols>
  <sheetData>
    <row r="1" spans="1:3" x14ac:dyDescent="0.25">
      <c r="A1" s="491" t="s">
        <v>0</v>
      </c>
      <c r="B1" s="491"/>
      <c r="C1" s="491"/>
    </row>
    <row r="2" spans="1:3" x14ac:dyDescent="0.25">
      <c r="A2" s="491"/>
      <c r="B2" s="491"/>
      <c r="C2" s="491"/>
    </row>
    <row r="3" spans="1:3" ht="34.5" customHeight="1" x14ac:dyDescent="0.25">
      <c r="A3" s="495" t="str">
        <f>BDI!B2</f>
        <v>OBJETO: SERVIÇOS DE MONTAGEM E DESMONTAGEM DE ESTRUTURA, SOM E ILUMINAÇÃO INCLUINDO FORNECIMENTO, INSTALAÇÃO E MANUTENÇÃO; E  SERVIÇOS DE CAPTAÇÃO E TRANSMISSÃO DE IMAGENS - SÃO JOÃO 2026</v>
      </c>
      <c r="B3" s="495"/>
      <c r="C3" s="495"/>
    </row>
    <row r="4" spans="1:3" x14ac:dyDescent="0.25">
      <c r="A4" s="2" t="s">
        <v>1</v>
      </c>
      <c r="B4" s="3" t="s">
        <v>2</v>
      </c>
      <c r="C4" s="4" t="s">
        <v>3</v>
      </c>
    </row>
    <row r="5" spans="1:3" x14ac:dyDescent="0.25">
      <c r="A5" s="5" t="s">
        <v>245</v>
      </c>
      <c r="B5" s="6" t="str">
        <f>VLOOKUP(A5,'Anexo A'!B:I,3,0)</f>
        <v>PALCO PRINCIPAL</v>
      </c>
      <c r="C5" s="7">
        <f>VLOOKUP(A5,'Anexo A'!B:I,8,0)</f>
        <v>0</v>
      </c>
    </row>
    <row r="6" spans="1:3" x14ac:dyDescent="0.25">
      <c r="A6" s="5" t="s">
        <v>332</v>
      </c>
      <c r="B6" s="6" t="str">
        <f>VLOOKUP(A6,'Anexo A'!B:I,3,0)</f>
        <v>ESTAÇÃO FERROVIÁRIA</v>
      </c>
      <c r="C6" s="7">
        <f>VLOOKUP(A6,'Anexo A'!B:I,8,0)</f>
        <v>0</v>
      </c>
    </row>
    <row r="7" spans="1:3" x14ac:dyDescent="0.25">
      <c r="A7" s="5" t="s">
        <v>1002</v>
      </c>
      <c r="B7" s="6" t="str">
        <f>VLOOKUP(A7,'Anexo A'!B:I,3,0)</f>
        <v>ALTO DO MOURA</v>
      </c>
      <c r="C7" s="7">
        <f>VLOOKUP(A7,'Anexo A'!B:I,8,0)</f>
        <v>0</v>
      </c>
    </row>
    <row r="8" spans="1:3" x14ac:dyDescent="0.25">
      <c r="A8" s="5" t="s">
        <v>1011</v>
      </c>
      <c r="B8" s="6" t="str">
        <f>VLOOKUP(A8,'Anexo A'!B:I,3,0)</f>
        <v>ILUMINAÇÃO CENICA E DE SERVIÇO</v>
      </c>
      <c r="C8" s="7">
        <f>VLOOKUP(A8,'Anexo A'!B:I,8,0)</f>
        <v>0</v>
      </c>
    </row>
    <row r="9" spans="1:3" x14ac:dyDescent="0.25">
      <c r="A9" s="5" t="s">
        <v>1039</v>
      </c>
      <c r="B9" s="6" t="str">
        <f>VLOOKUP(A9,'Anexo A'!B:I,3,0)</f>
        <v>PAINEL DE LED E DELAYS</v>
      </c>
      <c r="C9" s="7">
        <f>VLOOKUP(A9,'Anexo A'!B:I,8,0)</f>
        <v>0</v>
      </c>
    </row>
    <row r="10" spans="1:3" x14ac:dyDescent="0.25">
      <c r="A10" s="5" t="s">
        <v>1569</v>
      </c>
      <c r="B10" s="6" t="str">
        <f>VLOOKUP(A10,'Anexo A'!B:I,3,0)</f>
        <v>SERVIÇOS DE CAPTAÇÃO E TRANSMISSÃO DE IMAGENS</v>
      </c>
      <c r="C10" s="7">
        <f>VLOOKUP(A10,'Anexo A'!B:I,8,0)</f>
        <v>0</v>
      </c>
    </row>
    <row r="11" spans="1:3" x14ac:dyDescent="0.25">
      <c r="A11" s="5" t="s">
        <v>2139</v>
      </c>
      <c r="B11" s="6" t="str">
        <f>VLOOKUP(A11,'Anexo A'!B:I,3,0)</f>
        <v>MANUTENÇÃO CIVIL</v>
      </c>
      <c r="C11" s="7">
        <f>VLOOKUP(A11,'Anexo A'!B:I,8,0)</f>
        <v>0</v>
      </c>
    </row>
    <row r="12" spans="1:3" x14ac:dyDescent="0.25">
      <c r="A12" s="1"/>
      <c r="B12" s="1"/>
      <c r="C12" s="1"/>
    </row>
    <row r="13" spans="1:3" x14ac:dyDescent="0.25">
      <c r="A13" s="8"/>
      <c r="B13" s="9" t="s">
        <v>8</v>
      </c>
      <c r="C13" s="10">
        <f>SUM(C5:C12)</f>
        <v>0</v>
      </c>
    </row>
    <row r="14" spans="1:3" x14ac:dyDescent="0.25">
      <c r="A14" s="1"/>
      <c r="B14" s="1"/>
      <c r="C14" s="1"/>
    </row>
  </sheetData>
  <mergeCells count="2">
    <mergeCell ref="A1:C2"/>
    <mergeCell ref="A3:C3"/>
  </mergeCells>
  <pageMargins left="0.511811024" right="0.511811024" top="0.78740157499999996" bottom="0.78740157499999996" header="0.31496062000000002" footer="0.31496062000000002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2:L317"/>
  <sheetViews>
    <sheetView view="pageBreakPreview" zoomScale="60" zoomScaleNormal="100" workbookViewId="0">
      <pane ySplit="7" topLeftCell="A74" activePane="bottomLeft" state="frozen"/>
      <selection pane="bottomLeft" activeCell="O102" sqref="O102"/>
    </sheetView>
  </sheetViews>
  <sheetFormatPr defaultRowHeight="15" x14ac:dyDescent="0.25"/>
  <cols>
    <col min="1" max="1" width="2" style="316" customWidth="1"/>
    <col min="2" max="2" width="12" style="317" customWidth="1"/>
    <col min="3" max="3" width="79.7109375" style="316" customWidth="1"/>
    <col min="4" max="4" width="13.28515625" style="318" customWidth="1"/>
    <col min="5" max="5" width="17.28515625" style="319" customWidth="1"/>
    <col min="6" max="6" width="18.28515625" style="320" customWidth="1"/>
    <col min="7" max="7" width="17.28515625" style="321" customWidth="1"/>
    <col min="8" max="8" width="17.28515625" style="322" customWidth="1"/>
    <col min="9" max="9" width="17.28515625" style="319" customWidth="1"/>
    <col min="10" max="10" width="21.5703125" style="319" customWidth="1"/>
    <col min="11" max="11" width="17.28515625" style="319" customWidth="1"/>
    <col min="12" max="12" width="1" style="323" customWidth="1"/>
  </cols>
  <sheetData>
    <row r="2" spans="1:12" ht="18" x14ac:dyDescent="0.25">
      <c r="A2" s="324"/>
      <c r="B2" s="325"/>
      <c r="C2" s="326" t="s">
        <v>1856</v>
      </c>
      <c r="D2" s="327"/>
      <c r="E2" s="328"/>
      <c r="F2" s="329"/>
      <c r="G2" s="330"/>
      <c r="H2" s="331"/>
      <c r="I2" s="332"/>
      <c r="J2" s="332"/>
      <c r="K2" s="332"/>
      <c r="L2" s="333"/>
    </row>
    <row r="3" spans="1:12" ht="15.75" x14ac:dyDescent="0.25">
      <c r="A3" s="324"/>
      <c r="B3" s="496" t="str">
        <f>[1]DADOS!G37</f>
        <v>OBJETO</v>
      </c>
      <c r="C3" s="497"/>
      <c r="D3" s="497"/>
      <c r="E3" s="497"/>
      <c r="F3" s="498"/>
      <c r="G3" s="499" t="str">
        <f>[1]DADOS!K31</f>
        <v>LOCALIDADE / ENDEREÇO</v>
      </c>
      <c r="H3" s="500"/>
      <c r="I3" s="500"/>
      <c r="J3" s="500"/>
      <c r="K3" s="501"/>
      <c r="L3" s="334"/>
    </row>
    <row r="4" spans="1:12" ht="15.75" x14ac:dyDescent="0.25">
      <c r="A4" s="324"/>
      <c r="B4" s="502" t="str">
        <f>[1]DADOS!G38</f>
        <v>PISTA DE MOTOCROSS</v>
      </c>
      <c r="C4" s="503"/>
      <c r="D4" s="503"/>
      <c r="E4" s="503"/>
      <c r="F4" s="504"/>
      <c r="G4" s="505" t="str">
        <f>[1]DADOS!K32</f>
        <v>GONÇALVES FERREIRA</v>
      </c>
      <c r="H4" s="506"/>
      <c r="I4" s="506"/>
      <c r="J4" s="506"/>
      <c r="K4" s="507"/>
      <c r="L4" s="335"/>
    </row>
    <row r="5" spans="1:12" ht="15.75" x14ac:dyDescent="0.25">
      <c r="A5" s="324"/>
      <c r="B5" s="336"/>
      <c r="C5" s="337"/>
      <c r="D5" s="338"/>
      <c r="E5" s="339"/>
      <c r="F5" s="339"/>
      <c r="G5" s="339"/>
      <c r="H5" s="339"/>
      <c r="I5" s="339"/>
      <c r="J5" s="339"/>
      <c r="K5" s="339"/>
      <c r="L5" s="340"/>
    </row>
    <row r="6" spans="1:12" ht="15.75" x14ac:dyDescent="0.25">
      <c r="B6" s="508" t="s">
        <v>1</v>
      </c>
      <c r="C6" s="508" t="s">
        <v>2</v>
      </c>
      <c r="D6" s="508" t="s">
        <v>1323</v>
      </c>
      <c r="E6" s="509" t="s">
        <v>1857</v>
      </c>
      <c r="F6" s="510"/>
      <c r="G6" s="510"/>
      <c r="H6" s="510"/>
      <c r="I6" s="510"/>
      <c r="J6" s="510"/>
      <c r="K6" s="511"/>
      <c r="L6" s="341"/>
    </row>
    <row r="7" spans="1:12" ht="15.75" x14ac:dyDescent="0.25">
      <c r="B7" s="508"/>
      <c r="C7" s="508"/>
      <c r="D7" s="508"/>
      <c r="E7" s="342" t="s">
        <v>1858</v>
      </c>
      <c r="F7" s="342" t="s">
        <v>1859</v>
      </c>
      <c r="G7" s="343" t="s">
        <v>1860</v>
      </c>
      <c r="H7" s="343" t="s">
        <v>1861</v>
      </c>
      <c r="I7" s="342" t="s">
        <v>1862</v>
      </c>
      <c r="J7" s="342" t="s">
        <v>1863</v>
      </c>
      <c r="K7" s="342" t="s">
        <v>8</v>
      </c>
      <c r="L7" s="341"/>
    </row>
    <row r="8" spans="1:12" ht="15.75" x14ac:dyDescent="0.25">
      <c r="B8" s="344" t="str">
        <f>'Anexo A'!B5</f>
        <v>1.</v>
      </c>
      <c r="C8" s="345" t="str">
        <f>'Anexo A'!D5</f>
        <v>PALCO PRINCIPAL</v>
      </c>
      <c r="D8" s="346"/>
      <c r="E8" s="347"/>
      <c r="F8" s="348"/>
      <c r="G8" s="348"/>
      <c r="H8" s="348"/>
      <c r="I8" s="348"/>
      <c r="J8" s="348"/>
      <c r="K8" s="348"/>
      <c r="L8" s="349"/>
    </row>
    <row r="9" spans="1:12" ht="15.75" x14ac:dyDescent="0.25">
      <c r="B9" s="364" t="str">
        <f>'Anexo A'!B12</f>
        <v>1.1.6</v>
      </c>
      <c r="C9" s="365" t="str">
        <f>'Anexo A'!D12</f>
        <v>PÓRTICOS</v>
      </c>
      <c r="D9" s="366"/>
      <c r="E9" s="367"/>
      <c r="F9" s="368"/>
      <c r="G9" s="368"/>
      <c r="H9" s="368"/>
      <c r="I9" s="368"/>
      <c r="J9" s="368"/>
      <c r="K9" s="368"/>
      <c r="L9" s="350"/>
    </row>
    <row r="10" spans="1:12" ht="15.75" x14ac:dyDescent="0.25">
      <c r="B10" s="351" t="str">
        <f>'Anexo A'!B13</f>
        <v>1.1.6.1</v>
      </c>
      <c r="C10" s="352" t="str">
        <f>'Anexo A'!D13</f>
        <v>26 PÓRTICO TIPO II - USO GERAL</v>
      </c>
      <c r="D10" s="353" t="str">
        <f>'Anexo A'!E13</f>
        <v>MÊS</v>
      </c>
      <c r="E10" s="354"/>
      <c r="F10" s="355"/>
      <c r="G10" s="354"/>
      <c r="H10" s="354"/>
      <c r="I10" s="354"/>
      <c r="J10" s="354"/>
      <c r="K10" s="356">
        <f>TRUNC(SUM(K11:K25),2)</f>
        <v>18</v>
      </c>
      <c r="L10" s="357"/>
    </row>
    <row r="11" spans="1:12" ht="15.75" x14ac:dyDescent="0.25">
      <c r="B11" s="358"/>
      <c r="C11" s="359" t="s">
        <v>1910</v>
      </c>
      <c r="D11" s="360"/>
      <c r="E11" s="361">
        <v>2</v>
      </c>
      <c r="F11" s="361"/>
      <c r="G11" s="361"/>
      <c r="H11" s="361"/>
      <c r="I11" s="361"/>
      <c r="J11" s="361"/>
      <c r="K11" s="362">
        <f t="shared" ref="K11:K13" si="0">PRODUCT(E11:J11)</f>
        <v>2</v>
      </c>
      <c r="L11" s="350"/>
    </row>
    <row r="12" spans="1:12" ht="15.75" x14ac:dyDescent="0.25">
      <c r="B12" s="358"/>
      <c r="C12" s="359" t="s">
        <v>1911</v>
      </c>
      <c r="D12" s="360"/>
      <c r="E12" s="361">
        <v>1</v>
      </c>
      <c r="F12" s="361"/>
      <c r="G12" s="361"/>
      <c r="H12" s="361"/>
      <c r="I12" s="361"/>
      <c r="J12" s="361"/>
      <c r="K12" s="362">
        <f t="shared" si="0"/>
        <v>1</v>
      </c>
      <c r="L12" s="350"/>
    </row>
    <row r="13" spans="1:12" ht="15.75" x14ac:dyDescent="0.25">
      <c r="B13" s="358"/>
      <c r="C13" s="359" t="s">
        <v>1874</v>
      </c>
      <c r="D13" s="360"/>
      <c r="E13" s="361">
        <v>1</v>
      </c>
      <c r="F13" s="361"/>
      <c r="G13" s="361"/>
      <c r="H13" s="361"/>
      <c r="I13" s="361"/>
      <c r="J13" s="361"/>
      <c r="K13" s="362">
        <f t="shared" si="0"/>
        <v>1</v>
      </c>
      <c r="L13" s="350"/>
    </row>
    <row r="14" spans="1:12" ht="15.75" x14ac:dyDescent="0.25">
      <c r="B14" s="358"/>
      <c r="C14" s="359" t="s">
        <v>1875</v>
      </c>
      <c r="D14" s="360"/>
      <c r="E14" s="361">
        <v>1</v>
      </c>
      <c r="F14" s="361"/>
      <c r="G14" s="361"/>
      <c r="H14" s="361"/>
      <c r="I14" s="361"/>
      <c r="J14" s="361"/>
      <c r="K14" s="362">
        <f t="shared" ref="K14:K17" si="1">PRODUCT(E14:J14)</f>
        <v>1</v>
      </c>
      <c r="L14" s="350"/>
    </row>
    <row r="15" spans="1:12" ht="15.75" x14ac:dyDescent="0.25">
      <c r="B15" s="358"/>
      <c r="C15" s="359" t="s">
        <v>1865</v>
      </c>
      <c r="D15" s="360"/>
      <c r="E15" s="361">
        <v>2</v>
      </c>
      <c r="F15" s="361"/>
      <c r="G15" s="361"/>
      <c r="H15" s="361"/>
      <c r="I15" s="361"/>
      <c r="J15" s="361"/>
      <c r="K15" s="362">
        <f t="shared" si="1"/>
        <v>2</v>
      </c>
      <c r="L15" s="350"/>
    </row>
    <row r="16" spans="1:12" ht="15.75" x14ac:dyDescent="0.25">
      <c r="B16" s="358"/>
      <c r="C16" s="359" t="s">
        <v>1866</v>
      </c>
      <c r="D16" s="360"/>
      <c r="E16" s="361">
        <v>2</v>
      </c>
      <c r="F16" s="361"/>
      <c r="G16" s="361"/>
      <c r="H16" s="361"/>
      <c r="I16" s="361"/>
      <c r="J16" s="361"/>
      <c r="K16" s="362">
        <f t="shared" si="1"/>
        <v>2</v>
      </c>
      <c r="L16" s="350"/>
    </row>
    <row r="17" spans="2:12" ht="15.75" x14ac:dyDescent="0.25">
      <c r="B17" s="358"/>
      <c r="C17" s="359" t="s">
        <v>1867</v>
      </c>
      <c r="D17" s="360"/>
      <c r="E17" s="361">
        <v>1</v>
      </c>
      <c r="F17" s="361"/>
      <c r="G17" s="361"/>
      <c r="H17" s="361"/>
      <c r="I17" s="361"/>
      <c r="J17" s="361"/>
      <c r="K17" s="362">
        <f t="shared" si="1"/>
        <v>1</v>
      </c>
      <c r="L17" s="350"/>
    </row>
    <row r="18" spans="2:12" ht="15.75" x14ac:dyDescent="0.25">
      <c r="B18" s="358"/>
      <c r="C18" s="359" t="s">
        <v>1868</v>
      </c>
      <c r="D18" s="360"/>
      <c r="E18" s="361">
        <v>1</v>
      </c>
      <c r="F18" s="361"/>
      <c r="G18" s="361"/>
      <c r="H18" s="361"/>
      <c r="I18" s="361"/>
      <c r="J18" s="361"/>
      <c r="K18" s="362">
        <f t="shared" ref="K18:K24" si="2">PRODUCT(E18:J18)</f>
        <v>1</v>
      </c>
      <c r="L18" s="350"/>
    </row>
    <row r="19" spans="2:12" ht="15.75" x14ac:dyDescent="0.25">
      <c r="B19" s="358"/>
      <c r="C19" s="359" t="s">
        <v>1869</v>
      </c>
      <c r="D19" s="360"/>
      <c r="E19" s="361">
        <v>1</v>
      </c>
      <c r="F19" s="361"/>
      <c r="G19" s="361"/>
      <c r="H19" s="361"/>
      <c r="I19" s="361"/>
      <c r="J19" s="361"/>
      <c r="K19" s="362">
        <f t="shared" si="2"/>
        <v>1</v>
      </c>
      <c r="L19" s="350"/>
    </row>
    <row r="20" spans="2:12" ht="15.75" x14ac:dyDescent="0.25">
      <c r="B20" s="358"/>
      <c r="C20" s="359" t="s">
        <v>1876</v>
      </c>
      <c r="D20" s="360"/>
      <c r="E20" s="361">
        <v>3</v>
      </c>
      <c r="F20" s="361"/>
      <c r="G20" s="361"/>
      <c r="H20" s="361"/>
      <c r="I20" s="361"/>
      <c r="J20" s="361"/>
      <c r="K20" s="362">
        <f t="shared" si="2"/>
        <v>3</v>
      </c>
      <c r="L20" s="350"/>
    </row>
    <row r="21" spans="2:12" ht="15.75" x14ac:dyDescent="0.25">
      <c r="B21" s="358"/>
      <c r="C21" s="359" t="s">
        <v>1870</v>
      </c>
      <c r="D21" s="360"/>
      <c r="E21" s="361">
        <v>1</v>
      </c>
      <c r="F21" s="361"/>
      <c r="G21" s="361"/>
      <c r="H21" s="361"/>
      <c r="I21" s="361"/>
      <c r="J21" s="361"/>
      <c r="K21" s="362">
        <f t="shared" si="2"/>
        <v>1</v>
      </c>
      <c r="L21" s="350"/>
    </row>
    <row r="22" spans="2:12" ht="15.75" x14ac:dyDescent="0.25">
      <c r="B22" s="358"/>
      <c r="C22" s="359" t="s">
        <v>1871</v>
      </c>
      <c r="D22" s="360"/>
      <c r="E22" s="361">
        <v>1</v>
      </c>
      <c r="F22" s="361"/>
      <c r="G22" s="361"/>
      <c r="H22" s="361"/>
      <c r="I22" s="361"/>
      <c r="J22" s="361"/>
      <c r="K22" s="362">
        <f t="shared" si="2"/>
        <v>1</v>
      </c>
      <c r="L22" s="350"/>
    </row>
    <row r="23" spans="2:12" ht="15.75" x14ac:dyDescent="0.25">
      <c r="B23" s="358"/>
      <c r="C23" s="359" t="s">
        <v>1872</v>
      </c>
      <c r="D23" s="360"/>
      <c r="E23" s="361">
        <v>1</v>
      </c>
      <c r="F23" s="361"/>
      <c r="G23" s="361"/>
      <c r="H23" s="361"/>
      <c r="I23" s="361"/>
      <c r="J23" s="361"/>
      <c r="K23" s="362">
        <f t="shared" si="2"/>
        <v>1</v>
      </c>
      <c r="L23" s="350"/>
    </row>
    <row r="24" spans="2:12" ht="15.75" x14ac:dyDescent="0.25">
      <c r="B24" s="358"/>
      <c r="C24" s="359"/>
      <c r="D24" s="360"/>
      <c r="E24" s="361"/>
      <c r="F24" s="361"/>
      <c r="G24" s="361"/>
      <c r="H24" s="361"/>
      <c r="I24" s="361"/>
      <c r="J24" s="361"/>
      <c r="K24" s="362">
        <f t="shared" si="2"/>
        <v>0</v>
      </c>
      <c r="L24" s="350"/>
    </row>
    <row r="25" spans="2:12" ht="15.75" x14ac:dyDescent="0.25">
      <c r="B25" s="358"/>
      <c r="C25" s="359"/>
      <c r="D25" s="360"/>
      <c r="E25" s="361"/>
      <c r="F25" s="361"/>
      <c r="G25" s="361"/>
      <c r="H25" s="361"/>
      <c r="I25" s="361"/>
      <c r="J25" s="361"/>
      <c r="K25" s="362">
        <f t="shared" ref="K25" si="3">PRODUCT(E25:J25)</f>
        <v>0</v>
      </c>
      <c r="L25" s="350"/>
    </row>
    <row r="26" spans="2:12" ht="15.75" x14ac:dyDescent="0.25">
      <c r="B26" s="364" t="str">
        <f>'Anexo A'!B20</f>
        <v>1.1.9</v>
      </c>
      <c r="C26" s="365" t="str">
        <f>'Anexo A'!D20</f>
        <v>FECHAMENTOS/DISCIPLINADORES/BARRICADAS</v>
      </c>
      <c r="D26" s="366"/>
      <c r="E26" s="367"/>
      <c r="F26" s="368"/>
      <c r="G26" s="368"/>
      <c r="H26" s="368"/>
      <c r="I26" s="368"/>
      <c r="J26" s="368"/>
      <c r="K26" s="368"/>
      <c r="L26" s="350"/>
    </row>
    <row r="27" spans="2:12" ht="15.75" x14ac:dyDescent="0.25">
      <c r="B27" s="351" t="str">
        <f>'Anexo A'!B21</f>
        <v>1.1.9.1</v>
      </c>
      <c r="C27" s="352" t="str">
        <f>'Anexo A'!D21</f>
        <v>1.720 METROS LINEARES DE FECHAMENTO</v>
      </c>
      <c r="D27" s="353" t="str">
        <f>'Anexo A'!E21</f>
        <v>MÊS</v>
      </c>
      <c r="E27" s="354"/>
      <c r="F27" s="355"/>
      <c r="G27" s="354"/>
      <c r="H27" s="354"/>
      <c r="I27" s="354"/>
      <c r="J27" s="354"/>
      <c r="K27" s="356">
        <f>TRUNC(SUM(K28:K38),2)</f>
        <v>512.66999999999996</v>
      </c>
      <c r="L27" s="357"/>
    </row>
    <row r="28" spans="2:12" ht="15.75" x14ac:dyDescent="0.25">
      <c r="B28" s="358"/>
      <c r="C28" s="359" t="s">
        <v>1881</v>
      </c>
      <c r="D28" s="360"/>
      <c r="E28" s="361"/>
      <c r="F28" s="361">
        <f>41.23</f>
        <v>41.23</v>
      </c>
      <c r="G28" s="361"/>
      <c r="H28" s="361"/>
      <c r="I28" s="361"/>
      <c r="J28" s="361"/>
      <c r="K28" s="362">
        <f t="shared" ref="K28:K38" si="4">PRODUCT(E28:J28)</f>
        <v>41.23</v>
      </c>
      <c r="L28" s="350"/>
    </row>
    <row r="29" spans="2:12" ht="15.75" x14ac:dyDescent="0.25">
      <c r="B29" s="358"/>
      <c r="C29" s="359" t="s">
        <v>1882</v>
      </c>
      <c r="D29" s="360"/>
      <c r="E29" s="361"/>
      <c r="F29" s="361">
        <f>72.75+131.36+10.24+11.93+8.46+10.04</f>
        <v>244.78000000000003</v>
      </c>
      <c r="G29" s="361"/>
      <c r="H29" s="361"/>
      <c r="I29" s="361"/>
      <c r="J29" s="361"/>
      <c r="K29" s="362">
        <f t="shared" ref="K29:K36" si="5">PRODUCT(E29:J29)</f>
        <v>244.78000000000003</v>
      </c>
      <c r="L29" s="350"/>
    </row>
    <row r="30" spans="2:12" ht="15.75" x14ac:dyDescent="0.25">
      <c r="B30" s="358"/>
      <c r="C30" s="359" t="s">
        <v>1884</v>
      </c>
      <c r="D30" s="360"/>
      <c r="E30" s="361"/>
      <c r="F30" s="361">
        <f>9.92+9.99+9.98+23.76</f>
        <v>53.650000000000006</v>
      </c>
      <c r="G30" s="361"/>
      <c r="H30" s="361"/>
      <c r="I30" s="361"/>
      <c r="J30" s="361"/>
      <c r="K30" s="362">
        <f t="shared" si="5"/>
        <v>53.650000000000006</v>
      </c>
      <c r="L30" s="350"/>
    </row>
    <row r="31" spans="2:12" ht="15.75" x14ac:dyDescent="0.25">
      <c r="B31" s="358"/>
      <c r="C31" s="359" t="s">
        <v>1888</v>
      </c>
      <c r="D31" s="360"/>
      <c r="E31" s="361"/>
      <c r="F31" s="361">
        <f>20.43</f>
        <v>20.43</v>
      </c>
      <c r="G31" s="361"/>
      <c r="H31" s="361"/>
      <c r="I31" s="361"/>
      <c r="J31" s="361"/>
      <c r="K31" s="362">
        <f t="shared" si="5"/>
        <v>20.43</v>
      </c>
      <c r="L31" s="350"/>
    </row>
    <row r="32" spans="2:12" ht="15.75" x14ac:dyDescent="0.25">
      <c r="B32" s="358"/>
      <c r="C32" s="359" t="s">
        <v>1887</v>
      </c>
      <c r="D32" s="360"/>
      <c r="E32" s="361"/>
      <c r="F32" s="361">
        <f>33.42+19.37</f>
        <v>52.790000000000006</v>
      </c>
      <c r="G32" s="361"/>
      <c r="H32" s="361"/>
      <c r="I32" s="361"/>
      <c r="J32" s="361"/>
      <c r="K32" s="362">
        <f t="shared" si="5"/>
        <v>52.790000000000006</v>
      </c>
      <c r="L32" s="350"/>
    </row>
    <row r="33" spans="2:12" ht="15.75" x14ac:dyDescent="0.25">
      <c r="B33" s="358"/>
      <c r="C33" s="359" t="s">
        <v>1875</v>
      </c>
      <c r="D33" s="360"/>
      <c r="E33" s="361"/>
      <c r="F33" s="361">
        <v>9.25</v>
      </c>
      <c r="G33" s="361"/>
      <c r="H33" s="361"/>
      <c r="I33" s="361"/>
      <c r="J33" s="361"/>
      <c r="K33" s="362">
        <f t="shared" si="5"/>
        <v>9.25</v>
      </c>
      <c r="L33" s="350"/>
    </row>
    <row r="34" spans="2:12" ht="15.75" x14ac:dyDescent="0.25">
      <c r="B34" s="358"/>
      <c r="C34" s="359" t="s">
        <v>1951</v>
      </c>
      <c r="D34" s="360"/>
      <c r="E34" s="361"/>
      <c r="F34" s="361">
        <f>21.45+52.78+16.31</f>
        <v>90.54</v>
      </c>
      <c r="G34" s="361"/>
      <c r="H34" s="361"/>
      <c r="I34" s="361"/>
      <c r="J34" s="361"/>
      <c r="K34" s="362">
        <f t="shared" si="5"/>
        <v>90.54</v>
      </c>
      <c r="L34" s="350"/>
    </row>
    <row r="35" spans="2:12" ht="15.75" x14ac:dyDescent="0.25">
      <c r="B35" s="358"/>
      <c r="C35" s="359"/>
      <c r="D35" s="360"/>
      <c r="E35" s="361"/>
      <c r="F35" s="361"/>
      <c r="G35" s="361"/>
      <c r="H35" s="361"/>
      <c r="I35" s="361"/>
      <c r="J35" s="361"/>
      <c r="K35" s="362">
        <f t="shared" si="5"/>
        <v>0</v>
      </c>
      <c r="L35" s="350"/>
    </row>
    <row r="36" spans="2:12" ht="15.75" x14ac:dyDescent="0.25">
      <c r="B36" s="358"/>
      <c r="C36" s="359"/>
      <c r="D36" s="360"/>
      <c r="E36" s="361"/>
      <c r="F36" s="361"/>
      <c r="G36" s="361"/>
      <c r="H36" s="361"/>
      <c r="I36" s="361"/>
      <c r="J36" s="361"/>
      <c r="K36" s="362">
        <f t="shared" si="5"/>
        <v>0</v>
      </c>
      <c r="L36" s="350"/>
    </row>
    <row r="37" spans="2:12" ht="15.75" x14ac:dyDescent="0.25">
      <c r="B37" s="358"/>
      <c r="C37" s="359"/>
      <c r="D37" s="360"/>
      <c r="E37" s="361"/>
      <c r="F37" s="361"/>
      <c r="G37" s="361"/>
      <c r="H37" s="361"/>
      <c r="I37" s="361"/>
      <c r="J37" s="361"/>
      <c r="K37" s="362">
        <f t="shared" si="4"/>
        <v>0</v>
      </c>
      <c r="L37" s="350"/>
    </row>
    <row r="38" spans="2:12" ht="15.75" x14ac:dyDescent="0.25">
      <c r="B38" s="358"/>
      <c r="C38" s="359"/>
      <c r="D38" s="360"/>
      <c r="E38" s="361"/>
      <c r="F38" s="361"/>
      <c r="G38" s="361"/>
      <c r="H38" s="361"/>
      <c r="I38" s="361"/>
      <c r="J38" s="361"/>
      <c r="K38" s="362">
        <f t="shared" si="4"/>
        <v>0</v>
      </c>
      <c r="L38" s="350"/>
    </row>
    <row r="39" spans="2:12" ht="15.75" x14ac:dyDescent="0.25">
      <c r="B39" s="351" t="str">
        <f>'Anexo A'!B22</f>
        <v>1.1.9.2</v>
      </c>
      <c r="C39" s="352" t="str">
        <f>'Anexo A'!D22</f>
        <v>1040 METROS LINEARES DE DISCIPLINADORES</v>
      </c>
      <c r="D39" s="353" t="str">
        <f>'Anexo A'!E22</f>
        <v>MÊS</v>
      </c>
      <c r="E39" s="354"/>
      <c r="F39" s="355"/>
      <c r="G39" s="354"/>
      <c r="H39" s="354"/>
      <c r="I39" s="354"/>
      <c r="J39" s="354"/>
      <c r="K39" s="356">
        <f>TRUNC(SUM(K40:K49),2)</f>
        <v>430.81</v>
      </c>
      <c r="L39" s="350"/>
    </row>
    <row r="40" spans="2:12" ht="15.75" x14ac:dyDescent="0.25">
      <c r="B40" s="358"/>
      <c r="C40" s="359" t="s">
        <v>1883</v>
      </c>
      <c r="D40" s="360"/>
      <c r="E40" s="361"/>
      <c r="F40" s="361">
        <v>82.01</v>
      </c>
      <c r="G40" s="361"/>
      <c r="H40" s="361"/>
      <c r="I40" s="361"/>
      <c r="J40" s="361"/>
      <c r="K40" s="362">
        <f t="shared" ref="K40:K46" si="6">PRODUCT(E40:J40)</f>
        <v>82.01</v>
      </c>
      <c r="L40" s="350"/>
    </row>
    <row r="41" spans="2:12" ht="15.75" x14ac:dyDescent="0.25">
      <c r="B41" s="358"/>
      <c r="C41" s="359" t="s">
        <v>1884</v>
      </c>
      <c r="D41" s="360"/>
      <c r="E41" s="361"/>
      <c r="F41" s="361">
        <f>23.97+29.97</f>
        <v>53.94</v>
      </c>
      <c r="G41" s="361"/>
      <c r="H41" s="361"/>
      <c r="I41" s="361"/>
      <c r="J41" s="361"/>
      <c r="K41" s="362">
        <f t="shared" si="6"/>
        <v>53.94</v>
      </c>
      <c r="L41" s="350"/>
    </row>
    <row r="42" spans="2:12" ht="15.75" x14ac:dyDescent="0.25">
      <c r="B42" s="358"/>
      <c r="C42" s="359" t="s">
        <v>1885</v>
      </c>
      <c r="D42" s="360"/>
      <c r="E42" s="361"/>
      <c r="F42" s="361">
        <v>61.98</v>
      </c>
      <c r="G42" s="361"/>
      <c r="H42" s="361"/>
      <c r="I42" s="361"/>
      <c r="J42" s="361"/>
      <c r="K42" s="362">
        <f t="shared" si="6"/>
        <v>61.98</v>
      </c>
      <c r="L42" s="350"/>
    </row>
    <row r="43" spans="2:12" ht="15.75" x14ac:dyDescent="0.25">
      <c r="B43" s="358"/>
      <c r="C43" s="359" t="s">
        <v>1886</v>
      </c>
      <c r="D43" s="360"/>
      <c r="E43" s="361"/>
      <c r="F43" s="361">
        <f>26+22+32.4+3.98+2</f>
        <v>86.38000000000001</v>
      </c>
      <c r="G43" s="361"/>
      <c r="H43" s="361"/>
      <c r="I43" s="361"/>
      <c r="J43" s="361"/>
      <c r="K43" s="362">
        <f t="shared" si="6"/>
        <v>86.38000000000001</v>
      </c>
      <c r="L43" s="350"/>
    </row>
    <row r="44" spans="2:12" ht="15.75" x14ac:dyDescent="0.25">
      <c r="B44" s="358"/>
      <c r="C44" s="359" t="s">
        <v>1887</v>
      </c>
      <c r="D44" s="360"/>
      <c r="E44" s="361"/>
      <c r="F44" s="361">
        <f>8.5+6+62</f>
        <v>76.5</v>
      </c>
      <c r="G44" s="361"/>
      <c r="H44" s="361"/>
      <c r="I44" s="361"/>
      <c r="J44" s="361"/>
      <c r="K44" s="362">
        <f t="shared" si="6"/>
        <v>76.5</v>
      </c>
      <c r="L44" s="350"/>
    </row>
    <row r="45" spans="2:12" ht="15.75" x14ac:dyDescent="0.25">
      <c r="B45" s="358"/>
      <c r="C45" s="359" t="s">
        <v>1889</v>
      </c>
      <c r="D45" s="360"/>
      <c r="E45" s="361"/>
      <c r="F45" s="361">
        <f>15*2</f>
        <v>30</v>
      </c>
      <c r="G45" s="361"/>
      <c r="H45" s="361"/>
      <c r="I45" s="361"/>
      <c r="J45" s="361"/>
      <c r="K45" s="362">
        <f t="shared" si="6"/>
        <v>30</v>
      </c>
      <c r="L45" s="350"/>
    </row>
    <row r="46" spans="2:12" ht="15.75" x14ac:dyDescent="0.25">
      <c r="B46" s="358"/>
      <c r="C46" s="359" t="s">
        <v>1920</v>
      </c>
      <c r="D46" s="360"/>
      <c r="E46" s="361">
        <v>10</v>
      </c>
      <c r="F46" s="361">
        <v>4</v>
      </c>
      <c r="G46" s="361"/>
      <c r="H46" s="361"/>
      <c r="I46" s="361"/>
      <c r="J46" s="361"/>
      <c r="K46" s="362">
        <f t="shared" si="6"/>
        <v>40</v>
      </c>
      <c r="L46" s="350"/>
    </row>
    <row r="47" spans="2:12" ht="15.75" x14ac:dyDescent="0.25">
      <c r="B47" s="358"/>
      <c r="C47" s="359"/>
      <c r="D47" s="360"/>
      <c r="E47" s="361"/>
      <c r="F47" s="361"/>
      <c r="G47" s="361"/>
      <c r="H47" s="361"/>
      <c r="I47" s="361"/>
      <c r="J47" s="361"/>
      <c r="K47" s="362">
        <f t="shared" ref="K47:K49" si="7">PRODUCT(E47:J47)</f>
        <v>0</v>
      </c>
      <c r="L47" s="350"/>
    </row>
    <row r="48" spans="2:12" ht="15.75" x14ac:dyDescent="0.25">
      <c r="B48" s="358"/>
      <c r="C48" s="359"/>
      <c r="D48" s="360"/>
      <c r="E48" s="361"/>
      <c r="F48" s="361"/>
      <c r="G48" s="361"/>
      <c r="H48" s="361"/>
      <c r="I48" s="361"/>
      <c r="J48" s="361"/>
      <c r="K48" s="362">
        <f t="shared" si="7"/>
        <v>0</v>
      </c>
      <c r="L48" s="350"/>
    </row>
    <row r="49" spans="2:12" ht="15.75" x14ac:dyDescent="0.25">
      <c r="B49" s="358"/>
      <c r="C49" s="359"/>
      <c r="D49" s="360"/>
      <c r="E49" s="361"/>
      <c r="F49" s="361"/>
      <c r="G49" s="361"/>
      <c r="H49" s="361"/>
      <c r="I49" s="361"/>
      <c r="J49" s="361"/>
      <c r="K49" s="362">
        <f t="shared" si="7"/>
        <v>0</v>
      </c>
      <c r="L49" s="350"/>
    </row>
    <row r="50" spans="2:12" ht="15.75" x14ac:dyDescent="0.25">
      <c r="B50" s="351" t="str">
        <f>'Anexo A'!B23</f>
        <v>1.1.9.3</v>
      </c>
      <c r="C50" s="352" t="str">
        <f>'Anexo A'!D23</f>
        <v>550 METROS LINEARES DE BARRICADAS</v>
      </c>
      <c r="D50" s="353" t="str">
        <f>'Anexo A'!E23</f>
        <v>MÊS</v>
      </c>
      <c r="E50" s="354"/>
      <c r="F50" s="355"/>
      <c r="G50" s="354"/>
      <c r="H50" s="354"/>
      <c r="I50" s="354"/>
      <c r="J50" s="354"/>
      <c r="K50" s="356">
        <f>TRUNC(SUM(K51:K54),2)</f>
        <v>241</v>
      </c>
      <c r="L50" s="350"/>
    </row>
    <row r="51" spans="2:12" ht="15.75" x14ac:dyDescent="0.25">
      <c r="B51" s="358"/>
      <c r="C51" s="359" t="s">
        <v>1889</v>
      </c>
      <c r="D51" s="360"/>
      <c r="E51" s="361"/>
      <c r="F51" s="361">
        <f>22+6+6+11+41+11+6+6+7+38+10+10+34+8+14+11</f>
        <v>241</v>
      </c>
      <c r="G51" s="361"/>
      <c r="H51" s="361"/>
      <c r="I51" s="361"/>
      <c r="J51" s="361"/>
      <c r="K51" s="362">
        <f t="shared" ref="K51:K54" si="8">PRODUCT(E51:J51)</f>
        <v>241</v>
      </c>
      <c r="L51" s="350"/>
    </row>
    <row r="52" spans="2:12" ht="15.75" x14ac:dyDescent="0.25">
      <c r="B52" s="358"/>
      <c r="C52" s="359"/>
      <c r="D52" s="360"/>
      <c r="E52" s="361"/>
      <c r="F52" s="361"/>
      <c r="G52" s="361"/>
      <c r="H52" s="361"/>
      <c r="I52" s="361"/>
      <c r="J52" s="361"/>
      <c r="K52" s="362">
        <f t="shared" si="8"/>
        <v>0</v>
      </c>
      <c r="L52" s="350"/>
    </row>
    <row r="53" spans="2:12" ht="15.75" x14ac:dyDescent="0.25">
      <c r="B53" s="358"/>
      <c r="C53" s="359"/>
      <c r="D53" s="360"/>
      <c r="E53" s="361"/>
      <c r="F53" s="361"/>
      <c r="G53" s="361"/>
      <c r="H53" s="361"/>
      <c r="I53" s="361"/>
      <c r="J53" s="361"/>
      <c r="K53" s="362">
        <f t="shared" si="8"/>
        <v>0</v>
      </c>
      <c r="L53" s="350"/>
    </row>
    <row r="54" spans="2:12" ht="15.75" x14ac:dyDescent="0.25">
      <c r="B54" s="358"/>
      <c r="C54" s="359"/>
      <c r="D54" s="360"/>
      <c r="E54" s="361"/>
      <c r="F54" s="361"/>
      <c r="G54" s="361"/>
      <c r="H54" s="361"/>
      <c r="I54" s="361"/>
      <c r="J54" s="361"/>
      <c r="K54" s="362">
        <f t="shared" si="8"/>
        <v>0</v>
      </c>
      <c r="L54" s="350"/>
    </row>
    <row r="55" spans="2:12" ht="15.75" x14ac:dyDescent="0.25">
      <c r="B55" s="364" t="str">
        <f>'Anexo A'!B24</f>
        <v>1.1.10</v>
      </c>
      <c r="C55" s="365" t="str">
        <f>'Anexo A'!D24</f>
        <v>BARRACAS</v>
      </c>
      <c r="D55" s="366"/>
      <c r="E55" s="367"/>
      <c r="F55" s="368"/>
      <c r="G55" s="368"/>
      <c r="H55" s="368"/>
      <c r="I55" s="368"/>
      <c r="J55" s="368"/>
      <c r="K55" s="368"/>
      <c r="L55" s="350"/>
    </row>
    <row r="56" spans="2:12" ht="15.75" x14ac:dyDescent="0.25">
      <c r="B56" s="351" t="str">
        <f>'Anexo A'!B25</f>
        <v>1.1.10.1</v>
      </c>
      <c r="C56" s="352" t="str">
        <f>'Anexo A'!D25</f>
        <v>99 BARRACAS - 2,00m x 2,00m</v>
      </c>
      <c r="D56" s="353" t="str">
        <f>'Anexo A'!E25</f>
        <v>MÊS</v>
      </c>
      <c r="E56" s="354"/>
      <c r="F56" s="355"/>
      <c r="G56" s="354"/>
      <c r="H56" s="354"/>
      <c r="I56" s="354"/>
      <c r="J56" s="354"/>
      <c r="K56" s="356">
        <f>TRUNC(SUM(K57:K59),2)</f>
        <v>99</v>
      </c>
      <c r="L56" s="350"/>
    </row>
    <row r="57" spans="2:12" ht="15.75" x14ac:dyDescent="0.25">
      <c r="B57" s="358"/>
      <c r="C57" s="359" t="s">
        <v>1891</v>
      </c>
      <c r="D57" s="360"/>
      <c r="E57" s="361">
        <v>99</v>
      </c>
      <c r="F57" s="361"/>
      <c r="G57" s="361"/>
      <c r="H57" s="361"/>
      <c r="I57" s="361"/>
      <c r="J57" s="361"/>
      <c r="K57" s="362">
        <f t="shared" ref="K57:K59" si="9">PRODUCT(E57:J57)</f>
        <v>99</v>
      </c>
      <c r="L57" s="350"/>
    </row>
    <row r="58" spans="2:12" ht="15.75" x14ac:dyDescent="0.25">
      <c r="B58" s="358"/>
      <c r="C58" s="359"/>
      <c r="D58" s="360"/>
      <c r="E58" s="361"/>
      <c r="F58" s="361"/>
      <c r="G58" s="361"/>
      <c r="H58" s="361"/>
      <c r="I58" s="361"/>
      <c r="J58" s="361"/>
      <c r="K58" s="362">
        <f t="shared" si="9"/>
        <v>0</v>
      </c>
      <c r="L58" s="350"/>
    </row>
    <row r="59" spans="2:12" ht="15.75" x14ac:dyDescent="0.25">
      <c r="B59" s="358"/>
      <c r="C59" s="359"/>
      <c r="D59" s="360"/>
      <c r="E59" s="361"/>
      <c r="F59" s="361"/>
      <c r="G59" s="361"/>
      <c r="H59" s="361"/>
      <c r="I59" s="361"/>
      <c r="J59" s="361"/>
      <c r="K59" s="362">
        <f t="shared" si="9"/>
        <v>0</v>
      </c>
      <c r="L59" s="350"/>
    </row>
    <row r="60" spans="2:12" ht="15.75" x14ac:dyDescent="0.25">
      <c r="B60" s="351" t="str">
        <f>'Anexo A'!B26</f>
        <v>1.1.10.2</v>
      </c>
      <c r="C60" s="352" t="str">
        <f>'Anexo A'!D26</f>
        <v>10 BARRACAS - 5,00m x 2,00m</v>
      </c>
      <c r="D60" s="353" t="str">
        <f>'Anexo A'!E26</f>
        <v>MÊS</v>
      </c>
      <c r="E60" s="354"/>
      <c r="F60" s="355"/>
      <c r="G60" s="354"/>
      <c r="H60" s="354"/>
      <c r="I60" s="354"/>
      <c r="J60" s="354"/>
      <c r="K60" s="356">
        <f>TRUNC(SUM(K61:K63),2)</f>
        <v>10</v>
      </c>
      <c r="L60" s="350"/>
    </row>
    <row r="61" spans="2:12" ht="15.75" x14ac:dyDescent="0.25">
      <c r="B61" s="358"/>
      <c r="C61" s="359" t="s">
        <v>1890</v>
      </c>
      <c r="D61" s="360"/>
      <c r="E61" s="361">
        <v>10</v>
      </c>
      <c r="F61" s="361"/>
      <c r="G61" s="361"/>
      <c r="H61" s="361"/>
      <c r="I61" s="361"/>
      <c r="J61" s="361"/>
      <c r="K61" s="362">
        <f t="shared" ref="K61:K63" si="10">PRODUCT(E61:J61)</f>
        <v>10</v>
      </c>
      <c r="L61" s="350"/>
    </row>
    <row r="62" spans="2:12" ht="15.75" x14ac:dyDescent="0.25">
      <c r="B62" s="358"/>
      <c r="C62" s="359"/>
      <c r="D62" s="360"/>
      <c r="E62" s="361"/>
      <c r="F62" s="361"/>
      <c r="G62" s="361"/>
      <c r="H62" s="361"/>
      <c r="I62" s="361"/>
      <c r="J62" s="361"/>
      <c r="K62" s="362">
        <f t="shared" si="10"/>
        <v>0</v>
      </c>
      <c r="L62" s="350"/>
    </row>
    <row r="63" spans="2:12" ht="15.75" x14ac:dyDescent="0.25">
      <c r="B63" s="358"/>
      <c r="C63" s="359"/>
      <c r="D63" s="360"/>
      <c r="E63" s="361"/>
      <c r="F63" s="361"/>
      <c r="G63" s="361"/>
      <c r="H63" s="361"/>
      <c r="I63" s="361"/>
      <c r="J63" s="361"/>
      <c r="K63" s="362">
        <f t="shared" si="10"/>
        <v>0</v>
      </c>
      <c r="L63" s="350"/>
    </row>
    <row r="64" spans="2:12" ht="15.75" x14ac:dyDescent="0.25">
      <c r="B64" s="364" t="str">
        <f>'Anexo A'!B29</f>
        <v>1.1.12</v>
      </c>
      <c r="C64" s="365" t="str">
        <f>'Anexo A'!D29</f>
        <v>TOLDOS</v>
      </c>
      <c r="D64" s="366"/>
      <c r="E64" s="367"/>
      <c r="F64" s="368"/>
      <c r="G64" s="368"/>
      <c r="H64" s="368"/>
      <c r="I64" s="368"/>
      <c r="J64" s="368"/>
      <c r="K64" s="368"/>
    </row>
    <row r="65" spans="2:12" ht="15.75" x14ac:dyDescent="0.25">
      <c r="B65" s="351" t="str">
        <f>'Anexo A'!B30</f>
        <v>1.1.12.1</v>
      </c>
      <c r="C65" s="352" t="str">
        <f>'Anexo A'!D30</f>
        <v>4 TOLDO TIPO I (10,0X10,0 M)</v>
      </c>
      <c r="D65" s="353" t="str">
        <f>'Anexo A'!E30</f>
        <v>MÊS</v>
      </c>
      <c r="E65" s="354"/>
      <c r="F65" s="355"/>
      <c r="G65" s="354"/>
      <c r="H65" s="354"/>
      <c r="I65" s="354"/>
      <c r="J65" s="354"/>
      <c r="K65" s="356">
        <f>TRUNC(SUM(K66:K70),2)</f>
        <v>0</v>
      </c>
    </row>
    <row r="66" spans="2:12" ht="15.75" x14ac:dyDescent="0.25">
      <c r="B66" s="358"/>
      <c r="C66" s="359"/>
      <c r="D66" s="360"/>
      <c r="E66" s="361">
        <v>0</v>
      </c>
      <c r="F66" s="361"/>
      <c r="G66" s="361"/>
      <c r="H66" s="361"/>
      <c r="I66" s="361"/>
      <c r="J66" s="361"/>
      <c r="K66" s="362">
        <f t="shared" ref="K66:K70" si="11">PRODUCT(E66:J66)</f>
        <v>0</v>
      </c>
    </row>
    <row r="67" spans="2:12" ht="15.75" x14ac:dyDescent="0.25">
      <c r="B67" s="358"/>
      <c r="C67" s="359"/>
      <c r="D67" s="360"/>
      <c r="E67" s="361"/>
      <c r="F67" s="361"/>
      <c r="G67" s="361"/>
      <c r="H67" s="361"/>
      <c r="I67" s="361"/>
      <c r="J67" s="361"/>
      <c r="K67" s="362">
        <f t="shared" si="11"/>
        <v>0</v>
      </c>
    </row>
    <row r="68" spans="2:12" ht="15.75" x14ac:dyDescent="0.25">
      <c r="B68" s="358"/>
      <c r="C68" s="359"/>
      <c r="D68" s="360"/>
      <c r="E68" s="361"/>
      <c r="F68" s="361"/>
      <c r="G68" s="361"/>
      <c r="H68" s="361"/>
      <c r="I68" s="361"/>
      <c r="J68" s="361"/>
      <c r="K68" s="362">
        <f t="shared" si="11"/>
        <v>0</v>
      </c>
    </row>
    <row r="69" spans="2:12" ht="15.75" x14ac:dyDescent="0.25">
      <c r="B69" s="358"/>
      <c r="C69" s="359"/>
      <c r="D69" s="360"/>
      <c r="E69" s="361"/>
      <c r="F69" s="361"/>
      <c r="G69" s="361"/>
      <c r="H69" s="361"/>
      <c r="I69" s="361"/>
      <c r="J69" s="361"/>
      <c r="K69" s="362">
        <f t="shared" si="11"/>
        <v>0</v>
      </c>
    </row>
    <row r="70" spans="2:12" ht="15.75" x14ac:dyDescent="0.25">
      <c r="B70" s="358"/>
      <c r="C70" s="359"/>
      <c r="D70" s="360"/>
      <c r="E70" s="361"/>
      <c r="F70" s="361"/>
      <c r="G70" s="361"/>
      <c r="H70" s="361"/>
      <c r="I70" s="361"/>
      <c r="J70" s="361"/>
      <c r="K70" s="362">
        <f t="shared" si="11"/>
        <v>0</v>
      </c>
      <c r="L70" s="316"/>
    </row>
    <row r="71" spans="2:12" ht="15.75" x14ac:dyDescent="0.25">
      <c r="B71" s="351" t="str">
        <f>'Anexo A'!B31</f>
        <v>1.1.12.2</v>
      </c>
      <c r="C71" s="352" t="str">
        <f>'Anexo A'!D31</f>
        <v>30 TOLDO TIPO II (5,0X5,0 M)</v>
      </c>
      <c r="D71" s="353" t="str">
        <f>'Anexo A'!E31</f>
        <v>MÊS</v>
      </c>
      <c r="E71" s="354"/>
      <c r="F71" s="355"/>
      <c r="G71" s="354"/>
      <c r="H71" s="354"/>
      <c r="I71" s="354"/>
      <c r="J71" s="354"/>
      <c r="K71" s="356">
        <f>TRUNC(SUM(K72:K85),2)</f>
        <v>13</v>
      </c>
      <c r="L71" s="316"/>
    </row>
    <row r="72" spans="2:12" ht="15.75" x14ac:dyDescent="0.25">
      <c r="B72" s="358"/>
      <c r="C72" s="359" t="s">
        <v>1894</v>
      </c>
      <c r="D72" s="360"/>
      <c r="E72" s="361">
        <v>1</v>
      </c>
      <c r="F72" s="361"/>
      <c r="G72" s="361"/>
      <c r="H72" s="363"/>
      <c r="I72" s="361"/>
      <c r="J72" s="361"/>
      <c r="K72" s="362">
        <f t="shared" ref="K72" si="12">PRODUCT(E72:J72)</f>
        <v>1</v>
      </c>
      <c r="L72" s="316"/>
    </row>
    <row r="73" spans="2:12" ht="15.75" x14ac:dyDescent="0.25">
      <c r="B73" s="358"/>
      <c r="C73" s="359" t="s">
        <v>1895</v>
      </c>
      <c r="D73" s="360"/>
      <c r="E73" s="361">
        <v>2</v>
      </c>
      <c r="F73" s="361"/>
      <c r="G73" s="361"/>
      <c r="H73" s="363"/>
      <c r="I73" s="361"/>
      <c r="J73" s="361"/>
      <c r="K73" s="362">
        <f t="shared" ref="K73:K82" si="13">PRODUCT(E73:J73)</f>
        <v>2</v>
      </c>
      <c r="L73" s="316"/>
    </row>
    <row r="74" spans="2:12" ht="15.75" x14ac:dyDescent="0.25">
      <c r="B74" s="358"/>
      <c r="C74" s="359" t="s">
        <v>1896</v>
      </c>
      <c r="D74" s="360"/>
      <c r="E74" s="361">
        <v>1</v>
      </c>
      <c r="F74" s="361"/>
      <c r="G74" s="361"/>
      <c r="H74" s="361"/>
      <c r="I74" s="361"/>
      <c r="J74" s="361"/>
      <c r="K74" s="362">
        <f t="shared" si="13"/>
        <v>1</v>
      </c>
      <c r="L74" s="316"/>
    </row>
    <row r="75" spans="2:12" ht="15.75" x14ac:dyDescent="0.25">
      <c r="B75" s="358"/>
      <c r="C75" s="359" t="s">
        <v>1897</v>
      </c>
      <c r="D75" s="360"/>
      <c r="E75" s="361">
        <v>2</v>
      </c>
      <c r="F75" s="361"/>
      <c r="G75" s="361"/>
      <c r="H75" s="361"/>
      <c r="I75" s="361"/>
      <c r="J75" s="361"/>
      <c r="K75" s="362">
        <f t="shared" ref="K75:K80" si="14">PRODUCT(E75:J75)</f>
        <v>2</v>
      </c>
      <c r="L75" s="316"/>
    </row>
    <row r="76" spans="2:12" ht="15.75" x14ac:dyDescent="0.25">
      <c r="B76" s="358"/>
      <c r="C76" s="359" t="s">
        <v>1898</v>
      </c>
      <c r="D76" s="360"/>
      <c r="E76" s="361">
        <v>1</v>
      </c>
      <c r="F76" s="361"/>
      <c r="G76" s="361"/>
      <c r="H76" s="361"/>
      <c r="I76" s="361"/>
      <c r="J76" s="361"/>
      <c r="K76" s="362">
        <f t="shared" si="14"/>
        <v>1</v>
      </c>
      <c r="L76" s="316"/>
    </row>
    <row r="77" spans="2:12" ht="15.75" x14ac:dyDescent="0.25">
      <c r="B77" s="358"/>
      <c r="C77" s="359" t="s">
        <v>1899</v>
      </c>
      <c r="D77" s="360"/>
      <c r="E77" s="361">
        <v>1</v>
      </c>
      <c r="F77" s="361"/>
      <c r="G77" s="361"/>
      <c r="H77" s="363"/>
      <c r="I77" s="361"/>
      <c r="J77" s="361"/>
      <c r="K77" s="362">
        <f t="shared" si="14"/>
        <v>1</v>
      </c>
      <c r="L77" s="316"/>
    </row>
    <row r="78" spans="2:12" ht="15.75" x14ac:dyDescent="0.25">
      <c r="B78" s="358"/>
      <c r="C78" s="359" t="s">
        <v>1900</v>
      </c>
      <c r="D78" s="360"/>
      <c r="E78" s="361">
        <v>1</v>
      </c>
      <c r="F78" s="361"/>
      <c r="G78" s="361"/>
      <c r="H78" s="361"/>
      <c r="I78" s="361"/>
      <c r="J78" s="361"/>
      <c r="K78" s="362">
        <f t="shared" si="14"/>
        <v>1</v>
      </c>
      <c r="L78" s="316"/>
    </row>
    <row r="79" spans="2:12" ht="15.75" x14ac:dyDescent="0.25">
      <c r="B79" s="358"/>
      <c r="C79" s="359" t="s">
        <v>1901</v>
      </c>
      <c r="D79" s="360"/>
      <c r="E79" s="361">
        <v>1</v>
      </c>
      <c r="F79" s="361"/>
      <c r="G79" s="361"/>
      <c r="H79" s="361"/>
      <c r="I79" s="361"/>
      <c r="J79" s="361"/>
      <c r="K79" s="362">
        <f t="shared" si="14"/>
        <v>1</v>
      </c>
      <c r="L79" s="316"/>
    </row>
    <row r="80" spans="2:12" ht="15.75" x14ac:dyDescent="0.25">
      <c r="B80" s="358"/>
      <c r="C80" s="359" t="s">
        <v>1902</v>
      </c>
      <c r="D80" s="360"/>
      <c r="E80" s="361">
        <v>1</v>
      </c>
      <c r="F80" s="361"/>
      <c r="G80" s="361"/>
      <c r="H80" s="361"/>
      <c r="I80" s="361"/>
      <c r="J80" s="361"/>
      <c r="K80" s="362">
        <f t="shared" si="14"/>
        <v>1</v>
      </c>
      <c r="L80" s="316"/>
    </row>
    <row r="81" spans="2:12" ht="15.75" x14ac:dyDescent="0.25">
      <c r="B81" s="358"/>
      <c r="C81" s="359" t="s">
        <v>1903</v>
      </c>
      <c r="D81" s="360"/>
      <c r="E81" s="361">
        <v>1</v>
      </c>
      <c r="F81" s="361"/>
      <c r="G81" s="361"/>
      <c r="H81" s="361"/>
      <c r="I81" s="361"/>
      <c r="J81" s="361"/>
      <c r="K81" s="362">
        <f t="shared" si="13"/>
        <v>1</v>
      </c>
      <c r="L81" s="316"/>
    </row>
    <row r="82" spans="2:12" ht="15.75" x14ac:dyDescent="0.25">
      <c r="B82" s="358"/>
      <c r="C82" s="359" t="s">
        <v>1904</v>
      </c>
      <c r="D82" s="360"/>
      <c r="E82" s="361">
        <v>1</v>
      </c>
      <c r="F82" s="361"/>
      <c r="G82" s="361"/>
      <c r="H82" s="361"/>
      <c r="I82" s="361"/>
      <c r="J82" s="361"/>
      <c r="K82" s="362">
        <f t="shared" si="13"/>
        <v>1</v>
      </c>
      <c r="L82" s="316"/>
    </row>
    <row r="83" spans="2:12" ht="15.75" x14ac:dyDescent="0.25">
      <c r="B83" s="358"/>
      <c r="C83" s="359"/>
      <c r="D83" s="360"/>
      <c r="E83" s="361"/>
      <c r="F83" s="361"/>
      <c r="G83" s="361"/>
      <c r="H83" s="363"/>
      <c r="I83" s="361"/>
      <c r="J83" s="361"/>
      <c r="K83" s="362">
        <f t="shared" ref="K83:K85" si="15">PRODUCT(E83:J83)</f>
        <v>0</v>
      </c>
      <c r="L83" s="316"/>
    </row>
    <row r="84" spans="2:12" ht="15.75" x14ac:dyDescent="0.25">
      <c r="B84" s="358"/>
      <c r="C84" s="359"/>
      <c r="D84" s="360"/>
      <c r="E84" s="361"/>
      <c r="F84" s="361"/>
      <c r="G84" s="361"/>
      <c r="H84" s="361"/>
      <c r="I84" s="361"/>
      <c r="J84" s="361"/>
      <c r="K84" s="362">
        <f t="shared" si="15"/>
        <v>0</v>
      </c>
      <c r="L84" s="316"/>
    </row>
    <row r="85" spans="2:12" ht="15.75" x14ac:dyDescent="0.25">
      <c r="B85" s="358"/>
      <c r="C85" s="359"/>
      <c r="D85" s="360"/>
      <c r="E85" s="361"/>
      <c r="F85" s="361"/>
      <c r="G85" s="361"/>
      <c r="H85" s="361"/>
      <c r="I85" s="361"/>
      <c r="J85" s="361"/>
      <c r="K85" s="362">
        <f t="shared" si="15"/>
        <v>0</v>
      </c>
      <c r="L85" s="316"/>
    </row>
    <row r="86" spans="2:12" ht="15.75" x14ac:dyDescent="0.25">
      <c r="B86" s="364" t="str">
        <f>'Anexo A'!B34</f>
        <v>1.1.14</v>
      </c>
      <c r="C86" s="365" t="str">
        <f>'Anexo A'!D34</f>
        <v>MOBILIÁRIO/AMBIENTAÇÃO</v>
      </c>
      <c r="D86" s="366"/>
      <c r="E86" s="367"/>
      <c r="F86" s="368"/>
      <c r="G86" s="368"/>
      <c r="H86" s="368"/>
      <c r="I86" s="368"/>
      <c r="J86" s="368"/>
      <c r="K86" s="368"/>
      <c r="L86" s="350"/>
    </row>
    <row r="87" spans="2:12" ht="15.75" x14ac:dyDescent="0.25">
      <c r="B87" s="351" t="str">
        <f>'Anexo A'!B35</f>
        <v>1.1.14.1</v>
      </c>
      <c r="C87" s="352" t="str">
        <f>'Anexo A'!D35</f>
        <v>600 CADEIRAS - PVC branco sem braços</v>
      </c>
      <c r="D87" s="353" t="str">
        <f>'Anexo A'!E35</f>
        <v>DIÁRIA</v>
      </c>
      <c r="E87" s="354"/>
      <c r="F87" s="355"/>
      <c r="G87" s="354"/>
      <c r="H87" s="354"/>
      <c r="I87" s="354"/>
      <c r="J87" s="354"/>
      <c r="K87" s="356">
        <f>TRUNC(SUM(K88:K102),2)</f>
        <v>0</v>
      </c>
      <c r="L87" s="350"/>
    </row>
    <row r="88" spans="2:12" ht="15.75" x14ac:dyDescent="0.25">
      <c r="B88" s="358"/>
      <c r="C88" s="359"/>
      <c r="D88" s="360"/>
      <c r="E88" s="361"/>
      <c r="F88" s="361"/>
      <c r="G88" s="361"/>
      <c r="H88" s="361"/>
      <c r="I88" s="361"/>
      <c r="J88" s="361"/>
      <c r="K88" s="362">
        <f t="shared" ref="K88:K102" si="16">PRODUCT(E88:J88)</f>
        <v>0</v>
      </c>
      <c r="L88" s="350"/>
    </row>
    <row r="89" spans="2:12" ht="15.75" x14ac:dyDescent="0.25">
      <c r="B89" s="358"/>
      <c r="C89" s="359"/>
      <c r="D89" s="360"/>
      <c r="E89" s="361"/>
      <c r="F89" s="361"/>
      <c r="G89" s="361"/>
      <c r="H89" s="361"/>
      <c r="I89" s="361"/>
      <c r="J89" s="361"/>
      <c r="K89" s="362">
        <f t="shared" si="16"/>
        <v>0</v>
      </c>
      <c r="L89" s="350"/>
    </row>
    <row r="90" spans="2:12" ht="15.75" x14ac:dyDescent="0.25">
      <c r="B90" s="358"/>
      <c r="C90" s="359"/>
      <c r="D90" s="360"/>
      <c r="E90" s="361"/>
      <c r="F90" s="361"/>
      <c r="G90" s="361"/>
      <c r="H90" s="361"/>
      <c r="I90" s="361"/>
      <c r="J90" s="361"/>
      <c r="K90" s="362">
        <f t="shared" si="16"/>
        <v>0</v>
      </c>
      <c r="L90" s="350"/>
    </row>
    <row r="91" spans="2:12" ht="15.75" x14ac:dyDescent="0.25">
      <c r="B91" s="358"/>
      <c r="C91" s="359"/>
      <c r="D91" s="360"/>
      <c r="E91" s="361"/>
      <c r="F91" s="361"/>
      <c r="G91" s="361"/>
      <c r="H91" s="361"/>
      <c r="I91" s="361"/>
      <c r="J91" s="361"/>
      <c r="K91" s="362">
        <f t="shared" si="16"/>
        <v>0</v>
      </c>
      <c r="L91" s="350"/>
    </row>
    <row r="92" spans="2:12" ht="15.75" x14ac:dyDescent="0.25">
      <c r="B92" s="358"/>
      <c r="C92" s="359"/>
      <c r="D92" s="360"/>
      <c r="E92" s="361"/>
      <c r="F92" s="361"/>
      <c r="G92" s="361"/>
      <c r="H92" s="361"/>
      <c r="I92" s="361"/>
      <c r="J92" s="361"/>
      <c r="K92" s="362">
        <f t="shared" si="16"/>
        <v>0</v>
      </c>
      <c r="L92" s="350"/>
    </row>
    <row r="93" spans="2:12" ht="15.75" x14ac:dyDescent="0.25">
      <c r="B93" s="358"/>
      <c r="C93" s="359"/>
      <c r="D93" s="360"/>
      <c r="E93" s="361"/>
      <c r="F93" s="361"/>
      <c r="G93" s="361"/>
      <c r="H93" s="361"/>
      <c r="I93" s="361"/>
      <c r="J93" s="361"/>
      <c r="K93" s="362">
        <f t="shared" si="16"/>
        <v>0</v>
      </c>
      <c r="L93" s="350"/>
    </row>
    <row r="94" spans="2:12" ht="15.75" x14ac:dyDescent="0.25">
      <c r="B94" s="358"/>
      <c r="C94" s="359"/>
      <c r="D94" s="360"/>
      <c r="E94" s="361"/>
      <c r="F94" s="361"/>
      <c r="G94" s="361"/>
      <c r="H94" s="361"/>
      <c r="I94" s="361"/>
      <c r="J94" s="361"/>
      <c r="K94" s="362">
        <f t="shared" si="16"/>
        <v>0</v>
      </c>
      <c r="L94" s="350"/>
    </row>
    <row r="95" spans="2:12" ht="15.75" x14ac:dyDescent="0.25">
      <c r="B95" s="358"/>
      <c r="C95" s="359"/>
      <c r="D95" s="360"/>
      <c r="E95" s="361"/>
      <c r="F95" s="361"/>
      <c r="G95" s="361"/>
      <c r="H95" s="361"/>
      <c r="I95" s="361"/>
      <c r="J95" s="361"/>
      <c r="K95" s="362">
        <f t="shared" si="16"/>
        <v>0</v>
      </c>
      <c r="L95" s="350"/>
    </row>
    <row r="96" spans="2:12" ht="15.75" x14ac:dyDescent="0.25">
      <c r="B96" s="358"/>
      <c r="C96" s="359"/>
      <c r="D96" s="360"/>
      <c r="E96" s="361"/>
      <c r="F96" s="361"/>
      <c r="G96" s="361"/>
      <c r="H96" s="361"/>
      <c r="I96" s="361"/>
      <c r="J96" s="361"/>
      <c r="K96" s="362">
        <f t="shared" si="16"/>
        <v>0</v>
      </c>
      <c r="L96" s="350"/>
    </row>
    <row r="97" spans="2:12" ht="15.75" x14ac:dyDescent="0.25">
      <c r="B97" s="358"/>
      <c r="C97" s="359"/>
      <c r="D97" s="360"/>
      <c r="E97" s="361"/>
      <c r="F97" s="361"/>
      <c r="G97" s="361"/>
      <c r="H97" s="361"/>
      <c r="I97" s="361"/>
      <c r="J97" s="361"/>
      <c r="K97" s="362">
        <f t="shared" si="16"/>
        <v>0</v>
      </c>
      <c r="L97" s="350"/>
    </row>
    <row r="98" spans="2:12" ht="15.75" x14ac:dyDescent="0.25">
      <c r="B98" s="358"/>
      <c r="C98" s="359"/>
      <c r="D98" s="360"/>
      <c r="E98" s="361"/>
      <c r="F98" s="361"/>
      <c r="G98" s="361"/>
      <c r="H98" s="361"/>
      <c r="I98" s="361"/>
      <c r="J98" s="361"/>
      <c r="K98" s="362">
        <f t="shared" si="16"/>
        <v>0</v>
      </c>
      <c r="L98" s="350"/>
    </row>
    <row r="99" spans="2:12" ht="15.75" x14ac:dyDescent="0.25">
      <c r="B99" s="358"/>
      <c r="C99" s="359"/>
      <c r="D99" s="360"/>
      <c r="E99" s="361"/>
      <c r="F99" s="361"/>
      <c r="G99" s="361"/>
      <c r="H99" s="361"/>
      <c r="I99" s="361"/>
      <c r="J99" s="361"/>
      <c r="K99" s="362">
        <f t="shared" si="16"/>
        <v>0</v>
      </c>
      <c r="L99" s="350"/>
    </row>
    <row r="100" spans="2:12" ht="15.75" x14ac:dyDescent="0.25">
      <c r="B100" s="358"/>
      <c r="C100" s="359"/>
      <c r="D100" s="360"/>
      <c r="E100" s="361"/>
      <c r="F100" s="361"/>
      <c r="G100" s="361"/>
      <c r="H100" s="361"/>
      <c r="I100" s="361"/>
      <c r="J100" s="361"/>
      <c r="K100" s="362">
        <f t="shared" si="16"/>
        <v>0</v>
      </c>
      <c r="L100" s="350"/>
    </row>
    <row r="101" spans="2:12" ht="15.75" x14ac:dyDescent="0.25">
      <c r="B101" s="358"/>
      <c r="C101" s="359"/>
      <c r="D101" s="360"/>
      <c r="E101" s="361"/>
      <c r="F101" s="361"/>
      <c r="G101" s="361"/>
      <c r="H101" s="361"/>
      <c r="I101" s="361"/>
      <c r="J101" s="361"/>
      <c r="K101" s="362">
        <f t="shared" si="16"/>
        <v>0</v>
      </c>
      <c r="L101" s="350"/>
    </row>
    <row r="102" spans="2:12" ht="15.75" x14ac:dyDescent="0.25">
      <c r="B102" s="358"/>
      <c r="C102" s="359"/>
      <c r="D102" s="360"/>
      <c r="E102" s="361"/>
      <c r="F102" s="361"/>
      <c r="G102" s="361"/>
      <c r="H102" s="361"/>
      <c r="I102" s="361"/>
      <c r="J102" s="361"/>
      <c r="K102" s="362">
        <f t="shared" si="16"/>
        <v>0</v>
      </c>
      <c r="L102" s="350"/>
    </row>
    <row r="103" spans="2:12" ht="15.75" x14ac:dyDescent="0.25">
      <c r="B103" s="351" t="str">
        <f>'Anexo A'!B36</f>
        <v>1.1.14.2</v>
      </c>
      <c r="C103" s="352" t="str">
        <f>'Anexo A'!D36</f>
        <v>200 MESAS - PVC branco com 4 lugares</v>
      </c>
      <c r="D103" s="353" t="str">
        <f>'Anexo A'!E36</f>
        <v>DIÁRIA</v>
      </c>
      <c r="E103" s="354"/>
      <c r="F103" s="355"/>
      <c r="G103" s="354"/>
      <c r="H103" s="354"/>
      <c r="I103" s="354"/>
      <c r="J103" s="354"/>
      <c r="K103" s="356">
        <f>TRUNC(SUM(K104:K112),2)</f>
        <v>0</v>
      </c>
      <c r="L103" s="350"/>
    </row>
    <row r="104" spans="2:12" ht="15.75" x14ac:dyDescent="0.25">
      <c r="B104" s="358"/>
      <c r="C104" s="359"/>
      <c r="D104" s="360"/>
      <c r="E104" s="361">
        <v>0</v>
      </c>
      <c r="F104" s="361"/>
      <c r="G104" s="361"/>
      <c r="H104" s="361"/>
      <c r="I104" s="361"/>
      <c r="J104" s="361"/>
      <c r="K104" s="362">
        <f t="shared" ref="K104:K112" si="17">PRODUCT(E104:J104)</f>
        <v>0</v>
      </c>
      <c r="L104" s="350"/>
    </row>
    <row r="105" spans="2:12" ht="15.75" x14ac:dyDescent="0.25">
      <c r="B105" s="358"/>
      <c r="C105" s="359"/>
      <c r="D105" s="360"/>
      <c r="E105" s="361"/>
      <c r="F105" s="361"/>
      <c r="G105" s="361"/>
      <c r="H105" s="361"/>
      <c r="I105" s="361"/>
      <c r="J105" s="361"/>
      <c r="K105" s="362">
        <f t="shared" si="17"/>
        <v>0</v>
      </c>
      <c r="L105" s="350"/>
    </row>
    <row r="106" spans="2:12" ht="15.75" x14ac:dyDescent="0.25">
      <c r="B106" s="358"/>
      <c r="C106" s="359"/>
      <c r="D106" s="360"/>
      <c r="E106" s="361"/>
      <c r="F106" s="361"/>
      <c r="G106" s="361"/>
      <c r="H106" s="361"/>
      <c r="I106" s="361"/>
      <c r="J106" s="361"/>
      <c r="K106" s="362">
        <f t="shared" si="17"/>
        <v>0</v>
      </c>
      <c r="L106" s="350"/>
    </row>
    <row r="107" spans="2:12" ht="15.75" x14ac:dyDescent="0.25">
      <c r="B107" s="358"/>
      <c r="C107" s="359"/>
      <c r="D107" s="360"/>
      <c r="E107" s="361"/>
      <c r="F107" s="361"/>
      <c r="G107" s="361"/>
      <c r="H107" s="361"/>
      <c r="I107" s="361"/>
      <c r="J107" s="361"/>
      <c r="K107" s="362">
        <f t="shared" si="17"/>
        <v>0</v>
      </c>
      <c r="L107" s="350"/>
    </row>
    <row r="108" spans="2:12" ht="15.75" x14ac:dyDescent="0.25">
      <c r="B108" s="358"/>
      <c r="C108" s="359"/>
      <c r="D108" s="360"/>
      <c r="E108" s="361"/>
      <c r="F108" s="361"/>
      <c r="G108" s="361"/>
      <c r="H108" s="361"/>
      <c r="I108" s="361"/>
      <c r="J108" s="361"/>
      <c r="K108" s="362">
        <f t="shared" si="17"/>
        <v>0</v>
      </c>
      <c r="L108" s="350"/>
    </row>
    <row r="109" spans="2:12" ht="15.75" x14ac:dyDescent="0.25">
      <c r="B109" s="358"/>
      <c r="C109" s="359"/>
      <c r="D109" s="360"/>
      <c r="E109" s="361"/>
      <c r="F109" s="361"/>
      <c r="G109" s="361"/>
      <c r="H109" s="361"/>
      <c r="I109" s="361"/>
      <c r="J109" s="361"/>
      <c r="K109" s="362">
        <f t="shared" si="17"/>
        <v>0</v>
      </c>
      <c r="L109" s="350"/>
    </row>
    <row r="110" spans="2:12" ht="15.75" x14ac:dyDescent="0.25">
      <c r="B110" s="358"/>
      <c r="C110" s="359"/>
      <c r="D110" s="360"/>
      <c r="E110" s="361"/>
      <c r="F110" s="361"/>
      <c r="G110" s="361"/>
      <c r="H110" s="361"/>
      <c r="I110" s="361"/>
      <c r="J110" s="361"/>
      <c r="K110" s="362">
        <f t="shared" si="17"/>
        <v>0</v>
      </c>
      <c r="L110" s="350"/>
    </row>
    <row r="111" spans="2:12" ht="15.75" x14ac:dyDescent="0.25">
      <c r="B111" s="358"/>
      <c r="C111" s="359"/>
      <c r="D111" s="360"/>
      <c r="E111" s="361"/>
      <c r="F111" s="361"/>
      <c r="G111" s="361"/>
      <c r="H111" s="361"/>
      <c r="I111" s="361"/>
      <c r="J111" s="361"/>
      <c r="K111" s="362">
        <f t="shared" si="17"/>
        <v>0</v>
      </c>
      <c r="L111" s="350"/>
    </row>
    <row r="112" spans="2:12" ht="15.75" x14ac:dyDescent="0.25">
      <c r="B112" s="358"/>
      <c r="C112" s="359"/>
      <c r="D112" s="360"/>
      <c r="E112" s="361"/>
      <c r="F112" s="361"/>
      <c r="G112" s="361"/>
      <c r="H112" s="361"/>
      <c r="I112" s="361"/>
      <c r="J112" s="361"/>
      <c r="K112" s="362">
        <f t="shared" si="17"/>
        <v>0</v>
      </c>
      <c r="L112" s="350"/>
    </row>
    <row r="113" spans="1:12" ht="15.75" x14ac:dyDescent="0.25">
      <c r="B113" s="364" t="str">
        <f>'Anexo A'!B40</f>
        <v>1.1.15</v>
      </c>
      <c r="C113" s="365" t="str">
        <f>'Anexo A'!D40</f>
        <v>CABINES SANITÁRIAS</v>
      </c>
      <c r="D113" s="366"/>
      <c r="E113" s="367"/>
      <c r="F113" s="368"/>
      <c r="G113" s="368"/>
      <c r="H113" s="368"/>
      <c r="I113" s="368"/>
      <c r="J113" s="368"/>
      <c r="K113" s="368"/>
      <c r="L113" s="350"/>
    </row>
    <row r="114" spans="1:12" ht="15.75" x14ac:dyDescent="0.25">
      <c r="B114" s="351" t="str">
        <f>'Anexo A'!B41</f>
        <v>1.1.15.1</v>
      </c>
      <c r="C114" s="352" t="str">
        <f>'Anexo A'!D41</f>
        <v>326 CABINES SANITÁRIA TIPO I - Standard</v>
      </c>
      <c r="D114" s="353" t="str">
        <f>'Anexo A'!E41</f>
        <v>DIÁRIA</v>
      </c>
      <c r="E114" s="354"/>
      <c r="F114" s="355"/>
      <c r="G114" s="354"/>
      <c r="H114" s="354"/>
      <c r="I114" s="354"/>
      <c r="J114" s="354"/>
      <c r="K114" s="356">
        <f>TRUNC(SUM(K115:K129),2)</f>
        <v>284</v>
      </c>
      <c r="L114" s="350"/>
    </row>
    <row r="115" spans="1:12" ht="15.75" x14ac:dyDescent="0.25">
      <c r="B115" s="358"/>
      <c r="C115" s="359" t="s">
        <v>1905</v>
      </c>
      <c r="D115" s="360"/>
      <c r="E115" s="361">
        <v>46</v>
      </c>
      <c r="F115" s="361"/>
      <c r="G115" s="361"/>
      <c r="H115" s="361"/>
      <c r="I115" s="361"/>
      <c r="J115" s="361"/>
      <c r="K115" s="362">
        <f t="shared" ref="K115:K129" si="18">PRODUCT(E115:J115)</f>
        <v>46</v>
      </c>
      <c r="L115" s="350"/>
    </row>
    <row r="116" spans="1:12" ht="15.75" x14ac:dyDescent="0.25">
      <c r="B116" s="358"/>
      <c r="C116" s="359" t="s">
        <v>1906</v>
      </c>
      <c r="D116" s="360"/>
      <c r="E116" s="361">
        <v>60</v>
      </c>
      <c r="F116" s="361"/>
      <c r="G116" s="361"/>
      <c r="H116" s="361"/>
      <c r="I116" s="361"/>
      <c r="J116" s="361"/>
      <c r="K116" s="362">
        <f t="shared" si="18"/>
        <v>60</v>
      </c>
      <c r="L116" s="350"/>
    </row>
    <row r="117" spans="1:12" ht="15.75" x14ac:dyDescent="0.25">
      <c r="B117" s="358"/>
      <c r="C117" s="359" t="s">
        <v>1907</v>
      </c>
      <c r="D117" s="360"/>
      <c r="E117" s="361">
        <v>12</v>
      </c>
      <c r="F117" s="361"/>
      <c r="G117" s="361"/>
      <c r="H117" s="361"/>
      <c r="I117" s="361"/>
      <c r="J117" s="361"/>
      <c r="K117" s="362">
        <f t="shared" si="18"/>
        <v>12</v>
      </c>
      <c r="L117" s="350"/>
    </row>
    <row r="118" spans="1:12" s="240" customFormat="1" ht="15.75" x14ac:dyDescent="0.25">
      <c r="A118" s="414"/>
      <c r="B118" s="415"/>
      <c r="C118" s="416" t="s">
        <v>1908</v>
      </c>
      <c r="D118" s="417"/>
      <c r="E118" s="418">
        <v>80</v>
      </c>
      <c r="F118" s="418"/>
      <c r="G118" s="418"/>
      <c r="H118" s="418"/>
      <c r="I118" s="418"/>
      <c r="J118" s="418"/>
      <c r="K118" s="419">
        <f t="shared" ref="K118:K121" si="19">PRODUCT(E118:J118)</f>
        <v>80</v>
      </c>
      <c r="L118" s="420"/>
    </row>
    <row r="119" spans="1:12" s="240" customFormat="1" ht="15.75" x14ac:dyDescent="0.25">
      <c r="A119" s="414"/>
      <c r="B119" s="415"/>
      <c r="C119" s="416" t="s">
        <v>1908</v>
      </c>
      <c r="D119" s="417"/>
      <c r="E119" s="418">
        <v>38</v>
      </c>
      <c r="F119" s="418"/>
      <c r="G119" s="418"/>
      <c r="H119" s="418"/>
      <c r="I119" s="418"/>
      <c r="J119" s="418"/>
      <c r="K119" s="419">
        <f t="shared" si="19"/>
        <v>38</v>
      </c>
      <c r="L119" s="420"/>
    </row>
    <row r="120" spans="1:12" ht="15.75" x14ac:dyDescent="0.25">
      <c r="B120" s="358"/>
      <c r="C120" s="359" t="s">
        <v>1909</v>
      </c>
      <c r="D120" s="360"/>
      <c r="E120" s="361">
        <v>4</v>
      </c>
      <c r="F120" s="361"/>
      <c r="G120" s="361"/>
      <c r="H120" s="361"/>
      <c r="I120" s="361"/>
      <c r="J120" s="361"/>
      <c r="K120" s="362">
        <f t="shared" si="19"/>
        <v>4</v>
      </c>
      <c r="L120" s="350"/>
    </row>
    <row r="121" spans="1:12" ht="15.75" x14ac:dyDescent="0.25">
      <c r="B121" s="358"/>
      <c r="C121" s="359" t="s">
        <v>1295</v>
      </c>
      <c r="D121" s="360"/>
      <c r="E121" s="361">
        <v>10</v>
      </c>
      <c r="F121" s="361"/>
      <c r="G121" s="361"/>
      <c r="H121" s="361"/>
      <c r="I121" s="361"/>
      <c r="J121" s="361"/>
      <c r="K121" s="362">
        <f t="shared" si="19"/>
        <v>10</v>
      </c>
      <c r="L121" s="350"/>
    </row>
    <row r="122" spans="1:12" ht="15.75" x14ac:dyDescent="0.25">
      <c r="B122" s="358"/>
      <c r="C122" s="359" t="s">
        <v>1912</v>
      </c>
      <c r="D122" s="360"/>
      <c r="E122" s="361">
        <v>24</v>
      </c>
      <c r="F122" s="361"/>
      <c r="G122" s="361"/>
      <c r="H122" s="361"/>
      <c r="I122" s="361"/>
      <c r="J122" s="361"/>
      <c r="K122" s="362">
        <f t="shared" ref="K122:K125" si="20">PRODUCT(E122:J122)</f>
        <v>24</v>
      </c>
      <c r="L122" s="350"/>
    </row>
    <row r="123" spans="1:12" ht="15.75" x14ac:dyDescent="0.25">
      <c r="B123" s="358"/>
      <c r="C123" s="359" t="s">
        <v>1938</v>
      </c>
      <c r="D123" s="360"/>
      <c r="E123" s="361">
        <v>10</v>
      </c>
      <c r="F123" s="361"/>
      <c r="G123" s="361"/>
      <c r="H123" s="361"/>
      <c r="I123" s="361"/>
      <c r="J123" s="361"/>
      <c r="K123" s="362">
        <f t="shared" si="20"/>
        <v>10</v>
      </c>
      <c r="L123" s="350"/>
    </row>
    <row r="124" spans="1:12" ht="15.75" x14ac:dyDescent="0.25">
      <c r="B124" s="358"/>
      <c r="C124" s="359"/>
      <c r="D124" s="360"/>
      <c r="E124" s="361"/>
      <c r="F124" s="361"/>
      <c r="G124" s="361"/>
      <c r="H124" s="361"/>
      <c r="I124" s="361"/>
      <c r="J124" s="361"/>
      <c r="K124" s="362">
        <f t="shared" si="20"/>
        <v>0</v>
      </c>
      <c r="L124" s="350"/>
    </row>
    <row r="125" spans="1:12" ht="15.75" x14ac:dyDescent="0.25">
      <c r="B125" s="358"/>
      <c r="C125" s="359"/>
      <c r="D125" s="360"/>
      <c r="E125" s="361"/>
      <c r="F125" s="361"/>
      <c r="G125" s="361"/>
      <c r="H125" s="361"/>
      <c r="I125" s="361"/>
      <c r="J125" s="361"/>
      <c r="K125" s="362">
        <f t="shared" si="20"/>
        <v>0</v>
      </c>
      <c r="L125" s="350"/>
    </row>
    <row r="126" spans="1:12" ht="15.75" x14ac:dyDescent="0.25">
      <c r="B126" s="358"/>
      <c r="C126" s="359"/>
      <c r="D126" s="360"/>
      <c r="E126" s="361"/>
      <c r="F126" s="361"/>
      <c r="G126" s="361"/>
      <c r="H126" s="361"/>
      <c r="I126" s="361"/>
      <c r="J126" s="361"/>
      <c r="K126" s="362">
        <f t="shared" si="18"/>
        <v>0</v>
      </c>
      <c r="L126" s="350"/>
    </row>
    <row r="127" spans="1:12" ht="15.75" x14ac:dyDescent="0.25">
      <c r="B127" s="358"/>
      <c r="C127" s="359"/>
      <c r="D127" s="360"/>
      <c r="E127" s="361"/>
      <c r="F127" s="361"/>
      <c r="G127" s="361"/>
      <c r="H127" s="361"/>
      <c r="I127" s="361"/>
      <c r="J127" s="361"/>
      <c r="K127" s="362">
        <f t="shared" ref="K127" si="21">PRODUCT(E127:J127)</f>
        <v>0</v>
      </c>
      <c r="L127" s="350"/>
    </row>
    <row r="128" spans="1:12" ht="15.75" x14ac:dyDescent="0.25">
      <c r="B128" s="358"/>
      <c r="C128" s="359"/>
      <c r="D128" s="360"/>
      <c r="E128" s="361"/>
      <c r="F128" s="361"/>
      <c r="G128" s="361"/>
      <c r="H128" s="361"/>
      <c r="I128" s="361"/>
      <c r="J128" s="361"/>
      <c r="K128" s="362">
        <f t="shared" ref="K128" si="22">PRODUCT(E128:J128)</f>
        <v>0</v>
      </c>
      <c r="L128" s="350"/>
    </row>
    <row r="129" spans="1:12" ht="15.75" x14ac:dyDescent="0.25">
      <c r="B129" s="358"/>
      <c r="C129" s="359"/>
      <c r="D129" s="360"/>
      <c r="E129" s="361"/>
      <c r="F129" s="361"/>
      <c r="G129" s="361"/>
      <c r="H129" s="361"/>
      <c r="I129" s="361"/>
      <c r="J129" s="361"/>
      <c r="K129" s="362">
        <f t="shared" si="18"/>
        <v>0</v>
      </c>
      <c r="L129" s="350"/>
    </row>
    <row r="130" spans="1:12" ht="15.75" x14ac:dyDescent="0.25">
      <c r="B130" s="351" t="str">
        <f>'Anexo A'!B42</f>
        <v>1.1.15.2</v>
      </c>
      <c r="C130" s="352" t="str">
        <f>'Anexo A'!D42</f>
        <v>7 CABINES SANITÁRIA TIPO II - PNE</v>
      </c>
      <c r="D130" s="353" t="str">
        <f>'Anexo A'!E42</f>
        <v>DIÁRIA</v>
      </c>
      <c r="E130" s="354"/>
      <c r="F130" s="355"/>
      <c r="G130" s="354"/>
      <c r="H130" s="354"/>
      <c r="I130" s="354"/>
      <c r="J130" s="354"/>
      <c r="K130" s="356">
        <f>TRUNC(SUM(K131:K139),2)</f>
        <v>1</v>
      </c>
      <c r="L130" s="350"/>
    </row>
    <row r="131" spans="1:12" s="240" customFormat="1" ht="15.75" x14ac:dyDescent="0.25">
      <c r="A131" s="414"/>
      <c r="B131" s="415"/>
      <c r="C131" s="416" t="s">
        <v>1941</v>
      </c>
      <c r="D131" s="417"/>
      <c r="E131" s="418">
        <v>1</v>
      </c>
      <c r="F131" s="418"/>
      <c r="G131" s="418"/>
      <c r="H131" s="418"/>
      <c r="I131" s="418"/>
      <c r="J131" s="418"/>
      <c r="K131" s="419">
        <f t="shared" ref="K131:K139" si="23">PRODUCT(E131:J131)</f>
        <v>1</v>
      </c>
      <c r="L131" s="420"/>
    </row>
    <row r="132" spans="1:12" ht="15.75" x14ac:dyDescent="0.25">
      <c r="B132" s="358"/>
      <c r="C132" s="359"/>
      <c r="D132" s="360"/>
      <c r="E132" s="361"/>
      <c r="F132" s="361"/>
      <c r="G132" s="361"/>
      <c r="H132" s="361"/>
      <c r="I132" s="361"/>
      <c r="J132" s="361"/>
      <c r="K132" s="362">
        <f t="shared" ref="K132:K135" si="24">PRODUCT(E132:J132)</f>
        <v>0</v>
      </c>
      <c r="L132" s="350"/>
    </row>
    <row r="133" spans="1:12" ht="15.75" x14ac:dyDescent="0.25">
      <c r="B133" s="358"/>
      <c r="C133" s="359"/>
      <c r="D133" s="360"/>
      <c r="E133" s="361"/>
      <c r="F133" s="361"/>
      <c r="G133" s="361"/>
      <c r="H133" s="361"/>
      <c r="I133" s="361"/>
      <c r="J133" s="361"/>
      <c r="K133" s="362">
        <f t="shared" si="24"/>
        <v>0</v>
      </c>
      <c r="L133" s="350"/>
    </row>
    <row r="134" spans="1:12" ht="15.75" x14ac:dyDescent="0.25">
      <c r="B134" s="358"/>
      <c r="C134" s="359"/>
      <c r="D134" s="360"/>
      <c r="E134" s="361"/>
      <c r="F134" s="361"/>
      <c r="G134" s="361"/>
      <c r="H134" s="361"/>
      <c r="I134" s="361"/>
      <c r="J134" s="361"/>
      <c r="K134" s="362">
        <f t="shared" si="24"/>
        <v>0</v>
      </c>
      <c r="L134" s="350"/>
    </row>
    <row r="135" spans="1:12" ht="15.75" x14ac:dyDescent="0.25">
      <c r="B135" s="358"/>
      <c r="C135" s="359"/>
      <c r="D135" s="360"/>
      <c r="E135" s="361"/>
      <c r="F135" s="361"/>
      <c r="G135" s="361"/>
      <c r="H135" s="361"/>
      <c r="I135" s="361"/>
      <c r="J135" s="361"/>
      <c r="K135" s="362">
        <f t="shared" si="24"/>
        <v>0</v>
      </c>
      <c r="L135" s="350"/>
    </row>
    <row r="136" spans="1:12" ht="15.75" x14ac:dyDescent="0.25">
      <c r="B136" s="358"/>
      <c r="C136" s="359"/>
      <c r="D136" s="360"/>
      <c r="E136" s="361"/>
      <c r="F136" s="361"/>
      <c r="G136" s="361"/>
      <c r="H136" s="361"/>
      <c r="I136" s="361"/>
      <c r="J136" s="361"/>
      <c r="K136" s="362">
        <f t="shared" si="23"/>
        <v>0</v>
      </c>
      <c r="L136" s="350"/>
    </row>
    <row r="137" spans="1:12" ht="15.75" x14ac:dyDescent="0.25">
      <c r="B137" s="358"/>
      <c r="C137" s="359"/>
      <c r="D137" s="360"/>
      <c r="E137" s="361"/>
      <c r="F137" s="361"/>
      <c r="G137" s="361"/>
      <c r="H137" s="361"/>
      <c r="I137" s="361"/>
      <c r="J137" s="361"/>
      <c r="K137" s="362">
        <f t="shared" ref="K137" si="25">PRODUCT(E137:J137)</f>
        <v>0</v>
      </c>
      <c r="L137" s="350"/>
    </row>
    <row r="138" spans="1:12" ht="15.75" x14ac:dyDescent="0.25">
      <c r="B138" s="358"/>
      <c r="C138" s="359"/>
      <c r="D138" s="360"/>
      <c r="E138" s="361"/>
      <c r="F138" s="361"/>
      <c r="G138" s="361"/>
      <c r="H138" s="361"/>
      <c r="I138" s="361"/>
      <c r="J138" s="361"/>
      <c r="K138" s="362">
        <f t="shared" ref="K138" si="26">PRODUCT(E138:J138)</f>
        <v>0</v>
      </c>
      <c r="L138" s="350"/>
    </row>
    <row r="139" spans="1:12" ht="15.75" x14ac:dyDescent="0.25">
      <c r="B139" s="358"/>
      <c r="C139" s="359"/>
      <c r="D139" s="360"/>
      <c r="E139" s="361"/>
      <c r="F139" s="361"/>
      <c r="G139" s="361"/>
      <c r="H139" s="361"/>
      <c r="I139" s="361"/>
      <c r="J139" s="361"/>
      <c r="K139" s="362">
        <f t="shared" si="23"/>
        <v>0</v>
      </c>
      <c r="L139" s="350"/>
    </row>
    <row r="140" spans="1:12" ht="15.75" x14ac:dyDescent="0.25">
      <c r="B140" s="364" t="str">
        <f>'Anexo A'!B137</f>
        <v>1.3</v>
      </c>
      <c r="C140" s="365" t="str">
        <f>'Anexo A'!D137</f>
        <v>GERADORES</v>
      </c>
      <c r="D140" s="366"/>
      <c r="E140" s="367"/>
      <c r="F140" s="368"/>
      <c r="G140" s="368"/>
      <c r="H140" s="368"/>
      <c r="I140" s="368"/>
      <c r="J140" s="368"/>
      <c r="K140" s="368"/>
      <c r="L140" s="350"/>
    </row>
    <row r="141" spans="1:12" ht="15.75" x14ac:dyDescent="0.25">
      <c r="B141" s="351" t="str">
        <f>'Anexo A'!B138</f>
        <v>1.3.1.1</v>
      </c>
      <c r="C141" s="352" t="str">
        <f>'Anexo A'!D138</f>
        <v>01 Gerador 300KVA (Stand-By)</v>
      </c>
      <c r="D141" s="353" t="str">
        <f>'Anexo A'!E138</f>
        <v>DIÁRIA</v>
      </c>
      <c r="E141" s="354"/>
      <c r="F141" s="355"/>
      <c r="G141" s="354"/>
      <c r="H141" s="354"/>
      <c r="I141" s="354"/>
      <c r="J141" s="354"/>
      <c r="K141" s="356">
        <f>TRUNC(SUM(K142:K145),2)</f>
        <v>0</v>
      </c>
      <c r="L141" s="350"/>
    </row>
    <row r="142" spans="1:12" ht="15.75" x14ac:dyDescent="0.25">
      <c r="B142" s="358"/>
      <c r="C142" s="359"/>
      <c r="D142" s="360"/>
      <c r="E142" s="361"/>
      <c r="F142" s="361"/>
      <c r="G142" s="361"/>
      <c r="H142" s="361"/>
      <c r="I142" s="361"/>
      <c r="J142" s="361"/>
      <c r="K142" s="362">
        <f t="shared" ref="K142:K145" si="27">PRODUCT(E142:J142)</f>
        <v>0</v>
      </c>
      <c r="L142" s="350"/>
    </row>
    <row r="143" spans="1:12" ht="15.75" x14ac:dyDescent="0.25">
      <c r="B143" s="358"/>
      <c r="C143" s="359"/>
      <c r="D143" s="360"/>
      <c r="E143" s="361"/>
      <c r="F143" s="361"/>
      <c r="G143" s="361"/>
      <c r="H143" s="361"/>
      <c r="I143" s="361"/>
      <c r="J143" s="361"/>
      <c r="K143" s="362">
        <f t="shared" si="27"/>
        <v>0</v>
      </c>
      <c r="L143" s="350"/>
    </row>
    <row r="144" spans="1:12" ht="15.75" x14ac:dyDescent="0.25">
      <c r="B144" s="358"/>
      <c r="C144" s="359"/>
      <c r="D144" s="360"/>
      <c r="E144" s="361"/>
      <c r="F144" s="361"/>
      <c r="G144" s="361"/>
      <c r="H144" s="361"/>
      <c r="I144" s="361"/>
      <c r="J144" s="361"/>
      <c r="K144" s="362">
        <f t="shared" si="27"/>
        <v>0</v>
      </c>
      <c r="L144" s="350"/>
    </row>
    <row r="145" spans="2:12" ht="15.75" x14ac:dyDescent="0.25">
      <c r="B145" s="358"/>
      <c r="C145" s="359"/>
      <c r="D145" s="360"/>
      <c r="E145" s="361"/>
      <c r="F145" s="361"/>
      <c r="G145" s="361"/>
      <c r="H145" s="361"/>
      <c r="I145" s="361"/>
      <c r="J145" s="361"/>
      <c r="K145" s="362">
        <f t="shared" si="27"/>
        <v>0</v>
      </c>
      <c r="L145" s="350"/>
    </row>
    <row r="146" spans="2:12" ht="15.75" x14ac:dyDescent="0.25">
      <c r="B146" s="351" t="str">
        <f>'Anexo A'!B139</f>
        <v>1.3.1.2</v>
      </c>
      <c r="C146" s="352" t="str">
        <f>'Anexo A'!D139</f>
        <v>01 Geradores 260KVA (Stand-By)</v>
      </c>
      <c r="D146" s="353" t="str">
        <f>'Anexo A'!E139</f>
        <v>DIÁRIA</v>
      </c>
      <c r="E146" s="354"/>
      <c r="F146" s="355"/>
      <c r="G146" s="354"/>
      <c r="H146" s="354"/>
      <c r="I146" s="354"/>
      <c r="J146" s="354"/>
      <c r="K146" s="356">
        <f>TRUNC(SUM(K147:K150),2)</f>
        <v>0</v>
      </c>
      <c r="L146" s="350"/>
    </row>
    <row r="147" spans="2:12" ht="15.75" x14ac:dyDescent="0.25">
      <c r="B147" s="358"/>
      <c r="C147" s="359"/>
      <c r="D147" s="360"/>
      <c r="E147" s="361"/>
      <c r="F147" s="361"/>
      <c r="G147" s="361"/>
      <c r="H147" s="361"/>
      <c r="I147" s="361"/>
      <c r="J147" s="361"/>
      <c r="K147" s="362">
        <f>PRODUCT(E147:J147)</f>
        <v>0</v>
      </c>
      <c r="L147" s="350"/>
    </row>
    <row r="148" spans="2:12" ht="15.75" x14ac:dyDescent="0.25">
      <c r="B148" s="358"/>
      <c r="C148" s="359"/>
      <c r="D148" s="360"/>
      <c r="E148" s="361"/>
      <c r="F148" s="361"/>
      <c r="G148" s="361"/>
      <c r="H148" s="361"/>
      <c r="I148" s="361"/>
      <c r="J148" s="361"/>
      <c r="K148" s="362">
        <f>PRODUCT(E148:J148)</f>
        <v>0</v>
      </c>
      <c r="L148" s="350"/>
    </row>
    <row r="149" spans="2:12" ht="15.75" x14ac:dyDescent="0.25">
      <c r="B149" s="358"/>
      <c r="C149" s="359"/>
      <c r="D149" s="360"/>
      <c r="E149" s="361"/>
      <c r="F149" s="361"/>
      <c r="G149" s="361"/>
      <c r="H149" s="361"/>
      <c r="I149" s="361"/>
      <c r="J149" s="361"/>
      <c r="K149" s="362">
        <f t="shared" ref="K149:K150" si="28">PRODUCT(E149:J149)</f>
        <v>0</v>
      </c>
      <c r="L149" s="350"/>
    </row>
    <row r="150" spans="2:12" ht="15.75" x14ac:dyDescent="0.25">
      <c r="B150" s="358"/>
      <c r="C150" s="359"/>
      <c r="D150" s="360"/>
      <c r="E150" s="361"/>
      <c r="F150" s="361"/>
      <c r="G150" s="361"/>
      <c r="H150" s="361"/>
      <c r="I150" s="361"/>
      <c r="J150" s="361"/>
      <c r="K150" s="362">
        <f t="shared" si="28"/>
        <v>0</v>
      </c>
      <c r="L150" s="350"/>
    </row>
    <row r="151" spans="2:12" ht="15.75" x14ac:dyDescent="0.25">
      <c r="B151" s="344" t="str">
        <f>'Anexo A'!B140</f>
        <v>2.</v>
      </c>
      <c r="C151" s="345" t="str">
        <f>'Anexo A'!D140</f>
        <v>ESTAÇÃO FERROVIÁRIA</v>
      </c>
      <c r="D151" s="346"/>
      <c r="E151" s="347"/>
      <c r="F151" s="348"/>
      <c r="G151" s="348"/>
      <c r="H151" s="348"/>
      <c r="I151" s="348"/>
      <c r="J151" s="348"/>
      <c r="K151" s="348"/>
      <c r="L151" s="350"/>
    </row>
    <row r="152" spans="2:12" ht="15.75" x14ac:dyDescent="0.25">
      <c r="B152" s="364" t="str">
        <f>'Anexo A'!B152</f>
        <v>2.1.3</v>
      </c>
      <c r="C152" s="365" t="str">
        <f>'Anexo A'!D152</f>
        <v>PÓRTICOS</v>
      </c>
      <c r="D152" s="366"/>
      <c r="E152" s="367"/>
      <c r="F152" s="368"/>
      <c r="G152" s="368"/>
      <c r="H152" s="368"/>
      <c r="I152" s="368"/>
      <c r="J152" s="368"/>
      <c r="K152" s="368"/>
      <c r="L152" s="349"/>
    </row>
    <row r="153" spans="2:12" ht="15.75" x14ac:dyDescent="0.25">
      <c r="B153" s="351" t="str">
        <f>'Anexo A'!B153</f>
        <v>2.1.3.1</v>
      </c>
      <c r="C153" s="352" t="str">
        <f>'Anexo A'!D153</f>
        <v>1 PÓRTICO TIPO I - ENTRADA ESTAÇÃO FERROVIÁRIA</v>
      </c>
      <c r="D153" s="353" t="str">
        <f>'Anexo A'!E153</f>
        <v>MÊS</v>
      </c>
      <c r="E153" s="354"/>
      <c r="F153" s="355"/>
      <c r="G153" s="354"/>
      <c r="H153" s="354"/>
      <c r="I153" s="354"/>
      <c r="J153" s="354"/>
      <c r="K153" s="356">
        <f>TRUNC(SUM(K154:K157),2)</f>
        <v>0</v>
      </c>
      <c r="L153" s="357"/>
    </row>
    <row r="154" spans="2:12" ht="15.75" x14ac:dyDescent="0.25">
      <c r="B154" s="358"/>
      <c r="C154" s="359"/>
      <c r="D154" s="360"/>
      <c r="E154" s="361"/>
      <c r="F154" s="361"/>
      <c r="G154" s="361"/>
      <c r="H154" s="361"/>
      <c r="I154" s="361"/>
      <c r="J154" s="361"/>
      <c r="K154" s="362">
        <f t="shared" ref="K154:K157" si="29">PRODUCT(E154:J154)</f>
        <v>0</v>
      </c>
      <c r="L154" s="350"/>
    </row>
    <row r="155" spans="2:12" ht="15.75" x14ac:dyDescent="0.25">
      <c r="B155" s="358"/>
      <c r="C155" s="359"/>
      <c r="D155" s="360"/>
      <c r="E155" s="361"/>
      <c r="F155" s="361"/>
      <c r="G155" s="361"/>
      <c r="H155" s="361"/>
      <c r="I155" s="361"/>
      <c r="J155" s="361"/>
      <c r="K155" s="362">
        <f t="shared" si="29"/>
        <v>0</v>
      </c>
      <c r="L155" s="350"/>
    </row>
    <row r="156" spans="2:12" ht="15.75" x14ac:dyDescent="0.25">
      <c r="B156" s="358"/>
      <c r="C156" s="359"/>
      <c r="D156" s="360"/>
      <c r="E156" s="361"/>
      <c r="F156" s="361"/>
      <c r="G156" s="361"/>
      <c r="H156" s="361"/>
      <c r="I156" s="361"/>
      <c r="J156" s="361"/>
      <c r="K156" s="362">
        <f t="shared" si="29"/>
        <v>0</v>
      </c>
      <c r="L156" s="350"/>
    </row>
    <row r="157" spans="2:12" ht="15.75" x14ac:dyDescent="0.25">
      <c r="B157" s="358"/>
      <c r="C157" s="359"/>
      <c r="D157" s="360"/>
      <c r="E157" s="361"/>
      <c r="F157" s="361"/>
      <c r="G157" s="361"/>
      <c r="H157" s="361"/>
      <c r="I157" s="361"/>
      <c r="J157" s="361"/>
      <c r="K157" s="362">
        <f t="shared" si="29"/>
        <v>0</v>
      </c>
      <c r="L157" s="350"/>
    </row>
    <row r="158" spans="2:12" ht="15.75" x14ac:dyDescent="0.25">
      <c r="B158" s="351" t="str">
        <f>'Anexo A'!B154</f>
        <v>2.1.3.2</v>
      </c>
      <c r="C158" s="352" t="str">
        <f>'Anexo A'!D154</f>
        <v>7 PÓRTICO TIPO II - USO GERAL</v>
      </c>
      <c r="D158" s="353" t="str">
        <f>'Anexo A'!E154</f>
        <v>MÊS</v>
      </c>
      <c r="E158" s="354"/>
      <c r="F158" s="355"/>
      <c r="G158" s="354"/>
      <c r="H158" s="354"/>
      <c r="I158" s="354"/>
      <c r="J158" s="354"/>
      <c r="K158" s="356">
        <f>TRUNC(SUM(K159:K162),2)</f>
        <v>2</v>
      </c>
      <c r="L158" s="357"/>
    </row>
    <row r="159" spans="2:12" ht="15.75" x14ac:dyDescent="0.25">
      <c r="B159" s="358"/>
      <c r="C159" s="359" t="s">
        <v>1864</v>
      </c>
      <c r="D159" s="360"/>
      <c r="E159" s="361">
        <v>1</v>
      </c>
      <c r="F159" s="361"/>
      <c r="G159" s="361"/>
      <c r="H159" s="361"/>
      <c r="I159" s="361"/>
      <c r="J159" s="361"/>
      <c r="K159" s="362">
        <f>PRODUCT(E159:J159)</f>
        <v>1</v>
      </c>
      <c r="L159" s="350"/>
    </row>
    <row r="160" spans="2:12" ht="15.75" x14ac:dyDescent="0.25">
      <c r="B160" s="358"/>
      <c r="C160" s="359" t="s">
        <v>1873</v>
      </c>
      <c r="D160" s="360"/>
      <c r="E160" s="361">
        <v>1</v>
      </c>
      <c r="F160" s="361"/>
      <c r="G160" s="361"/>
      <c r="H160" s="361"/>
      <c r="I160" s="361"/>
      <c r="J160" s="361"/>
      <c r="K160" s="362">
        <f>PRODUCT(E160:J160)</f>
        <v>1</v>
      </c>
      <c r="L160" s="350"/>
    </row>
    <row r="161" spans="2:12" ht="15.75" x14ac:dyDescent="0.25">
      <c r="B161" s="358"/>
      <c r="C161" s="359"/>
      <c r="D161" s="360"/>
      <c r="E161" s="361"/>
      <c r="F161" s="361"/>
      <c r="G161" s="361"/>
      <c r="H161" s="361"/>
      <c r="I161" s="361"/>
      <c r="J161" s="361"/>
      <c r="K161" s="362">
        <f t="shared" ref="K161:K162" si="30">PRODUCT(E161:J161)</f>
        <v>0</v>
      </c>
      <c r="L161" s="350"/>
    </row>
    <row r="162" spans="2:12" ht="15.75" x14ac:dyDescent="0.25">
      <c r="B162" s="358"/>
      <c r="C162" s="359"/>
      <c r="D162" s="360"/>
      <c r="E162" s="361"/>
      <c r="F162" s="361"/>
      <c r="G162" s="361"/>
      <c r="H162" s="361"/>
      <c r="I162" s="361"/>
      <c r="J162" s="361"/>
      <c r="K162" s="362">
        <f t="shared" si="30"/>
        <v>0</v>
      </c>
      <c r="L162" s="350"/>
    </row>
    <row r="163" spans="2:12" ht="15.75" x14ac:dyDescent="0.25">
      <c r="B163" s="364" t="str">
        <f>'Anexo A'!B158</f>
        <v>2.1.5</v>
      </c>
      <c r="C163" s="365" t="str">
        <f>'Anexo A'!D158</f>
        <v>FECHAMENTOS/DISCIPLINADORES/BARRICADAS</v>
      </c>
      <c r="D163" s="366"/>
      <c r="E163" s="367"/>
      <c r="F163" s="368"/>
      <c r="G163" s="368"/>
      <c r="H163" s="368"/>
      <c r="I163" s="368"/>
      <c r="J163" s="368"/>
      <c r="K163" s="368"/>
      <c r="L163" s="349"/>
    </row>
    <row r="164" spans="2:12" ht="15.75" x14ac:dyDescent="0.25">
      <c r="B164" s="351" t="str">
        <f>'Anexo A'!B159</f>
        <v>2.1.5.1</v>
      </c>
      <c r="C164" s="352" t="str">
        <f>'Anexo A'!D159</f>
        <v>500 METROS LINEARES DE FECHAMENTO</v>
      </c>
      <c r="D164" s="353" t="str">
        <f>'Anexo A'!E159</f>
        <v>MÊS</v>
      </c>
      <c r="E164" s="354"/>
      <c r="F164" s="355"/>
      <c r="G164" s="354"/>
      <c r="H164" s="354"/>
      <c r="I164" s="354"/>
      <c r="J164" s="354"/>
      <c r="K164" s="356">
        <f>TRUNC(SUM(K165:K169),2)</f>
        <v>268.68</v>
      </c>
      <c r="L164" s="357"/>
    </row>
    <row r="165" spans="2:12" ht="15.75" x14ac:dyDescent="0.25">
      <c r="B165" s="358"/>
      <c r="C165" s="359" t="s">
        <v>1877</v>
      </c>
      <c r="D165" s="360"/>
      <c r="E165" s="361"/>
      <c r="F165" s="361">
        <f>50.9+18.75+32.28+3.1+16.86</f>
        <v>121.89</v>
      </c>
      <c r="G165" s="361"/>
      <c r="H165" s="361"/>
      <c r="I165" s="361"/>
      <c r="J165" s="361"/>
      <c r="K165" s="362">
        <f t="shared" ref="K165" si="31">PRODUCT(E165:J165)</f>
        <v>121.89</v>
      </c>
      <c r="L165" s="350"/>
    </row>
    <row r="166" spans="2:12" ht="15.75" x14ac:dyDescent="0.25">
      <c r="B166" s="358"/>
      <c r="C166" s="359" t="s">
        <v>1878</v>
      </c>
      <c r="D166" s="360"/>
      <c r="E166" s="361"/>
      <c r="F166" s="361">
        <f>26.24+10.45</f>
        <v>36.69</v>
      </c>
      <c r="G166" s="361"/>
      <c r="H166" s="361"/>
      <c r="I166" s="361"/>
      <c r="J166" s="361"/>
      <c r="K166" s="362">
        <f>PRODUCT(E166:J166)</f>
        <v>36.69</v>
      </c>
      <c r="L166" s="350"/>
    </row>
    <row r="167" spans="2:12" ht="15.75" x14ac:dyDescent="0.25">
      <c r="B167" s="358"/>
      <c r="C167" s="359" t="s">
        <v>1879</v>
      </c>
      <c r="D167" s="360"/>
      <c r="E167" s="361"/>
      <c r="F167" s="361">
        <f>50.1</f>
        <v>50.1</v>
      </c>
      <c r="G167" s="361"/>
      <c r="H167" s="361"/>
      <c r="I167" s="361"/>
      <c r="J167" s="361"/>
      <c r="K167" s="362">
        <f>PRODUCT(E167:J167)</f>
        <v>50.1</v>
      </c>
      <c r="L167" s="350"/>
    </row>
    <row r="168" spans="2:12" ht="15.75" x14ac:dyDescent="0.25">
      <c r="B168" s="358"/>
      <c r="C168" s="359" t="s">
        <v>1880</v>
      </c>
      <c r="D168" s="360"/>
      <c r="E168" s="361"/>
      <c r="F168" s="361">
        <v>60</v>
      </c>
      <c r="G168" s="361"/>
      <c r="H168" s="361"/>
      <c r="I168" s="361"/>
      <c r="J168" s="361"/>
      <c r="K168" s="362">
        <f>PRODUCT(E168:J168)</f>
        <v>60</v>
      </c>
      <c r="L168" s="350"/>
    </row>
    <row r="169" spans="2:12" ht="15.75" x14ac:dyDescent="0.25">
      <c r="B169" s="358"/>
      <c r="C169" s="359"/>
      <c r="D169" s="360"/>
      <c r="E169" s="361"/>
      <c r="F169" s="361"/>
      <c r="G169" s="361"/>
      <c r="H169" s="361"/>
      <c r="I169" s="361"/>
      <c r="J169" s="361"/>
      <c r="K169" s="362">
        <f t="shared" ref="K169" si="32">PRODUCT(E169:J169)</f>
        <v>0</v>
      </c>
      <c r="L169" s="350"/>
    </row>
    <row r="170" spans="2:12" ht="15.75" x14ac:dyDescent="0.25">
      <c r="B170" s="351" t="str">
        <f>'Anexo A'!B160</f>
        <v>2.1.5.2</v>
      </c>
      <c r="C170" s="352" t="str">
        <f>'Anexo A'!D160</f>
        <v>256 METROS LINEARES DE DISCIPLINADORES</v>
      </c>
      <c r="D170" s="353" t="str">
        <f>'Anexo A'!E160</f>
        <v>MÊS</v>
      </c>
      <c r="E170" s="354"/>
      <c r="F170" s="355"/>
      <c r="G170" s="354"/>
      <c r="H170" s="354"/>
      <c r="I170" s="354"/>
      <c r="J170" s="354"/>
      <c r="K170" s="356">
        <f>TRUNC(SUM(K171:K175),2)</f>
        <v>63</v>
      </c>
      <c r="L170" s="357"/>
    </row>
    <row r="171" spans="2:12" ht="15.75" x14ac:dyDescent="0.25">
      <c r="B171" s="358"/>
      <c r="C171" s="359" t="s">
        <v>1877</v>
      </c>
      <c r="D171" s="360"/>
      <c r="E171" s="361"/>
      <c r="F171" s="361">
        <v>24</v>
      </c>
      <c r="G171" s="361"/>
      <c r="H171" s="361"/>
      <c r="I171" s="361"/>
      <c r="J171" s="361"/>
      <c r="K171" s="362">
        <f>PRODUCT(E171:J171)</f>
        <v>24</v>
      </c>
      <c r="L171" s="350"/>
    </row>
    <row r="172" spans="2:12" ht="15.75" x14ac:dyDescent="0.25">
      <c r="B172" s="358"/>
      <c r="C172" s="359" t="s">
        <v>1878</v>
      </c>
      <c r="D172" s="360"/>
      <c r="E172" s="361"/>
      <c r="F172" s="361">
        <v>25</v>
      </c>
      <c r="G172" s="361"/>
      <c r="H172" s="361"/>
      <c r="I172" s="361"/>
      <c r="J172" s="361"/>
      <c r="K172" s="362">
        <f>PRODUCT(E172:J172)</f>
        <v>25</v>
      </c>
      <c r="L172" s="350"/>
    </row>
    <row r="173" spans="2:12" ht="15.75" x14ac:dyDescent="0.25">
      <c r="B173" s="358"/>
      <c r="C173" s="359" t="s">
        <v>1892</v>
      </c>
      <c r="D173" s="360"/>
      <c r="E173" s="361"/>
      <c r="F173" s="361">
        <v>14</v>
      </c>
      <c r="G173" s="361"/>
      <c r="H173" s="361"/>
      <c r="I173" s="361"/>
      <c r="J173" s="361"/>
      <c r="K173" s="362">
        <f t="shared" ref="K173" si="33">PRODUCT(E173:J173)</f>
        <v>14</v>
      </c>
      <c r="L173" s="350"/>
    </row>
    <row r="174" spans="2:12" ht="15.75" x14ac:dyDescent="0.25">
      <c r="B174" s="358"/>
      <c r="C174" s="359"/>
      <c r="D174" s="360"/>
      <c r="E174" s="361"/>
      <c r="F174" s="361"/>
      <c r="G174" s="361"/>
      <c r="H174" s="361"/>
      <c r="I174" s="361"/>
      <c r="J174" s="361"/>
      <c r="K174" s="362">
        <f t="shared" ref="K174:K175" si="34">PRODUCT(E174:J174)</f>
        <v>0</v>
      </c>
      <c r="L174" s="350"/>
    </row>
    <row r="175" spans="2:12" ht="15.75" x14ac:dyDescent="0.25">
      <c r="B175" s="358"/>
      <c r="C175" s="359"/>
      <c r="D175" s="360"/>
      <c r="E175" s="361"/>
      <c r="F175" s="361"/>
      <c r="G175" s="361"/>
      <c r="H175" s="361"/>
      <c r="I175" s="361"/>
      <c r="J175" s="361"/>
      <c r="K175" s="362">
        <f t="shared" si="34"/>
        <v>0</v>
      </c>
      <c r="L175" s="350"/>
    </row>
    <row r="176" spans="2:12" ht="15.75" x14ac:dyDescent="0.25">
      <c r="B176" s="351" t="str">
        <f>'Anexo A'!B161</f>
        <v>2.1.5.3</v>
      </c>
      <c r="C176" s="352" t="str">
        <f>'Anexo A'!D161</f>
        <v>12 METROS LINEARES DE BARRICADAS</v>
      </c>
      <c r="D176" s="353" t="str">
        <f>'Anexo A'!E161</f>
        <v>MÊS</v>
      </c>
      <c r="E176" s="354"/>
      <c r="F176" s="355"/>
      <c r="G176" s="354"/>
      <c r="H176" s="354"/>
      <c r="I176" s="354"/>
      <c r="J176" s="354"/>
      <c r="K176" s="356">
        <f>TRUNC(SUM(K177:K179),2)</f>
        <v>0</v>
      </c>
      <c r="L176" s="357"/>
    </row>
    <row r="177" spans="2:12" ht="15.75" x14ac:dyDescent="0.25">
      <c r="B177" s="358"/>
      <c r="C177" s="359"/>
      <c r="D177" s="360"/>
      <c r="E177" s="361">
        <v>0</v>
      </c>
      <c r="F177" s="361"/>
      <c r="G177" s="361"/>
      <c r="H177" s="361"/>
      <c r="I177" s="361"/>
      <c r="J177" s="361"/>
      <c r="K177" s="362">
        <f t="shared" ref="K177:K179" si="35">PRODUCT(E177:J177)</f>
        <v>0</v>
      </c>
      <c r="L177" s="350"/>
    </row>
    <row r="178" spans="2:12" ht="15.75" x14ac:dyDescent="0.25">
      <c r="B178" s="358"/>
      <c r="C178" s="359"/>
      <c r="D178" s="360"/>
      <c r="E178" s="361"/>
      <c r="F178" s="361"/>
      <c r="G178" s="361"/>
      <c r="H178" s="361"/>
      <c r="I178" s="361"/>
      <c r="J178" s="361"/>
      <c r="K178" s="362">
        <f t="shared" si="35"/>
        <v>0</v>
      </c>
      <c r="L178" s="350"/>
    </row>
    <row r="179" spans="2:12" ht="15.75" x14ac:dyDescent="0.25">
      <c r="B179" s="358"/>
      <c r="C179" s="359"/>
      <c r="D179" s="360"/>
      <c r="E179" s="361"/>
      <c r="F179" s="361"/>
      <c r="G179" s="361"/>
      <c r="H179" s="361"/>
      <c r="I179" s="361"/>
      <c r="J179" s="361"/>
      <c r="K179" s="362">
        <f t="shared" si="35"/>
        <v>0</v>
      </c>
      <c r="L179" s="350"/>
    </row>
    <row r="180" spans="2:12" ht="15.75" x14ac:dyDescent="0.25">
      <c r="B180" s="364" t="str">
        <f>'Anexo A'!B162</f>
        <v>2.1.6</v>
      </c>
      <c r="C180" s="365" t="str">
        <f>'Anexo A'!D162</f>
        <v>BARRACAS</v>
      </c>
      <c r="D180" s="366"/>
      <c r="E180" s="367"/>
      <c r="F180" s="368"/>
      <c r="G180" s="368"/>
      <c r="H180" s="368"/>
      <c r="I180" s="368"/>
      <c r="J180" s="368"/>
      <c r="K180" s="368"/>
      <c r="L180" s="350"/>
    </row>
    <row r="181" spans="2:12" ht="15.75" x14ac:dyDescent="0.25">
      <c r="B181" s="351" t="str">
        <f>'Anexo A'!B163</f>
        <v>2.1.6.1</v>
      </c>
      <c r="C181" s="352" t="str">
        <f>'Anexo A'!D163</f>
        <v>22 BARRACAS - 2,00m x 2,00m</v>
      </c>
      <c r="D181" s="353" t="str">
        <f>'Anexo A'!E163</f>
        <v>MÊS</v>
      </c>
      <c r="E181" s="354"/>
      <c r="F181" s="355"/>
      <c r="G181" s="354"/>
      <c r="H181" s="354"/>
      <c r="I181" s="354"/>
      <c r="J181" s="354"/>
      <c r="K181" s="356">
        <f>TRUNC(SUM(K182:K183),2)</f>
        <v>0</v>
      </c>
      <c r="L181" s="350"/>
    </row>
    <row r="182" spans="2:12" ht="15.75" x14ac:dyDescent="0.25">
      <c r="B182" s="358"/>
      <c r="C182" s="359"/>
      <c r="D182" s="360"/>
      <c r="E182" s="361">
        <v>0</v>
      </c>
      <c r="F182" s="361"/>
      <c r="G182" s="361"/>
      <c r="H182" s="361"/>
      <c r="I182" s="361"/>
      <c r="J182" s="361"/>
      <c r="K182" s="362">
        <f t="shared" ref="K182:K183" si="36">PRODUCT(E182:J182)</f>
        <v>0</v>
      </c>
      <c r="L182" s="350"/>
    </row>
    <row r="183" spans="2:12" ht="15.75" x14ac:dyDescent="0.25">
      <c r="B183" s="358"/>
      <c r="C183" s="359"/>
      <c r="D183" s="360"/>
      <c r="E183" s="361"/>
      <c r="F183" s="361"/>
      <c r="G183" s="361"/>
      <c r="H183" s="361"/>
      <c r="I183" s="361"/>
      <c r="J183" s="361"/>
      <c r="K183" s="362">
        <f t="shared" si="36"/>
        <v>0</v>
      </c>
      <c r="L183" s="350"/>
    </row>
    <row r="184" spans="2:12" ht="15.75" x14ac:dyDescent="0.25">
      <c r="B184" s="351" t="str">
        <f>'Anexo A'!B164</f>
        <v>2.1.6.2</v>
      </c>
      <c r="C184" s="352" t="str">
        <f>'Anexo A'!D164</f>
        <v>20 BARRACAS - 5,00m x 2,00m</v>
      </c>
      <c r="D184" s="353" t="str">
        <f>'Anexo A'!E164</f>
        <v>MÊS</v>
      </c>
      <c r="E184" s="354"/>
      <c r="F184" s="355"/>
      <c r="G184" s="354"/>
      <c r="H184" s="354"/>
      <c r="I184" s="354"/>
      <c r="J184" s="354"/>
      <c r="K184" s="356">
        <f>TRUNC(SUM(K185:K186),2)</f>
        <v>0</v>
      </c>
      <c r="L184" s="350"/>
    </row>
    <row r="185" spans="2:12" ht="15.75" x14ac:dyDescent="0.25">
      <c r="B185" s="358"/>
      <c r="C185" s="359"/>
      <c r="D185" s="360"/>
      <c r="E185" s="361">
        <v>0</v>
      </c>
      <c r="F185" s="361"/>
      <c r="G185" s="361"/>
      <c r="H185" s="361"/>
      <c r="I185" s="361"/>
      <c r="J185" s="361"/>
      <c r="K185" s="362">
        <f t="shared" ref="K185:K186" si="37">PRODUCT(E185:J185)</f>
        <v>0</v>
      </c>
      <c r="L185" s="350"/>
    </row>
    <row r="186" spans="2:12" ht="15.75" x14ac:dyDescent="0.25">
      <c r="B186" s="358"/>
      <c r="C186" s="359"/>
      <c r="D186" s="360"/>
      <c r="E186" s="361"/>
      <c r="F186" s="361"/>
      <c r="G186" s="361"/>
      <c r="H186" s="361"/>
      <c r="I186" s="361"/>
      <c r="J186" s="361"/>
      <c r="K186" s="362">
        <f t="shared" si="37"/>
        <v>0</v>
      </c>
      <c r="L186" s="350"/>
    </row>
    <row r="187" spans="2:12" ht="15.75" x14ac:dyDescent="0.25">
      <c r="B187" s="364" t="str">
        <f>'Anexo A'!B165</f>
        <v>2.1.7</v>
      </c>
      <c r="C187" s="365" t="str">
        <f>'Anexo A'!D165</f>
        <v>MOBILIÁRIO/AMBIENTAÇÃO</v>
      </c>
      <c r="D187" s="366"/>
      <c r="E187" s="367"/>
      <c r="F187" s="368"/>
      <c r="G187" s="368"/>
      <c r="H187" s="368"/>
      <c r="I187" s="368"/>
      <c r="J187" s="368"/>
      <c r="K187" s="368"/>
      <c r="L187" s="350"/>
    </row>
    <row r="188" spans="2:12" ht="15.75" x14ac:dyDescent="0.25">
      <c r="B188" s="351" t="str">
        <f>'Anexo A'!B166</f>
        <v>2.1.7.1</v>
      </c>
      <c r="C188" s="352" t="str">
        <f>'Anexo A'!D166</f>
        <v>120 CADEIRAS - PVC branco sem braços</v>
      </c>
      <c r="D188" s="353" t="str">
        <f>'Anexo A'!E166</f>
        <v>DIÁRIA</v>
      </c>
      <c r="E188" s="354"/>
      <c r="F188" s="355"/>
      <c r="G188" s="354"/>
      <c r="H188" s="354"/>
      <c r="I188" s="354"/>
      <c r="J188" s="354"/>
      <c r="K188" s="356">
        <f>TRUNC(SUM(K189:K191),2)</f>
        <v>0</v>
      </c>
      <c r="L188" s="350"/>
    </row>
    <row r="189" spans="2:12" ht="15.75" x14ac:dyDescent="0.25">
      <c r="B189" s="358"/>
      <c r="C189" s="359"/>
      <c r="D189" s="360"/>
      <c r="E189" s="361"/>
      <c r="F189" s="361"/>
      <c r="G189" s="361"/>
      <c r="H189" s="361"/>
      <c r="I189" s="361"/>
      <c r="J189" s="361"/>
      <c r="K189" s="362">
        <f>PRODUCT(E189:J189)</f>
        <v>0</v>
      </c>
      <c r="L189" s="350"/>
    </row>
    <row r="190" spans="2:12" ht="15.75" x14ac:dyDescent="0.25">
      <c r="B190" s="358"/>
      <c r="C190" s="359"/>
      <c r="D190" s="360"/>
      <c r="E190" s="361"/>
      <c r="F190" s="361"/>
      <c r="G190" s="361"/>
      <c r="H190" s="361"/>
      <c r="I190" s="361"/>
      <c r="J190" s="361"/>
      <c r="K190" s="362">
        <f>PRODUCT(E190:J190)</f>
        <v>0</v>
      </c>
      <c r="L190" s="350"/>
    </row>
    <row r="191" spans="2:12" ht="15.75" x14ac:dyDescent="0.25">
      <c r="B191" s="358"/>
      <c r="C191" s="359"/>
      <c r="D191" s="360"/>
      <c r="E191" s="361"/>
      <c r="F191" s="361"/>
      <c r="G191" s="361"/>
      <c r="H191" s="361"/>
      <c r="I191" s="361"/>
      <c r="J191" s="361"/>
      <c r="K191" s="362">
        <f t="shared" ref="K191" si="38">PRODUCT(E191:J191)</f>
        <v>0</v>
      </c>
      <c r="L191" s="350"/>
    </row>
    <row r="192" spans="2:12" ht="15.75" x14ac:dyDescent="0.25">
      <c r="B192" s="351" t="str">
        <f>'Anexo A'!B167</f>
        <v>2.1.7.2</v>
      </c>
      <c r="C192" s="352" t="str">
        <f>'Anexo A'!D167</f>
        <v>40 MESAS - PVC branco com 4 lugares</v>
      </c>
      <c r="D192" s="353" t="str">
        <f>'Anexo A'!E167</f>
        <v>DIÁRIA</v>
      </c>
      <c r="E192" s="354"/>
      <c r="F192" s="355"/>
      <c r="G192" s="354"/>
      <c r="H192" s="354"/>
      <c r="I192" s="354"/>
      <c r="J192" s="354"/>
      <c r="K192" s="356">
        <f>TRUNC(SUM(K193:K194),2)</f>
        <v>0</v>
      </c>
      <c r="L192" s="350"/>
    </row>
    <row r="193" spans="2:12" ht="15.75" x14ac:dyDescent="0.25">
      <c r="B193" s="358"/>
      <c r="C193" s="359"/>
      <c r="D193" s="360"/>
      <c r="E193" s="361"/>
      <c r="F193" s="361"/>
      <c r="G193" s="361"/>
      <c r="H193" s="361"/>
      <c r="I193" s="361"/>
      <c r="J193" s="361"/>
      <c r="K193" s="362">
        <f t="shared" ref="K193:K194" si="39">PRODUCT(E193:J193)</f>
        <v>0</v>
      </c>
      <c r="L193" s="350"/>
    </row>
    <row r="194" spans="2:12" ht="15.75" x14ac:dyDescent="0.25">
      <c r="B194" s="358"/>
      <c r="C194" s="359"/>
      <c r="D194" s="360"/>
      <c r="E194" s="361"/>
      <c r="F194" s="361"/>
      <c r="G194" s="361"/>
      <c r="H194" s="361"/>
      <c r="I194" s="361"/>
      <c r="J194" s="361"/>
      <c r="K194" s="362">
        <f t="shared" si="39"/>
        <v>0</v>
      </c>
      <c r="L194" s="350"/>
    </row>
    <row r="195" spans="2:12" ht="15.75" x14ac:dyDescent="0.25">
      <c r="B195" s="364" t="str">
        <f>'Anexo A'!B169</f>
        <v>2.1.8</v>
      </c>
      <c r="C195" s="365" t="str">
        <f>'Anexo A'!D169</f>
        <v>CABINES SANITÁRIAS</v>
      </c>
      <c r="D195" s="366"/>
      <c r="E195" s="367"/>
      <c r="F195" s="368"/>
      <c r="G195" s="368"/>
      <c r="H195" s="368"/>
      <c r="I195" s="368"/>
      <c r="J195" s="368"/>
      <c r="K195" s="368"/>
      <c r="L195" s="350"/>
    </row>
    <row r="196" spans="2:12" ht="15.75" x14ac:dyDescent="0.25">
      <c r="B196" s="351" t="str">
        <f>'Anexo A'!B170</f>
        <v>2.1.8.1</v>
      </c>
      <c r="C196" s="352" t="str">
        <f>'Anexo A'!D170</f>
        <v>58 CABINES SANITÁRIA TIPO I - Standard</v>
      </c>
      <c r="D196" s="353" t="str">
        <f>'Anexo A'!E170</f>
        <v>DIÁRIA</v>
      </c>
      <c r="E196" s="354"/>
      <c r="F196" s="355"/>
      <c r="G196" s="354"/>
      <c r="H196" s="354"/>
      <c r="I196" s="354"/>
      <c r="J196" s="354"/>
      <c r="K196" s="356">
        <f>TRUNC(SUM(K197:K202),2)</f>
        <v>36</v>
      </c>
      <c r="L196" s="350"/>
    </row>
    <row r="197" spans="2:12" ht="15.75" x14ac:dyDescent="0.25">
      <c r="B197" s="358"/>
      <c r="C197" s="359" t="s">
        <v>1877</v>
      </c>
      <c r="D197" s="360"/>
      <c r="E197" s="361">
        <v>25</v>
      </c>
      <c r="F197" s="361"/>
      <c r="G197" s="361"/>
      <c r="H197" s="361"/>
      <c r="I197" s="361"/>
      <c r="J197" s="361"/>
      <c r="K197" s="362">
        <f>PRODUCT(E197:J197)</f>
        <v>25</v>
      </c>
      <c r="L197" s="350"/>
    </row>
    <row r="198" spans="2:12" ht="15.75" x14ac:dyDescent="0.25">
      <c r="B198" s="358"/>
      <c r="C198" s="359" t="s">
        <v>1878</v>
      </c>
      <c r="D198" s="360"/>
      <c r="E198" s="361">
        <v>5</v>
      </c>
      <c r="F198" s="361"/>
      <c r="G198" s="361"/>
      <c r="H198" s="361"/>
      <c r="I198" s="361"/>
      <c r="J198" s="361"/>
      <c r="K198" s="362">
        <f>PRODUCT(E198:J198)</f>
        <v>5</v>
      </c>
      <c r="L198" s="350"/>
    </row>
    <row r="199" spans="2:12" ht="15.75" x14ac:dyDescent="0.25">
      <c r="B199" s="358"/>
      <c r="C199" s="359" t="s">
        <v>1952</v>
      </c>
      <c r="D199" s="360"/>
      <c r="E199" s="361">
        <v>2</v>
      </c>
      <c r="F199" s="361"/>
      <c r="G199" s="361"/>
      <c r="H199" s="361"/>
      <c r="I199" s="361"/>
      <c r="J199" s="361"/>
      <c r="K199" s="362">
        <f t="shared" ref="K199:K200" si="40">PRODUCT(E199:J199)</f>
        <v>2</v>
      </c>
      <c r="L199" s="350"/>
    </row>
    <row r="200" spans="2:12" ht="15.75" x14ac:dyDescent="0.25">
      <c r="B200" s="358"/>
      <c r="C200" s="359" t="s">
        <v>1957</v>
      </c>
      <c r="D200" s="360"/>
      <c r="E200" s="361">
        <v>4</v>
      </c>
      <c r="F200" s="361"/>
      <c r="G200" s="361"/>
      <c r="H200" s="361"/>
      <c r="I200" s="361"/>
      <c r="J200" s="361"/>
      <c r="K200" s="362">
        <f t="shared" si="40"/>
        <v>4</v>
      </c>
      <c r="L200" s="350"/>
    </row>
    <row r="201" spans="2:12" ht="15.75" x14ac:dyDescent="0.25">
      <c r="B201" s="358"/>
      <c r="C201" s="359"/>
      <c r="D201" s="360"/>
      <c r="E201" s="361"/>
      <c r="F201" s="361"/>
      <c r="G201" s="361"/>
      <c r="H201" s="361"/>
      <c r="I201" s="361"/>
      <c r="J201" s="361"/>
      <c r="K201" s="362">
        <f t="shared" ref="K201" si="41">PRODUCT(E201:J201)</f>
        <v>0</v>
      </c>
      <c r="L201" s="350"/>
    </row>
    <row r="202" spans="2:12" ht="15.75" x14ac:dyDescent="0.25">
      <c r="B202" s="358"/>
      <c r="C202" s="359"/>
      <c r="D202" s="360"/>
      <c r="E202" s="361"/>
      <c r="F202" s="361"/>
      <c r="G202" s="361"/>
      <c r="H202" s="361"/>
      <c r="I202" s="361"/>
      <c r="J202" s="361"/>
      <c r="K202" s="362">
        <f t="shared" ref="K202" si="42">PRODUCT(E202:J202)</f>
        <v>0</v>
      </c>
      <c r="L202" s="350"/>
    </row>
    <row r="203" spans="2:12" ht="15.75" x14ac:dyDescent="0.25">
      <c r="B203" s="351" t="str">
        <f>'Anexo A'!B171</f>
        <v>2.1.8.2</v>
      </c>
      <c r="C203" s="352" t="str">
        <f>'Anexo A'!D171</f>
        <v>1 CABINES SANITÁRIA TIPO II - PNE</v>
      </c>
      <c r="D203" s="353" t="str">
        <f>'Anexo A'!E171</f>
        <v>DIÁRIA</v>
      </c>
      <c r="E203" s="354"/>
      <c r="F203" s="355"/>
      <c r="G203" s="354"/>
      <c r="H203" s="354"/>
      <c r="I203" s="354"/>
      <c r="J203" s="354"/>
      <c r="K203" s="356">
        <f>TRUNC(SUM(K204:K205),2)</f>
        <v>0</v>
      </c>
      <c r="L203" s="350"/>
    </row>
    <row r="204" spans="2:12" ht="15.75" x14ac:dyDescent="0.25">
      <c r="B204" s="358"/>
      <c r="C204" s="359"/>
      <c r="D204" s="360"/>
      <c r="E204" s="361">
        <v>0</v>
      </c>
      <c r="F204" s="361"/>
      <c r="G204" s="361"/>
      <c r="H204" s="361"/>
      <c r="I204" s="361"/>
      <c r="J204" s="361"/>
      <c r="K204" s="362">
        <f t="shared" ref="K204:K205" si="43">PRODUCT(E204:J204)</f>
        <v>0</v>
      </c>
      <c r="L204" s="350"/>
    </row>
    <row r="205" spans="2:12" ht="15.75" x14ac:dyDescent="0.25">
      <c r="B205" s="358"/>
      <c r="C205" s="359"/>
      <c r="D205" s="360"/>
      <c r="E205" s="361"/>
      <c r="F205" s="361"/>
      <c r="G205" s="361"/>
      <c r="H205" s="361"/>
      <c r="I205" s="361"/>
      <c r="J205" s="361"/>
      <c r="K205" s="362">
        <f t="shared" si="43"/>
        <v>0</v>
      </c>
      <c r="L205" s="350"/>
    </row>
    <row r="206" spans="2:12" ht="15.75" x14ac:dyDescent="0.25">
      <c r="B206" s="364" t="str">
        <f>'Anexo A'!B321</f>
        <v>2.3</v>
      </c>
      <c r="C206" s="365" t="str">
        <f>'Anexo A'!D321</f>
        <v>GERADORES</v>
      </c>
      <c r="D206" s="366"/>
      <c r="E206" s="367"/>
      <c r="F206" s="368"/>
      <c r="G206" s="368"/>
      <c r="H206" s="368"/>
      <c r="I206" s="368"/>
      <c r="J206" s="368"/>
      <c r="K206" s="368"/>
      <c r="L206" s="350"/>
    </row>
    <row r="207" spans="2:12" ht="15.75" x14ac:dyDescent="0.25">
      <c r="B207" s="351" t="str">
        <f>'Anexo A'!B322</f>
        <v>2.3.1.1</v>
      </c>
      <c r="C207" s="352" t="str">
        <f>'Anexo A'!D322</f>
        <v>06 Geradores 260KVA (Stand-By)</v>
      </c>
      <c r="D207" s="353" t="str">
        <f>'Anexo A'!E322</f>
        <v>DIÁRIA</v>
      </c>
      <c r="E207" s="354"/>
      <c r="F207" s="355"/>
      <c r="G207" s="354"/>
      <c r="H207" s="354"/>
      <c r="I207" s="354"/>
      <c r="J207" s="354"/>
      <c r="K207" s="356">
        <f>TRUNC(SUM(K208:K210),2)</f>
        <v>4</v>
      </c>
      <c r="L207" s="350"/>
    </row>
    <row r="208" spans="2:12" ht="15.75" x14ac:dyDescent="0.25">
      <c r="B208" s="358"/>
      <c r="C208" s="359" t="s">
        <v>1878</v>
      </c>
      <c r="D208" s="360"/>
      <c r="E208" s="361">
        <v>2</v>
      </c>
      <c r="F208" s="361"/>
      <c r="G208" s="361"/>
      <c r="H208" s="361"/>
      <c r="I208" s="361"/>
      <c r="J208" s="361"/>
      <c r="K208" s="362">
        <f>PRODUCT(E208:J208)</f>
        <v>2</v>
      </c>
      <c r="L208" s="350"/>
    </row>
    <row r="209" spans="2:12" ht="15.75" x14ac:dyDescent="0.25">
      <c r="B209" s="358"/>
      <c r="C209" s="359" t="s">
        <v>1877</v>
      </c>
      <c r="D209" s="360"/>
      <c r="E209" s="361">
        <v>2</v>
      </c>
      <c r="F209" s="361"/>
      <c r="G209" s="361"/>
      <c r="H209" s="361"/>
      <c r="I209" s="361"/>
      <c r="J209" s="361"/>
      <c r="K209" s="362">
        <f>PRODUCT(E209:J209)</f>
        <v>2</v>
      </c>
      <c r="L209" s="350"/>
    </row>
    <row r="210" spans="2:12" ht="15.75" x14ac:dyDescent="0.25">
      <c r="B210" s="358"/>
      <c r="C210" s="359"/>
      <c r="D210" s="360"/>
      <c r="E210" s="361"/>
      <c r="F210" s="361"/>
      <c r="G210" s="361"/>
      <c r="H210" s="361"/>
      <c r="I210" s="361"/>
      <c r="J210" s="361"/>
      <c r="K210" s="362">
        <f t="shared" ref="K210" si="44">PRODUCT(E210:J210)</f>
        <v>0</v>
      </c>
      <c r="L210" s="350"/>
    </row>
    <row r="211" spans="2:12" ht="15.75" x14ac:dyDescent="0.25">
      <c r="B211" s="344" t="str">
        <f>'Anexo A'!B323</f>
        <v>3.</v>
      </c>
      <c r="C211" s="345" t="str">
        <f>'Anexo A'!D323</f>
        <v>ALTO DO MOURA</v>
      </c>
      <c r="D211" s="346"/>
      <c r="E211" s="347"/>
      <c r="F211" s="348"/>
      <c r="G211" s="348"/>
      <c r="H211" s="348"/>
      <c r="I211" s="348"/>
      <c r="J211" s="348"/>
      <c r="K211" s="348"/>
      <c r="L211" s="350"/>
    </row>
    <row r="212" spans="2:12" ht="15.75" x14ac:dyDescent="0.25">
      <c r="B212" s="364" t="str">
        <f>'Anexo A'!B327</f>
        <v>3.1.3</v>
      </c>
      <c r="C212" s="365" t="str">
        <f>'Anexo A'!D327</f>
        <v>PÓRTICOS</v>
      </c>
      <c r="D212" s="366"/>
      <c r="E212" s="367"/>
      <c r="F212" s="368"/>
      <c r="G212" s="368"/>
      <c r="H212" s="368"/>
      <c r="I212" s="368"/>
      <c r="J212" s="368"/>
      <c r="K212" s="368"/>
      <c r="L212" s="350"/>
    </row>
    <row r="213" spans="2:12" ht="15.75" x14ac:dyDescent="0.25">
      <c r="B213" s="351" t="str">
        <f>'Anexo A'!B328</f>
        <v>3.1.3.1</v>
      </c>
      <c r="C213" s="352" t="str">
        <f>'Anexo A'!D328</f>
        <v>10 PÓRTICO TIPO II</v>
      </c>
      <c r="D213" s="353" t="str">
        <f>'Anexo A'!E328</f>
        <v>MÊS</v>
      </c>
      <c r="E213" s="354"/>
      <c r="F213" s="355"/>
      <c r="G213" s="354"/>
      <c r="H213" s="354"/>
      <c r="I213" s="354"/>
      <c r="J213" s="354"/>
      <c r="K213" s="356">
        <f>TRUNC(SUM(K214:K217),2)</f>
        <v>0</v>
      </c>
      <c r="L213" s="350"/>
    </row>
    <row r="214" spans="2:12" ht="15.75" x14ac:dyDescent="0.25">
      <c r="B214" s="358"/>
      <c r="C214" s="359"/>
      <c r="D214" s="360"/>
      <c r="E214" s="361"/>
      <c r="F214" s="361"/>
      <c r="G214" s="361"/>
      <c r="H214" s="361"/>
      <c r="I214" s="361"/>
      <c r="J214" s="361"/>
      <c r="K214" s="362">
        <f t="shared" ref="K214:K217" si="45">PRODUCT(E214:J214)</f>
        <v>0</v>
      </c>
      <c r="L214" s="350"/>
    </row>
    <row r="215" spans="2:12" ht="15.75" x14ac:dyDescent="0.25">
      <c r="B215" s="358"/>
      <c r="C215" s="359"/>
      <c r="D215" s="360"/>
      <c r="E215" s="361"/>
      <c r="F215" s="361"/>
      <c r="G215" s="361"/>
      <c r="H215" s="361"/>
      <c r="I215" s="361"/>
      <c r="J215" s="361"/>
      <c r="K215" s="362">
        <f t="shared" si="45"/>
        <v>0</v>
      </c>
      <c r="L215" s="350"/>
    </row>
    <row r="216" spans="2:12" ht="15.75" x14ac:dyDescent="0.25">
      <c r="B216" s="358"/>
      <c r="C216" s="359"/>
      <c r="D216" s="360"/>
      <c r="E216" s="361"/>
      <c r="F216" s="361"/>
      <c r="G216" s="361"/>
      <c r="H216" s="361"/>
      <c r="I216" s="361"/>
      <c r="J216" s="361"/>
      <c r="K216" s="362">
        <f t="shared" si="45"/>
        <v>0</v>
      </c>
      <c r="L216" s="350"/>
    </row>
    <row r="217" spans="2:12" ht="15.75" x14ac:dyDescent="0.25">
      <c r="B217" s="358"/>
      <c r="C217" s="359"/>
      <c r="D217" s="360"/>
      <c r="E217" s="361"/>
      <c r="F217" s="361"/>
      <c r="G217" s="361"/>
      <c r="H217" s="361"/>
      <c r="I217" s="361"/>
      <c r="J217" s="361"/>
      <c r="K217" s="362">
        <f t="shared" si="45"/>
        <v>0</v>
      </c>
      <c r="L217" s="350"/>
    </row>
    <row r="218" spans="2:12" ht="15.75" x14ac:dyDescent="0.25">
      <c r="B218" s="351" t="str">
        <f>'Anexo A'!B329</f>
        <v>3.1.3.2</v>
      </c>
      <c r="C218" s="352" t="str">
        <f>'Anexo A'!D329</f>
        <v>2 PÓRTICO TIPO IV</v>
      </c>
      <c r="D218" s="353" t="str">
        <f>'Anexo A'!E329</f>
        <v>MÊS</v>
      </c>
      <c r="E218" s="354"/>
      <c r="F218" s="355"/>
      <c r="G218" s="354"/>
      <c r="H218" s="354"/>
      <c r="I218" s="354"/>
      <c r="J218" s="354"/>
      <c r="K218" s="356">
        <f>TRUNC(SUM(K219:K222),2)</f>
        <v>0</v>
      </c>
      <c r="L218" s="350"/>
    </row>
    <row r="219" spans="2:12" ht="15.75" x14ac:dyDescent="0.25">
      <c r="B219" s="358"/>
      <c r="C219" s="359"/>
      <c r="D219" s="360"/>
      <c r="E219" s="361"/>
      <c r="F219" s="361"/>
      <c r="G219" s="361"/>
      <c r="H219" s="361"/>
      <c r="I219" s="361"/>
      <c r="J219" s="361"/>
      <c r="K219" s="362">
        <f>PRODUCT(E219:J219)</f>
        <v>0</v>
      </c>
      <c r="L219" s="350"/>
    </row>
    <row r="220" spans="2:12" ht="15.75" x14ac:dyDescent="0.25">
      <c r="B220" s="358"/>
      <c r="C220" s="359"/>
      <c r="D220" s="360"/>
      <c r="E220" s="361"/>
      <c r="F220" s="361"/>
      <c r="G220" s="361"/>
      <c r="H220" s="361"/>
      <c r="I220" s="361"/>
      <c r="J220" s="361"/>
      <c r="K220" s="362">
        <f>PRODUCT(E220:J220)</f>
        <v>0</v>
      </c>
      <c r="L220" s="350"/>
    </row>
    <row r="221" spans="2:12" ht="15.75" x14ac:dyDescent="0.25">
      <c r="B221" s="358"/>
      <c r="C221" s="359"/>
      <c r="D221" s="360"/>
      <c r="E221" s="361"/>
      <c r="F221" s="361"/>
      <c r="G221" s="361"/>
      <c r="H221" s="361"/>
      <c r="I221" s="361"/>
      <c r="J221" s="361"/>
      <c r="K221" s="362">
        <f t="shared" ref="K221:K222" si="46">PRODUCT(E221:J221)</f>
        <v>0</v>
      </c>
      <c r="L221" s="350"/>
    </row>
    <row r="222" spans="2:12" ht="15.75" x14ac:dyDescent="0.25">
      <c r="B222" s="358"/>
      <c r="C222" s="359"/>
      <c r="D222" s="360"/>
      <c r="E222" s="361"/>
      <c r="F222" s="361"/>
      <c r="G222" s="361"/>
      <c r="H222" s="361"/>
      <c r="I222" s="361"/>
      <c r="J222" s="361"/>
      <c r="K222" s="362">
        <f t="shared" si="46"/>
        <v>0</v>
      </c>
      <c r="L222" s="350"/>
    </row>
    <row r="223" spans="2:12" ht="15.75" x14ac:dyDescent="0.25">
      <c r="B223" s="364" t="str">
        <f>'Anexo A'!B332</f>
        <v>3.1.5</v>
      </c>
      <c r="C223" s="365" t="str">
        <f>'Anexo A'!D332</f>
        <v>FECHAMENTOS/DISCIPLINADORES/BARRICADAS</v>
      </c>
      <c r="D223" s="366"/>
      <c r="E223" s="367"/>
      <c r="F223" s="368"/>
      <c r="G223" s="368"/>
      <c r="H223" s="368"/>
      <c r="I223" s="368"/>
      <c r="J223" s="368"/>
      <c r="K223" s="368"/>
      <c r="L223" s="350"/>
    </row>
    <row r="224" spans="2:12" ht="15.75" x14ac:dyDescent="0.25">
      <c r="B224" s="351" t="str">
        <f>'Anexo A'!B333</f>
        <v>3.1.5.1</v>
      </c>
      <c r="C224" s="352" t="str">
        <f>'Anexo A'!D333</f>
        <v>800 METROS LINEARES DE FECHAMENTO</v>
      </c>
      <c r="D224" s="353" t="str">
        <f>'Anexo A'!E333</f>
        <v>MÊS</v>
      </c>
      <c r="E224" s="354"/>
      <c r="F224" s="355"/>
      <c r="G224" s="354"/>
      <c r="H224" s="354"/>
      <c r="I224" s="354"/>
      <c r="J224" s="354"/>
      <c r="K224" s="356">
        <f>TRUNC(SUM(K225:K229),2)</f>
        <v>0</v>
      </c>
      <c r="L224" s="350"/>
    </row>
    <row r="225" spans="2:12" ht="15.75" x14ac:dyDescent="0.25">
      <c r="B225" s="358"/>
      <c r="C225" s="359"/>
      <c r="D225" s="360"/>
      <c r="E225" s="361"/>
      <c r="F225" s="361"/>
      <c r="G225" s="361"/>
      <c r="H225" s="361"/>
      <c r="I225" s="361"/>
      <c r="J225" s="361"/>
      <c r="K225" s="362">
        <f t="shared" ref="K225" si="47">PRODUCT(E225:J225)</f>
        <v>0</v>
      </c>
      <c r="L225" s="350"/>
    </row>
    <row r="226" spans="2:12" ht="15.75" x14ac:dyDescent="0.25">
      <c r="B226" s="358"/>
      <c r="C226" s="359"/>
      <c r="D226" s="360"/>
      <c r="E226" s="361"/>
      <c r="F226" s="361"/>
      <c r="G226" s="361"/>
      <c r="H226" s="361"/>
      <c r="I226" s="361"/>
      <c r="J226" s="361"/>
      <c r="K226" s="362">
        <f>PRODUCT(E226:J226)</f>
        <v>0</v>
      </c>
      <c r="L226" s="350"/>
    </row>
    <row r="227" spans="2:12" ht="15.75" x14ac:dyDescent="0.25">
      <c r="B227" s="358"/>
      <c r="C227" s="359"/>
      <c r="D227" s="360"/>
      <c r="E227" s="361"/>
      <c r="F227" s="361"/>
      <c r="G227" s="361"/>
      <c r="H227" s="361"/>
      <c r="I227" s="361"/>
      <c r="J227" s="361"/>
      <c r="K227" s="362">
        <f>PRODUCT(E227:J227)</f>
        <v>0</v>
      </c>
      <c r="L227" s="350"/>
    </row>
    <row r="228" spans="2:12" ht="15.75" x14ac:dyDescent="0.25">
      <c r="B228" s="358"/>
      <c r="C228" s="359"/>
      <c r="D228" s="360"/>
      <c r="E228" s="361"/>
      <c r="F228" s="361"/>
      <c r="G228" s="361"/>
      <c r="H228" s="361"/>
      <c r="I228" s="361"/>
      <c r="J228" s="361"/>
      <c r="K228" s="362">
        <f>PRODUCT(E228:J228)</f>
        <v>0</v>
      </c>
      <c r="L228" s="350"/>
    </row>
    <row r="229" spans="2:12" ht="15.75" x14ac:dyDescent="0.25">
      <c r="B229" s="358"/>
      <c r="C229" s="359"/>
      <c r="D229" s="360"/>
      <c r="E229" s="361"/>
      <c r="F229" s="361"/>
      <c r="G229" s="361"/>
      <c r="H229" s="361"/>
      <c r="I229" s="361"/>
      <c r="J229" s="361"/>
      <c r="K229" s="362">
        <f t="shared" ref="K229" si="48">PRODUCT(E229:J229)</f>
        <v>0</v>
      </c>
      <c r="L229" s="350"/>
    </row>
    <row r="230" spans="2:12" ht="15.75" x14ac:dyDescent="0.25">
      <c r="B230" s="351" t="str">
        <f>'Anexo A'!B334</f>
        <v>3.1.5.2</v>
      </c>
      <c r="C230" s="352" t="str">
        <f>'Anexo A'!D334</f>
        <v>400 METROS LINEARES DE DISCIPLINADORES</v>
      </c>
      <c r="D230" s="353" t="str">
        <f>'Anexo A'!E334</f>
        <v>MÊS</v>
      </c>
      <c r="E230" s="354"/>
      <c r="F230" s="355"/>
      <c r="G230" s="354"/>
      <c r="H230" s="354"/>
      <c r="I230" s="354"/>
      <c r="J230" s="354"/>
      <c r="K230" s="356">
        <f>TRUNC(SUM(K231:K235),2)</f>
        <v>0</v>
      </c>
      <c r="L230" s="350"/>
    </row>
    <row r="231" spans="2:12" ht="15.75" x14ac:dyDescent="0.25">
      <c r="B231" s="358"/>
      <c r="C231" s="359"/>
      <c r="D231" s="360"/>
      <c r="E231" s="361"/>
      <c r="F231" s="361"/>
      <c r="G231" s="361"/>
      <c r="H231" s="361"/>
      <c r="I231" s="361"/>
      <c r="J231" s="361"/>
      <c r="K231" s="362">
        <f>PRODUCT(E231:J231)</f>
        <v>0</v>
      </c>
      <c r="L231" s="350"/>
    </row>
    <row r="232" spans="2:12" ht="15.75" x14ac:dyDescent="0.25">
      <c r="B232" s="358"/>
      <c r="C232" s="359"/>
      <c r="D232" s="360"/>
      <c r="E232" s="361"/>
      <c r="F232" s="361"/>
      <c r="G232" s="361"/>
      <c r="H232" s="361"/>
      <c r="I232" s="361"/>
      <c r="J232" s="361"/>
      <c r="K232" s="362">
        <f>PRODUCT(E232:J232)</f>
        <v>0</v>
      </c>
      <c r="L232" s="350"/>
    </row>
    <row r="233" spans="2:12" ht="15.75" x14ac:dyDescent="0.25">
      <c r="B233" s="358"/>
      <c r="C233" s="359"/>
      <c r="D233" s="360"/>
      <c r="E233" s="361"/>
      <c r="F233" s="361"/>
      <c r="G233" s="361"/>
      <c r="H233" s="361"/>
      <c r="I233" s="361"/>
      <c r="J233" s="361"/>
      <c r="K233" s="362">
        <f t="shared" ref="K233:K235" si="49">PRODUCT(E233:J233)</f>
        <v>0</v>
      </c>
      <c r="L233" s="350"/>
    </row>
    <row r="234" spans="2:12" ht="15.75" x14ac:dyDescent="0.25">
      <c r="B234" s="358"/>
      <c r="C234" s="359"/>
      <c r="D234" s="360"/>
      <c r="E234" s="361"/>
      <c r="F234" s="361"/>
      <c r="G234" s="361"/>
      <c r="H234" s="361"/>
      <c r="I234" s="361"/>
      <c r="J234" s="361"/>
      <c r="K234" s="362">
        <f t="shared" si="49"/>
        <v>0</v>
      </c>
      <c r="L234" s="350"/>
    </row>
    <row r="235" spans="2:12" ht="15.75" x14ac:dyDescent="0.25">
      <c r="B235" s="358"/>
      <c r="C235" s="359"/>
      <c r="D235" s="360"/>
      <c r="E235" s="361"/>
      <c r="F235" s="361"/>
      <c r="G235" s="361"/>
      <c r="H235" s="361"/>
      <c r="I235" s="361"/>
      <c r="J235" s="361"/>
      <c r="K235" s="362">
        <f t="shared" si="49"/>
        <v>0</v>
      </c>
      <c r="L235" s="350"/>
    </row>
    <row r="236" spans="2:12" ht="15.75" x14ac:dyDescent="0.25">
      <c r="B236" s="351" t="str">
        <f>'Anexo A'!B335</f>
        <v>3.1.5.3</v>
      </c>
      <c r="C236" s="352" t="str">
        <f>'Anexo A'!D335</f>
        <v>60 METROS LINEARES DE BARRICADAS</v>
      </c>
      <c r="D236" s="353" t="str">
        <f>'Anexo A'!E335</f>
        <v>MÊS</v>
      </c>
      <c r="E236" s="354"/>
      <c r="F236" s="355"/>
      <c r="G236" s="354"/>
      <c r="H236" s="354"/>
      <c r="I236" s="354"/>
      <c r="J236" s="354"/>
      <c r="K236" s="356">
        <f>TRUNC(SUM(K237:K239),2)</f>
        <v>0</v>
      </c>
      <c r="L236" s="350"/>
    </row>
    <row r="237" spans="2:12" ht="15.75" x14ac:dyDescent="0.25">
      <c r="B237" s="358"/>
      <c r="C237" s="359"/>
      <c r="D237" s="360"/>
      <c r="E237" s="361"/>
      <c r="F237" s="361"/>
      <c r="G237" s="361"/>
      <c r="H237" s="361"/>
      <c r="I237" s="361"/>
      <c r="J237" s="361"/>
      <c r="K237" s="362">
        <f t="shared" ref="K237:K239" si="50">PRODUCT(E237:J237)</f>
        <v>0</v>
      </c>
      <c r="L237" s="350"/>
    </row>
    <row r="238" spans="2:12" ht="15.75" x14ac:dyDescent="0.25">
      <c r="B238" s="358"/>
      <c r="C238" s="359"/>
      <c r="D238" s="360"/>
      <c r="E238" s="361"/>
      <c r="F238" s="361"/>
      <c r="G238" s="361"/>
      <c r="H238" s="361"/>
      <c r="I238" s="361"/>
      <c r="J238" s="361"/>
      <c r="K238" s="362">
        <f t="shared" si="50"/>
        <v>0</v>
      </c>
      <c r="L238" s="350"/>
    </row>
    <row r="239" spans="2:12" ht="15.75" x14ac:dyDescent="0.25">
      <c r="B239" s="358"/>
      <c r="C239" s="359"/>
      <c r="D239" s="360"/>
      <c r="E239" s="361"/>
      <c r="F239" s="361"/>
      <c r="G239" s="361"/>
      <c r="H239" s="361"/>
      <c r="I239" s="361"/>
      <c r="J239" s="361"/>
      <c r="K239" s="362">
        <f t="shared" si="50"/>
        <v>0</v>
      </c>
      <c r="L239" s="350"/>
    </row>
    <row r="240" spans="2:12" ht="15.75" x14ac:dyDescent="0.25">
      <c r="B240" s="364" t="str">
        <f>'Anexo A'!B336</f>
        <v>3.1.6</v>
      </c>
      <c r="C240" s="365" t="str">
        <f>'Anexo A'!D336</f>
        <v>BARRACAS</v>
      </c>
      <c r="D240" s="366"/>
      <c r="E240" s="367"/>
      <c r="F240" s="368"/>
      <c r="G240" s="368"/>
      <c r="H240" s="368"/>
      <c r="I240" s="368"/>
      <c r="J240" s="368"/>
      <c r="K240" s="368"/>
      <c r="L240" s="350"/>
    </row>
    <row r="241" spans="2:12" ht="15.75" x14ac:dyDescent="0.25">
      <c r="B241" s="351" t="str">
        <f>'Anexo A'!B337</f>
        <v>3.1.6.1</v>
      </c>
      <c r="C241" s="352" t="str">
        <f>'Anexo A'!D337</f>
        <v>94 BARRACAS - 2,00m x 2,00m</v>
      </c>
      <c r="D241" s="353" t="str">
        <f>'Anexo A'!E337</f>
        <v>MÊS</v>
      </c>
      <c r="E241" s="354"/>
      <c r="F241" s="355"/>
      <c r="G241" s="354"/>
      <c r="H241" s="354"/>
      <c r="I241" s="354"/>
      <c r="J241" s="354"/>
      <c r="K241" s="356">
        <f>TRUNC(SUM(K242:K243),2)</f>
        <v>0</v>
      </c>
      <c r="L241" s="350"/>
    </row>
    <row r="242" spans="2:12" ht="15.75" x14ac:dyDescent="0.25">
      <c r="B242" s="358"/>
      <c r="C242" s="359"/>
      <c r="D242" s="360"/>
      <c r="E242" s="361"/>
      <c r="F242" s="361"/>
      <c r="G242" s="361"/>
      <c r="H242" s="361"/>
      <c r="I242" s="361"/>
      <c r="J242" s="361"/>
      <c r="K242" s="362">
        <f t="shared" ref="K242:K243" si="51">PRODUCT(E242:J242)</f>
        <v>0</v>
      </c>
      <c r="L242" s="350"/>
    </row>
    <row r="243" spans="2:12" ht="15.75" x14ac:dyDescent="0.25">
      <c r="B243" s="358"/>
      <c r="C243" s="359"/>
      <c r="D243" s="360"/>
      <c r="E243" s="361"/>
      <c r="F243" s="361"/>
      <c r="G243" s="361"/>
      <c r="H243" s="361"/>
      <c r="I243" s="361"/>
      <c r="J243" s="361"/>
      <c r="K243" s="362">
        <f t="shared" si="51"/>
        <v>0</v>
      </c>
      <c r="L243" s="350"/>
    </row>
    <row r="244" spans="2:12" ht="15.75" x14ac:dyDescent="0.25">
      <c r="B244" s="351" t="str">
        <f>'Anexo A'!B338</f>
        <v>3.1.6.2</v>
      </c>
      <c r="C244" s="352" t="str">
        <f>'Anexo A'!D338</f>
        <v>14 BARRACAS - 5,00m x 2,00m</v>
      </c>
      <c r="D244" s="353" t="str">
        <f>'Anexo A'!E338</f>
        <v>MÊS</v>
      </c>
      <c r="E244" s="354"/>
      <c r="F244" s="355"/>
      <c r="G244" s="354"/>
      <c r="H244" s="354"/>
      <c r="I244" s="354"/>
      <c r="J244" s="354"/>
      <c r="K244" s="356">
        <f>TRUNC(SUM(K245:K246),2)</f>
        <v>0</v>
      </c>
      <c r="L244" s="350"/>
    </row>
    <row r="245" spans="2:12" ht="15.75" x14ac:dyDescent="0.25">
      <c r="B245" s="358"/>
      <c r="C245" s="359"/>
      <c r="D245" s="360"/>
      <c r="E245" s="361"/>
      <c r="F245" s="361"/>
      <c r="G245" s="361"/>
      <c r="H245" s="361"/>
      <c r="I245" s="361"/>
      <c r="J245" s="361"/>
      <c r="K245" s="362">
        <f t="shared" ref="K245:K246" si="52">PRODUCT(E245:J245)</f>
        <v>0</v>
      </c>
      <c r="L245" s="350"/>
    </row>
    <row r="246" spans="2:12" ht="15.75" x14ac:dyDescent="0.25">
      <c r="B246" s="358"/>
      <c r="C246" s="359"/>
      <c r="D246" s="360"/>
      <c r="E246" s="361"/>
      <c r="F246" s="361"/>
      <c r="G246" s="361"/>
      <c r="H246" s="361"/>
      <c r="I246" s="361"/>
      <c r="J246" s="361"/>
      <c r="K246" s="362">
        <f t="shared" si="52"/>
        <v>0</v>
      </c>
      <c r="L246" s="350"/>
    </row>
    <row r="247" spans="2:12" ht="15.75" x14ac:dyDescent="0.25">
      <c r="B247" s="364" t="str">
        <f>'Anexo A'!B341</f>
        <v>3.1.8</v>
      </c>
      <c r="C247" s="365" t="str">
        <f>'Anexo A'!D341</f>
        <v>MOBILIÁRIO/AMBIENTAÇÃO</v>
      </c>
      <c r="D247" s="366"/>
      <c r="E247" s="367"/>
      <c r="F247" s="368"/>
      <c r="G247" s="368"/>
      <c r="H247" s="368"/>
      <c r="I247" s="368"/>
      <c r="J247" s="368"/>
      <c r="K247" s="368"/>
      <c r="L247" s="350"/>
    </row>
    <row r="248" spans="2:12" ht="15.75" x14ac:dyDescent="0.25">
      <c r="B248" s="351" t="str">
        <f>'Anexo A'!B342</f>
        <v>3.1.8.1</v>
      </c>
      <c r="C248" s="352" t="str">
        <f>'Anexo A'!D342</f>
        <v>180 CADEIRAS - PVC branco sem braços</v>
      </c>
      <c r="D248" s="353" t="str">
        <f>'Anexo A'!E342</f>
        <v>DIÁRIA</v>
      </c>
      <c r="E248" s="354"/>
      <c r="F248" s="355"/>
      <c r="G248" s="354"/>
      <c r="H248" s="354"/>
      <c r="I248" s="354"/>
      <c r="J248" s="354"/>
      <c r="K248" s="356">
        <f>TRUNC(SUM(K249:K251),2)</f>
        <v>0</v>
      </c>
      <c r="L248" s="350"/>
    </row>
    <row r="249" spans="2:12" ht="15.75" x14ac:dyDescent="0.25">
      <c r="B249" s="358"/>
      <c r="C249" s="359"/>
      <c r="D249" s="360"/>
      <c r="E249" s="361"/>
      <c r="F249" s="361"/>
      <c r="G249" s="361"/>
      <c r="H249" s="361"/>
      <c r="I249" s="361"/>
      <c r="J249" s="361"/>
      <c r="K249" s="362">
        <f>PRODUCT(E249:J249)</f>
        <v>0</v>
      </c>
      <c r="L249" s="350"/>
    </row>
    <row r="250" spans="2:12" ht="15.75" x14ac:dyDescent="0.25">
      <c r="B250" s="358"/>
      <c r="C250" s="359"/>
      <c r="D250" s="360"/>
      <c r="E250" s="361"/>
      <c r="F250" s="361"/>
      <c r="G250" s="361"/>
      <c r="H250" s="361"/>
      <c r="I250" s="361"/>
      <c r="J250" s="361"/>
      <c r="K250" s="362">
        <f>PRODUCT(E250:J250)</f>
        <v>0</v>
      </c>
      <c r="L250" s="350"/>
    </row>
    <row r="251" spans="2:12" ht="15.75" x14ac:dyDescent="0.25">
      <c r="B251" s="358"/>
      <c r="C251" s="359"/>
      <c r="D251" s="360"/>
      <c r="E251" s="361"/>
      <c r="F251" s="361"/>
      <c r="G251" s="361"/>
      <c r="H251" s="361"/>
      <c r="I251" s="361"/>
      <c r="J251" s="361"/>
      <c r="K251" s="362">
        <f t="shared" ref="K251" si="53">PRODUCT(E251:J251)</f>
        <v>0</v>
      </c>
      <c r="L251" s="350"/>
    </row>
    <row r="252" spans="2:12" ht="15.75" x14ac:dyDescent="0.25">
      <c r="B252" s="351" t="str">
        <f>'Anexo A'!B343</f>
        <v>3.1.8.2</v>
      </c>
      <c r="C252" s="352" t="str">
        <f>'Anexo A'!D343</f>
        <v>60 MESAS - PVC branco com 4 lugares</v>
      </c>
      <c r="D252" s="353" t="str">
        <f>'Anexo A'!E343</f>
        <v>DIÁRIA</v>
      </c>
      <c r="E252" s="354"/>
      <c r="F252" s="355"/>
      <c r="G252" s="354"/>
      <c r="H252" s="354"/>
      <c r="I252" s="354"/>
      <c r="J252" s="354"/>
      <c r="K252" s="356">
        <f>TRUNC(SUM(K253:K254),2)</f>
        <v>0</v>
      </c>
      <c r="L252" s="350"/>
    </row>
    <row r="253" spans="2:12" ht="15.75" x14ac:dyDescent="0.25">
      <c r="B253" s="358"/>
      <c r="C253" s="359"/>
      <c r="D253" s="360"/>
      <c r="E253" s="361"/>
      <c r="F253" s="361"/>
      <c r="G253" s="361"/>
      <c r="H253" s="361"/>
      <c r="I253" s="361"/>
      <c r="J253" s="361"/>
      <c r="K253" s="362">
        <f t="shared" ref="K253:K254" si="54">PRODUCT(E253:J253)</f>
        <v>0</v>
      </c>
      <c r="L253" s="350"/>
    </row>
    <row r="254" spans="2:12" ht="15.75" x14ac:dyDescent="0.25">
      <c r="B254" s="358"/>
      <c r="C254" s="359"/>
      <c r="D254" s="360"/>
      <c r="E254" s="361"/>
      <c r="F254" s="361"/>
      <c r="G254" s="361"/>
      <c r="H254" s="361"/>
      <c r="I254" s="361"/>
      <c r="J254" s="361"/>
      <c r="K254" s="362">
        <f t="shared" si="54"/>
        <v>0</v>
      </c>
      <c r="L254" s="350"/>
    </row>
    <row r="255" spans="2:12" ht="15.75" x14ac:dyDescent="0.25">
      <c r="B255" s="364" t="str">
        <f>'Anexo A'!B347</f>
        <v>3.1.9</v>
      </c>
      <c r="C255" s="365" t="str">
        <f>'Anexo A'!D347</f>
        <v>CABINES SANITÁRIAS</v>
      </c>
      <c r="D255" s="366"/>
      <c r="E255" s="367"/>
      <c r="F255" s="368"/>
      <c r="G255" s="368"/>
      <c r="H255" s="368"/>
      <c r="I255" s="368"/>
      <c r="J255" s="368"/>
      <c r="K255" s="368"/>
      <c r="L255" s="350"/>
    </row>
    <row r="256" spans="2:12" ht="15.75" x14ac:dyDescent="0.25">
      <c r="B256" s="351" t="str">
        <f>'Anexo A'!B348</f>
        <v>3.1.9.1</v>
      </c>
      <c r="C256" s="352" t="str">
        <f>'Anexo A'!D348</f>
        <v>192 CABINES SANITÁRIA TIPO I - Standard</v>
      </c>
      <c r="D256" s="353" t="str">
        <f>'Anexo A'!E348</f>
        <v>DIÁRIA</v>
      </c>
      <c r="E256" s="354"/>
      <c r="F256" s="355"/>
      <c r="G256" s="354"/>
      <c r="H256" s="354"/>
      <c r="I256" s="354"/>
      <c r="J256" s="354"/>
      <c r="K256" s="356">
        <f>TRUNC(SUM(K257:K259),2)</f>
        <v>0</v>
      </c>
      <c r="L256" s="350"/>
    </row>
    <row r="257" spans="2:12" ht="15.75" x14ac:dyDescent="0.25">
      <c r="B257" s="358"/>
      <c r="C257" s="359"/>
      <c r="D257" s="360"/>
      <c r="E257" s="361"/>
      <c r="F257" s="361"/>
      <c r="G257" s="361"/>
      <c r="H257" s="361"/>
      <c r="I257" s="361"/>
      <c r="J257" s="361"/>
      <c r="K257" s="362">
        <f>PRODUCT(E257:J257)</f>
        <v>0</v>
      </c>
      <c r="L257" s="350"/>
    </row>
    <row r="258" spans="2:12" ht="15.75" x14ac:dyDescent="0.25">
      <c r="B258" s="358"/>
      <c r="C258" s="359"/>
      <c r="D258" s="360"/>
      <c r="E258" s="361"/>
      <c r="F258" s="361"/>
      <c r="G258" s="361"/>
      <c r="H258" s="361"/>
      <c r="I258" s="361"/>
      <c r="J258" s="361"/>
      <c r="K258" s="362">
        <f>PRODUCT(E258:J258)</f>
        <v>0</v>
      </c>
      <c r="L258" s="350"/>
    </row>
    <row r="259" spans="2:12" ht="15.75" x14ac:dyDescent="0.25">
      <c r="B259" s="358"/>
      <c r="C259" s="359"/>
      <c r="D259" s="360"/>
      <c r="E259" s="361"/>
      <c r="F259" s="361"/>
      <c r="G259" s="361"/>
      <c r="H259" s="361"/>
      <c r="I259" s="361"/>
      <c r="J259" s="361"/>
      <c r="K259" s="362">
        <f t="shared" ref="K259" si="55">PRODUCT(E259:J259)</f>
        <v>0</v>
      </c>
      <c r="L259" s="350"/>
    </row>
    <row r="260" spans="2:12" ht="15.75" x14ac:dyDescent="0.25">
      <c r="B260" s="351" t="str">
        <f>'Anexo A'!B349</f>
        <v>3.1.9.2</v>
      </c>
      <c r="C260" s="352" t="str">
        <f>'Anexo A'!D349</f>
        <v>2 CABINES SANITÁRIA TIPO II - PNE</v>
      </c>
      <c r="D260" s="353" t="str">
        <f>'Anexo A'!E349</f>
        <v>DIÁRIA</v>
      </c>
      <c r="E260" s="354"/>
      <c r="F260" s="355"/>
      <c r="G260" s="354"/>
      <c r="H260" s="354"/>
      <c r="I260" s="354"/>
      <c r="J260" s="354"/>
      <c r="K260" s="356">
        <f>TRUNC(SUM(K261:K262),2)</f>
        <v>0</v>
      </c>
      <c r="L260" s="350"/>
    </row>
    <row r="261" spans="2:12" ht="15.75" x14ac:dyDescent="0.25">
      <c r="B261" s="358"/>
      <c r="C261" s="359"/>
      <c r="D261" s="360"/>
      <c r="E261" s="361"/>
      <c r="F261" s="361"/>
      <c r="G261" s="361"/>
      <c r="H261" s="361"/>
      <c r="I261" s="361"/>
      <c r="J261" s="361"/>
      <c r="K261" s="362">
        <f t="shared" ref="K261:K262" si="56">PRODUCT(E261:J261)</f>
        <v>0</v>
      </c>
      <c r="L261" s="350"/>
    </row>
    <row r="262" spans="2:12" ht="15.75" x14ac:dyDescent="0.25">
      <c r="B262" s="358"/>
      <c r="C262" s="359"/>
      <c r="D262" s="360"/>
      <c r="E262" s="361"/>
      <c r="F262" s="361"/>
      <c r="G262" s="361"/>
      <c r="H262" s="361"/>
      <c r="I262" s="361"/>
      <c r="J262" s="361"/>
      <c r="K262" s="362">
        <f t="shared" si="56"/>
        <v>0</v>
      </c>
      <c r="L262" s="350"/>
    </row>
    <row r="263" spans="2:12" ht="15.75" x14ac:dyDescent="0.25">
      <c r="B263" s="364" t="str">
        <f>'Anexo A'!B431</f>
        <v>3.3</v>
      </c>
      <c r="C263" s="365" t="str">
        <f>'Anexo A'!D431</f>
        <v>GERADORES</v>
      </c>
      <c r="D263" s="366"/>
      <c r="E263" s="367"/>
      <c r="F263" s="368"/>
      <c r="G263" s="368"/>
      <c r="H263" s="368"/>
      <c r="I263" s="368"/>
      <c r="J263" s="368"/>
      <c r="K263" s="368"/>
      <c r="L263" s="350"/>
    </row>
    <row r="264" spans="2:12" ht="15.75" x14ac:dyDescent="0.25">
      <c r="B264" s="351" t="str">
        <f>'Anexo A'!B432</f>
        <v>3.3.1.1</v>
      </c>
      <c r="C264" s="352" t="str">
        <f>'Anexo A'!D432</f>
        <v>02 Geradores 260KVA (Stand-By)</v>
      </c>
      <c r="D264" s="353" t="str">
        <f>'Anexo A'!E432</f>
        <v>DIÁRIA</v>
      </c>
      <c r="E264" s="354"/>
      <c r="F264" s="355"/>
      <c r="G264" s="354"/>
      <c r="H264" s="354"/>
      <c r="I264" s="354"/>
      <c r="J264" s="354"/>
      <c r="K264" s="356">
        <f>TRUNC(SUM(K265:K268),2)</f>
        <v>0</v>
      </c>
      <c r="L264" s="350"/>
    </row>
    <row r="265" spans="2:12" ht="15.75" x14ac:dyDescent="0.25">
      <c r="B265" s="358"/>
      <c r="C265" s="359"/>
      <c r="D265" s="360"/>
      <c r="E265" s="361"/>
      <c r="F265" s="361"/>
      <c r="G265" s="361"/>
      <c r="H265" s="361"/>
      <c r="I265" s="361"/>
      <c r="J265" s="361"/>
      <c r="K265" s="362">
        <f t="shared" ref="K265:K268" si="57">PRODUCT(E265:J265)</f>
        <v>0</v>
      </c>
      <c r="L265" s="350"/>
    </row>
    <row r="266" spans="2:12" ht="15.75" x14ac:dyDescent="0.25">
      <c r="B266" s="358"/>
      <c r="C266" s="359"/>
      <c r="D266" s="360"/>
      <c r="E266" s="361"/>
      <c r="F266" s="361"/>
      <c r="G266" s="361"/>
      <c r="H266" s="361"/>
      <c r="I266" s="361"/>
      <c r="J266" s="361"/>
      <c r="K266" s="362">
        <f t="shared" si="57"/>
        <v>0</v>
      </c>
      <c r="L266" s="350"/>
    </row>
    <row r="267" spans="2:12" ht="15.75" x14ac:dyDescent="0.25">
      <c r="B267" s="358"/>
      <c r="C267" s="359"/>
      <c r="D267" s="360"/>
      <c r="E267" s="361"/>
      <c r="F267" s="361"/>
      <c r="G267" s="361"/>
      <c r="H267" s="361"/>
      <c r="I267" s="361"/>
      <c r="J267" s="361"/>
      <c r="K267" s="362">
        <f t="shared" si="57"/>
        <v>0</v>
      </c>
      <c r="L267" s="350"/>
    </row>
    <row r="268" spans="2:12" ht="15.75" x14ac:dyDescent="0.25">
      <c r="B268" s="358"/>
      <c r="C268" s="359"/>
      <c r="D268" s="360"/>
      <c r="E268" s="361"/>
      <c r="F268" s="361"/>
      <c r="G268" s="361"/>
      <c r="H268" s="361"/>
      <c r="I268" s="361"/>
      <c r="J268" s="361"/>
      <c r="K268" s="362">
        <f t="shared" si="57"/>
        <v>0</v>
      </c>
      <c r="L268" s="350"/>
    </row>
    <row r="269" spans="2:12" ht="15.75" x14ac:dyDescent="0.25">
      <c r="B269" s="351" t="str">
        <f>'Anexo A'!B433</f>
        <v>3.3.1.2</v>
      </c>
      <c r="C269" s="352" t="str">
        <f>'Anexo A'!D433</f>
        <v>03 Geradores 180KVA (Stand-By)</v>
      </c>
      <c r="D269" s="353" t="str">
        <f>'Anexo A'!E433</f>
        <v>DIÁRIA</v>
      </c>
      <c r="E269" s="354"/>
      <c r="F269" s="355"/>
      <c r="G269" s="354"/>
      <c r="H269" s="354"/>
      <c r="I269" s="354"/>
      <c r="J269" s="354"/>
      <c r="K269" s="356">
        <f>TRUNC(SUM(K270:K273),2)</f>
        <v>0</v>
      </c>
      <c r="L269" s="350"/>
    </row>
    <row r="270" spans="2:12" ht="15.75" x14ac:dyDescent="0.25">
      <c r="B270" s="358"/>
      <c r="C270" s="359"/>
      <c r="D270" s="360"/>
      <c r="E270" s="361"/>
      <c r="F270" s="361"/>
      <c r="G270" s="361"/>
      <c r="H270" s="361"/>
      <c r="I270" s="361"/>
      <c r="J270" s="361"/>
      <c r="K270" s="362">
        <f>PRODUCT(E270:J270)</f>
        <v>0</v>
      </c>
      <c r="L270" s="350"/>
    </row>
    <row r="271" spans="2:12" ht="15.75" x14ac:dyDescent="0.25">
      <c r="B271" s="358"/>
      <c r="C271" s="359"/>
      <c r="D271" s="360"/>
      <c r="E271" s="361"/>
      <c r="F271" s="361"/>
      <c r="G271" s="361"/>
      <c r="H271" s="361"/>
      <c r="I271" s="361"/>
      <c r="J271" s="361"/>
      <c r="K271" s="362">
        <f>PRODUCT(E271:J271)</f>
        <v>0</v>
      </c>
      <c r="L271" s="350"/>
    </row>
    <row r="272" spans="2:12" ht="15.75" x14ac:dyDescent="0.25">
      <c r="B272" s="358"/>
      <c r="C272" s="359"/>
      <c r="D272" s="360"/>
      <c r="E272" s="361"/>
      <c r="F272" s="361"/>
      <c r="G272" s="361"/>
      <c r="H272" s="361"/>
      <c r="I272" s="361"/>
      <c r="J272" s="361"/>
      <c r="K272" s="362">
        <f t="shared" ref="K272:K273" si="58">PRODUCT(E272:J272)</f>
        <v>0</v>
      </c>
      <c r="L272" s="350"/>
    </row>
    <row r="273" spans="2:12" ht="15.75" x14ac:dyDescent="0.25">
      <c r="B273" s="358"/>
      <c r="C273" s="359"/>
      <c r="D273" s="360"/>
      <c r="E273" s="361"/>
      <c r="F273" s="361"/>
      <c r="G273" s="361"/>
      <c r="H273" s="361"/>
      <c r="I273" s="361"/>
      <c r="J273" s="361"/>
      <c r="K273" s="362">
        <f t="shared" si="58"/>
        <v>0</v>
      </c>
      <c r="L273" s="350"/>
    </row>
    <row r="274" spans="2:12" ht="15.75" x14ac:dyDescent="0.25">
      <c r="B274" s="358"/>
      <c r="C274" s="359"/>
      <c r="D274" s="360"/>
      <c r="E274" s="361"/>
      <c r="F274" s="361"/>
      <c r="G274" s="361"/>
      <c r="H274" s="361"/>
      <c r="I274" s="361"/>
      <c r="J274" s="361"/>
      <c r="K274" s="362"/>
      <c r="L274" s="350"/>
    </row>
    <row r="275" spans="2:12" ht="15.75" x14ac:dyDescent="0.25">
      <c r="B275" s="358"/>
      <c r="C275" s="359"/>
      <c r="D275" s="360"/>
      <c r="E275" s="361"/>
      <c r="F275" s="361"/>
      <c r="G275" s="361"/>
      <c r="H275" s="361"/>
      <c r="I275" s="361"/>
      <c r="J275" s="361"/>
      <c r="K275" s="362"/>
      <c r="L275" s="350"/>
    </row>
    <row r="276" spans="2:12" ht="15.75" x14ac:dyDescent="0.25">
      <c r="B276" s="358"/>
      <c r="C276" s="359"/>
      <c r="D276" s="360"/>
      <c r="E276" s="361"/>
      <c r="F276" s="361"/>
      <c r="G276" s="361"/>
      <c r="H276" s="361"/>
      <c r="I276" s="361"/>
      <c r="J276" s="361"/>
      <c r="K276" s="362"/>
      <c r="L276" s="350"/>
    </row>
    <row r="277" spans="2:12" ht="15.75" x14ac:dyDescent="0.25">
      <c r="B277" s="358"/>
      <c r="C277" s="359"/>
      <c r="D277" s="360"/>
      <c r="E277" s="361"/>
      <c r="F277" s="361"/>
      <c r="G277" s="361"/>
      <c r="H277" s="361"/>
      <c r="I277" s="361"/>
      <c r="J277" s="361"/>
      <c r="K277" s="362"/>
      <c r="L277" s="350"/>
    </row>
    <row r="278" spans="2:12" ht="15.75" x14ac:dyDescent="0.25">
      <c r="B278" s="358"/>
      <c r="C278" s="359"/>
      <c r="D278" s="360"/>
      <c r="E278" s="361"/>
      <c r="F278" s="361"/>
      <c r="G278" s="361"/>
      <c r="H278" s="361"/>
      <c r="I278" s="361"/>
      <c r="J278" s="361"/>
      <c r="K278" s="362"/>
      <c r="L278" s="350"/>
    </row>
    <row r="279" spans="2:12" ht="15.75" x14ac:dyDescent="0.25">
      <c r="B279" s="358"/>
      <c r="C279" s="359"/>
      <c r="D279" s="360"/>
      <c r="E279" s="361"/>
      <c r="F279" s="361"/>
      <c r="G279" s="361"/>
      <c r="H279" s="361"/>
      <c r="I279" s="361"/>
      <c r="J279" s="361"/>
      <c r="K279" s="362"/>
      <c r="L279" s="350"/>
    </row>
    <row r="280" spans="2:12" ht="15.75" x14ac:dyDescent="0.25">
      <c r="B280" s="358"/>
      <c r="C280" s="359"/>
      <c r="D280" s="360"/>
      <c r="E280" s="361"/>
      <c r="F280" s="361"/>
      <c r="G280" s="361"/>
      <c r="H280" s="361"/>
      <c r="I280" s="361"/>
      <c r="J280" s="361"/>
      <c r="K280" s="362"/>
      <c r="L280" s="350"/>
    </row>
    <row r="281" spans="2:12" ht="15.75" x14ac:dyDescent="0.25">
      <c r="B281" s="358"/>
      <c r="C281" s="359"/>
      <c r="D281" s="360"/>
      <c r="E281" s="361"/>
      <c r="F281" s="361"/>
      <c r="G281" s="361"/>
      <c r="H281" s="361"/>
      <c r="I281" s="361"/>
      <c r="J281" s="361"/>
      <c r="K281" s="362"/>
      <c r="L281" s="350"/>
    </row>
    <row r="282" spans="2:12" ht="15.75" x14ac:dyDescent="0.25">
      <c r="B282" s="358"/>
      <c r="C282" s="359"/>
      <c r="D282" s="360"/>
      <c r="E282" s="361"/>
      <c r="F282" s="361"/>
      <c r="G282" s="361"/>
      <c r="H282" s="361"/>
      <c r="I282" s="361"/>
      <c r="J282" s="361"/>
      <c r="K282" s="362"/>
      <c r="L282" s="350"/>
    </row>
    <row r="283" spans="2:12" ht="15.75" x14ac:dyDescent="0.25">
      <c r="B283" s="358"/>
      <c r="C283" s="359"/>
      <c r="D283" s="360"/>
      <c r="E283" s="361"/>
      <c r="F283" s="361"/>
      <c r="G283" s="361"/>
      <c r="H283" s="361"/>
      <c r="I283" s="361"/>
      <c r="J283" s="361"/>
      <c r="K283" s="362"/>
      <c r="L283" s="350"/>
    </row>
    <row r="284" spans="2:12" ht="15.75" x14ac:dyDescent="0.25">
      <c r="B284" s="358"/>
      <c r="C284" s="359"/>
      <c r="D284" s="360"/>
      <c r="E284" s="361"/>
      <c r="F284" s="361"/>
      <c r="G284" s="361"/>
      <c r="H284" s="361"/>
      <c r="I284" s="361"/>
      <c r="J284" s="361"/>
      <c r="K284" s="362"/>
      <c r="L284" s="350"/>
    </row>
    <row r="285" spans="2:12" ht="15.75" x14ac:dyDescent="0.25">
      <c r="B285" s="358"/>
      <c r="C285" s="359"/>
      <c r="D285" s="360"/>
      <c r="E285" s="361"/>
      <c r="F285" s="361"/>
      <c r="G285" s="361"/>
      <c r="H285" s="361"/>
      <c r="I285" s="361"/>
      <c r="J285" s="361"/>
      <c r="K285" s="362"/>
      <c r="L285" s="350"/>
    </row>
    <row r="286" spans="2:12" ht="15.75" x14ac:dyDescent="0.25">
      <c r="B286" s="358"/>
      <c r="C286" s="359"/>
      <c r="D286" s="360"/>
      <c r="E286" s="361"/>
      <c r="F286" s="361"/>
      <c r="G286" s="361"/>
      <c r="H286" s="361"/>
      <c r="I286" s="361"/>
      <c r="J286" s="361"/>
      <c r="K286" s="362"/>
      <c r="L286" s="350"/>
    </row>
    <row r="287" spans="2:12" ht="15.75" x14ac:dyDescent="0.25">
      <c r="B287" s="358"/>
      <c r="C287" s="359"/>
      <c r="D287" s="360"/>
      <c r="E287" s="361"/>
      <c r="F287" s="361"/>
      <c r="G287" s="361"/>
      <c r="H287" s="361"/>
      <c r="I287" s="361"/>
      <c r="J287" s="361"/>
      <c r="K287" s="362"/>
      <c r="L287" s="350"/>
    </row>
    <row r="288" spans="2:12" ht="15.75" x14ac:dyDescent="0.25">
      <c r="B288" s="358"/>
      <c r="C288" s="359"/>
      <c r="D288" s="360"/>
      <c r="E288" s="361"/>
      <c r="F288" s="361"/>
      <c r="G288" s="361"/>
      <c r="H288" s="361"/>
      <c r="I288" s="361"/>
      <c r="J288" s="361"/>
      <c r="K288" s="362"/>
      <c r="L288" s="350"/>
    </row>
    <row r="289" spans="2:12" ht="15.75" x14ac:dyDescent="0.25">
      <c r="B289" s="358"/>
      <c r="C289" s="359"/>
      <c r="D289" s="360"/>
      <c r="E289" s="361"/>
      <c r="F289" s="361"/>
      <c r="G289" s="361"/>
      <c r="H289" s="361"/>
      <c r="I289" s="361"/>
      <c r="J289" s="361"/>
      <c r="K289" s="362"/>
      <c r="L289" s="350"/>
    </row>
    <row r="290" spans="2:12" ht="15.75" x14ac:dyDescent="0.25">
      <c r="B290" s="358"/>
      <c r="C290" s="359"/>
      <c r="D290" s="360"/>
      <c r="E290" s="361"/>
      <c r="F290" s="361"/>
      <c r="G290" s="361"/>
      <c r="H290" s="361"/>
      <c r="I290" s="361"/>
      <c r="J290" s="361"/>
      <c r="K290" s="362"/>
      <c r="L290" s="350"/>
    </row>
    <row r="291" spans="2:12" ht="15.75" x14ac:dyDescent="0.25">
      <c r="B291" s="358"/>
      <c r="C291" s="359"/>
      <c r="D291" s="360"/>
      <c r="E291" s="361"/>
      <c r="F291" s="361"/>
      <c r="G291" s="361"/>
      <c r="H291" s="361"/>
      <c r="I291" s="361"/>
      <c r="J291" s="361"/>
      <c r="K291" s="362"/>
      <c r="L291" s="350"/>
    </row>
    <row r="292" spans="2:12" ht="15.75" x14ac:dyDescent="0.25">
      <c r="B292" s="358"/>
      <c r="C292" s="359"/>
      <c r="D292" s="360"/>
      <c r="E292" s="361"/>
      <c r="F292" s="361"/>
      <c r="G292" s="361"/>
      <c r="H292" s="361"/>
      <c r="I292" s="361"/>
      <c r="J292" s="361"/>
      <c r="K292" s="362"/>
      <c r="L292" s="350"/>
    </row>
    <row r="293" spans="2:12" ht="15.75" x14ac:dyDescent="0.25">
      <c r="B293" s="358"/>
      <c r="C293" s="359"/>
      <c r="D293" s="360"/>
      <c r="E293" s="361"/>
      <c r="F293" s="361"/>
      <c r="G293" s="361"/>
      <c r="H293" s="361"/>
      <c r="I293" s="361"/>
      <c r="J293" s="361"/>
      <c r="K293" s="362"/>
      <c r="L293" s="350"/>
    </row>
    <row r="294" spans="2:12" ht="15.75" x14ac:dyDescent="0.25">
      <c r="B294" s="358"/>
      <c r="C294" s="359"/>
      <c r="D294" s="360"/>
      <c r="E294" s="361"/>
      <c r="F294" s="361"/>
      <c r="G294" s="361"/>
      <c r="H294" s="361"/>
      <c r="I294" s="361"/>
      <c r="J294" s="361"/>
      <c r="K294" s="362"/>
      <c r="L294" s="350"/>
    </row>
    <row r="295" spans="2:12" ht="15.75" x14ac:dyDescent="0.25">
      <c r="B295" s="358"/>
      <c r="C295" s="359"/>
      <c r="D295" s="360"/>
      <c r="E295" s="361"/>
      <c r="F295" s="361"/>
      <c r="G295" s="361"/>
      <c r="H295" s="361"/>
      <c r="I295" s="361"/>
      <c r="J295" s="361"/>
      <c r="K295" s="362"/>
      <c r="L295" s="350"/>
    </row>
    <row r="296" spans="2:12" ht="15.75" x14ac:dyDescent="0.25">
      <c r="B296" s="358"/>
      <c r="C296" s="359"/>
      <c r="D296" s="360"/>
      <c r="E296" s="361"/>
      <c r="F296" s="361"/>
      <c r="G296" s="361"/>
      <c r="H296" s="361"/>
      <c r="I296" s="361"/>
      <c r="J296" s="361"/>
      <c r="K296" s="362"/>
      <c r="L296" s="350"/>
    </row>
    <row r="297" spans="2:12" ht="15.75" x14ac:dyDescent="0.25">
      <c r="B297" s="358"/>
      <c r="C297" s="359"/>
      <c r="D297" s="360"/>
      <c r="E297" s="361"/>
      <c r="F297" s="361"/>
      <c r="G297" s="361"/>
      <c r="H297" s="361"/>
      <c r="I297" s="361"/>
      <c r="J297" s="361"/>
      <c r="K297" s="362"/>
      <c r="L297" s="350"/>
    </row>
    <row r="298" spans="2:12" ht="15.75" x14ac:dyDescent="0.25">
      <c r="B298" s="358"/>
      <c r="C298" s="359"/>
      <c r="D298" s="360"/>
      <c r="E298" s="361"/>
      <c r="F298" s="361"/>
      <c r="G298" s="361"/>
      <c r="H298" s="361"/>
      <c r="I298" s="361"/>
      <c r="J298" s="361"/>
      <c r="K298" s="362"/>
      <c r="L298" s="350"/>
    </row>
    <row r="299" spans="2:12" ht="15.75" x14ac:dyDescent="0.25">
      <c r="B299" s="358"/>
      <c r="C299" s="359"/>
      <c r="D299" s="360"/>
      <c r="E299" s="361"/>
      <c r="F299" s="361"/>
      <c r="G299" s="361"/>
      <c r="H299" s="361"/>
      <c r="I299" s="361"/>
      <c r="J299" s="361"/>
      <c r="K299" s="362"/>
      <c r="L299" s="350"/>
    </row>
    <row r="300" spans="2:12" ht="15.75" x14ac:dyDescent="0.25">
      <c r="B300" s="358"/>
      <c r="C300" s="359"/>
      <c r="D300" s="360"/>
      <c r="E300" s="361"/>
      <c r="F300" s="361"/>
      <c r="G300" s="361"/>
      <c r="H300" s="361"/>
      <c r="I300" s="361"/>
      <c r="J300" s="361"/>
      <c r="K300" s="362"/>
      <c r="L300" s="350"/>
    </row>
    <row r="301" spans="2:12" ht="15.75" x14ac:dyDescent="0.25">
      <c r="B301" s="358"/>
      <c r="C301" s="359"/>
      <c r="D301" s="360"/>
      <c r="E301" s="361"/>
      <c r="F301" s="361"/>
      <c r="G301" s="361"/>
      <c r="H301" s="361"/>
      <c r="I301" s="361"/>
      <c r="J301" s="361"/>
      <c r="K301" s="362"/>
      <c r="L301" s="350"/>
    </row>
    <row r="302" spans="2:12" ht="15.75" x14ac:dyDescent="0.25">
      <c r="B302" s="358"/>
      <c r="C302" s="359"/>
      <c r="D302" s="360"/>
      <c r="E302" s="361"/>
      <c r="F302" s="361"/>
      <c r="G302" s="361"/>
      <c r="H302" s="361"/>
      <c r="I302" s="361"/>
      <c r="J302" s="361"/>
      <c r="K302" s="362"/>
      <c r="L302" s="350"/>
    </row>
    <row r="303" spans="2:12" ht="15.75" x14ac:dyDescent="0.25">
      <c r="B303" s="358"/>
      <c r="C303" s="359"/>
      <c r="D303" s="360"/>
      <c r="E303" s="361"/>
      <c r="F303" s="361"/>
      <c r="G303" s="361"/>
      <c r="H303" s="361"/>
      <c r="I303" s="361"/>
      <c r="J303" s="361"/>
      <c r="K303" s="362"/>
      <c r="L303" s="350"/>
    </row>
    <row r="304" spans="2:12" ht="15.75" x14ac:dyDescent="0.25">
      <c r="B304" s="358"/>
      <c r="C304" s="359"/>
      <c r="D304" s="360"/>
      <c r="E304" s="361"/>
      <c r="F304" s="361"/>
      <c r="G304" s="361"/>
      <c r="H304" s="361"/>
      <c r="I304" s="361"/>
      <c r="J304" s="361"/>
      <c r="K304" s="362"/>
      <c r="L304" s="350"/>
    </row>
    <row r="305" spans="2:12" ht="15.75" x14ac:dyDescent="0.25">
      <c r="B305" s="358"/>
      <c r="C305" s="359"/>
      <c r="D305" s="360"/>
      <c r="E305" s="361"/>
      <c r="F305" s="361"/>
      <c r="G305" s="361"/>
      <c r="H305" s="361"/>
      <c r="I305" s="361"/>
      <c r="J305" s="361"/>
      <c r="K305" s="362"/>
      <c r="L305" s="350"/>
    </row>
    <row r="306" spans="2:12" ht="15.75" x14ac:dyDescent="0.25">
      <c r="B306" s="358"/>
      <c r="C306" s="359"/>
      <c r="D306" s="360"/>
      <c r="E306" s="361"/>
      <c r="F306" s="361"/>
      <c r="G306" s="361"/>
      <c r="H306" s="361"/>
      <c r="I306" s="361"/>
      <c r="J306" s="361"/>
      <c r="K306" s="362"/>
      <c r="L306" s="350"/>
    </row>
    <row r="307" spans="2:12" ht="15.75" x14ac:dyDescent="0.25">
      <c r="B307" s="358"/>
      <c r="C307" s="359"/>
      <c r="D307" s="360"/>
      <c r="E307" s="361"/>
      <c r="F307" s="361"/>
      <c r="G307" s="361"/>
      <c r="H307" s="361"/>
      <c r="I307" s="361"/>
      <c r="J307" s="361"/>
      <c r="K307" s="362"/>
      <c r="L307" s="350"/>
    </row>
    <row r="308" spans="2:12" ht="15.75" x14ac:dyDescent="0.25">
      <c r="B308" s="358"/>
      <c r="C308" s="359"/>
      <c r="D308" s="360"/>
      <c r="E308" s="361"/>
      <c r="F308" s="361"/>
      <c r="G308" s="361"/>
      <c r="H308" s="361"/>
      <c r="I308" s="361"/>
      <c r="J308" s="361"/>
      <c r="K308" s="362"/>
      <c r="L308" s="350"/>
    </row>
    <row r="309" spans="2:12" ht="15.75" x14ac:dyDescent="0.25">
      <c r="B309" s="358"/>
      <c r="C309" s="359"/>
      <c r="D309" s="360"/>
      <c r="E309" s="361"/>
      <c r="F309" s="361"/>
      <c r="G309" s="361"/>
      <c r="H309" s="361"/>
      <c r="I309" s="361"/>
      <c r="J309" s="361"/>
      <c r="K309" s="362"/>
      <c r="L309" s="350"/>
    </row>
    <row r="310" spans="2:12" ht="15.75" x14ac:dyDescent="0.25">
      <c r="B310" s="358"/>
      <c r="C310" s="359"/>
      <c r="D310" s="360"/>
      <c r="E310" s="361"/>
      <c r="F310" s="361"/>
      <c r="G310" s="361"/>
      <c r="H310" s="361"/>
      <c r="I310" s="361"/>
      <c r="J310" s="361"/>
      <c r="K310" s="362"/>
      <c r="L310" s="350"/>
    </row>
    <row r="311" spans="2:12" ht="15.75" x14ac:dyDescent="0.25">
      <c r="B311" s="358"/>
      <c r="C311" s="359"/>
      <c r="D311" s="360"/>
      <c r="E311" s="361"/>
      <c r="F311" s="361"/>
      <c r="G311" s="361"/>
      <c r="H311" s="361"/>
      <c r="I311" s="361"/>
      <c r="J311" s="361"/>
      <c r="K311" s="362"/>
      <c r="L311" s="350"/>
    </row>
    <row r="312" spans="2:12" ht="15.75" x14ac:dyDescent="0.25">
      <c r="B312" s="358"/>
      <c r="C312" s="359"/>
      <c r="D312" s="360"/>
      <c r="E312" s="361"/>
      <c r="F312" s="361"/>
      <c r="G312" s="361"/>
      <c r="H312" s="361"/>
      <c r="I312" s="361"/>
      <c r="J312" s="361"/>
      <c r="K312" s="362"/>
      <c r="L312" s="350"/>
    </row>
    <row r="313" spans="2:12" ht="15.75" x14ac:dyDescent="0.25">
      <c r="B313" s="358"/>
      <c r="C313" s="359"/>
      <c r="D313" s="360"/>
      <c r="E313" s="361"/>
      <c r="F313" s="361"/>
      <c r="G313" s="361"/>
      <c r="H313" s="361"/>
      <c r="I313" s="361"/>
      <c r="J313" s="361"/>
      <c r="K313" s="362"/>
      <c r="L313" s="350"/>
    </row>
    <row r="314" spans="2:12" ht="15.75" x14ac:dyDescent="0.25">
      <c r="B314" s="358"/>
      <c r="C314" s="359"/>
      <c r="D314" s="360"/>
      <c r="E314" s="361"/>
      <c r="F314" s="361"/>
      <c r="G314" s="361"/>
      <c r="H314" s="361"/>
      <c r="I314" s="361"/>
      <c r="J314" s="361"/>
      <c r="K314" s="362"/>
      <c r="L314" s="350"/>
    </row>
    <row r="315" spans="2:12" ht="15.75" x14ac:dyDescent="0.25">
      <c r="B315" s="358"/>
      <c r="C315" s="359"/>
      <c r="D315" s="360"/>
      <c r="E315" s="361"/>
      <c r="F315" s="361"/>
      <c r="G315" s="361"/>
      <c r="H315" s="361"/>
      <c r="I315" s="361"/>
      <c r="J315" s="361"/>
      <c r="K315" s="362"/>
      <c r="L315" s="350"/>
    </row>
    <row r="316" spans="2:12" ht="15.75" x14ac:dyDescent="0.25">
      <c r="B316" s="358"/>
      <c r="C316" s="359"/>
      <c r="D316" s="360"/>
      <c r="E316" s="361"/>
      <c r="F316" s="361"/>
      <c r="G316" s="361"/>
      <c r="H316" s="361"/>
      <c r="I316" s="361"/>
      <c r="J316" s="361"/>
      <c r="K316" s="362"/>
      <c r="L316" s="350"/>
    </row>
    <row r="317" spans="2:12" ht="15.75" x14ac:dyDescent="0.25">
      <c r="B317" s="358"/>
      <c r="C317" s="359"/>
      <c r="D317" s="360"/>
      <c r="E317" s="361"/>
      <c r="F317" s="361"/>
      <c r="G317" s="361"/>
      <c r="H317" s="361"/>
      <c r="I317" s="361"/>
      <c r="J317" s="361"/>
      <c r="K317" s="362"/>
    </row>
  </sheetData>
  <mergeCells count="8">
    <mergeCell ref="B3:F3"/>
    <mergeCell ref="G3:K3"/>
    <mergeCell ref="B4:F4"/>
    <mergeCell ref="G4:K4"/>
    <mergeCell ref="B6:B7"/>
    <mergeCell ref="C6:C7"/>
    <mergeCell ref="D6:D7"/>
    <mergeCell ref="E6:K6"/>
  </mergeCells>
  <conditionalFormatting sqref="E6">
    <cfRule type="cellIs" dxfId="3" priority="1" stopIfTrue="1" operator="equal">
      <formula>0</formula>
    </cfRule>
  </conditionalFormatting>
  <pageMargins left="0.511811024" right="0.511811024" top="0.78740157499999996" bottom="0.78740157499999996" header="0.31496062000000002" footer="0.31496062000000002"/>
  <pageSetup paperSize="9" scale="39" orientation="portrait" r:id="rId1"/>
  <colBreaks count="1" manualBreakCount="1">
    <brk id="12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7"/>
  <sheetViews>
    <sheetView topLeftCell="A31" zoomScale="85" zoomScaleNormal="85" workbookViewId="0">
      <selection activeCell="I68" sqref="I68"/>
    </sheetView>
  </sheetViews>
  <sheetFormatPr defaultRowHeight="15" x14ac:dyDescent="0.25"/>
  <cols>
    <col min="2" max="2" width="15.28515625" customWidth="1"/>
    <col min="3" max="3" width="48.7109375" customWidth="1"/>
    <col min="6" max="6" width="15.5703125" customWidth="1"/>
    <col min="7" max="7" width="14.7109375" customWidth="1"/>
    <col min="8" max="8" width="16" bestFit="1" customWidth="1"/>
    <col min="10" max="10" width="16.5703125" bestFit="1" customWidth="1"/>
    <col min="11" max="11" width="9.5703125" bestFit="1" customWidth="1"/>
  </cols>
  <sheetData>
    <row r="1" spans="1:11" x14ac:dyDescent="0.25">
      <c r="A1" s="491" t="s">
        <v>240</v>
      </c>
      <c r="B1" s="491"/>
      <c r="C1" s="491"/>
      <c r="D1" s="491"/>
      <c r="E1" s="491"/>
      <c r="F1" s="491"/>
      <c r="G1" s="491"/>
      <c r="H1" s="491"/>
    </row>
    <row r="2" spans="1:11" x14ac:dyDescent="0.25">
      <c r="A2" s="491"/>
      <c r="B2" s="491"/>
      <c r="C2" s="491"/>
      <c r="D2" s="491"/>
      <c r="E2" s="491"/>
      <c r="F2" s="491"/>
      <c r="G2" s="491"/>
      <c r="H2" s="491"/>
    </row>
    <row r="3" spans="1:11" ht="15.75" x14ac:dyDescent="0.25">
      <c r="A3" s="492" t="s">
        <v>1294</v>
      </c>
      <c r="B3" s="492"/>
      <c r="C3" s="492"/>
      <c r="D3" s="492"/>
      <c r="E3" s="492"/>
      <c r="F3" s="492"/>
      <c r="G3" s="492"/>
      <c r="H3" s="492"/>
    </row>
    <row r="4" spans="1:11" x14ac:dyDescent="0.25">
      <c r="A4" s="2" t="s">
        <v>1</v>
      </c>
      <c r="B4" s="2" t="s">
        <v>241</v>
      </c>
      <c r="C4" s="2" t="s">
        <v>2</v>
      </c>
      <c r="D4" s="61" t="s">
        <v>13</v>
      </c>
      <c r="E4" s="61" t="s">
        <v>14</v>
      </c>
      <c r="F4" s="62" t="s">
        <v>242</v>
      </c>
      <c r="G4" s="62" t="s">
        <v>243</v>
      </c>
      <c r="H4" s="62" t="s">
        <v>244</v>
      </c>
    </row>
    <row r="5" spans="1:11" x14ac:dyDescent="0.25">
      <c r="A5" s="235" t="s">
        <v>245</v>
      </c>
      <c r="B5" s="235"/>
      <c r="C5" s="236" t="s">
        <v>4</v>
      </c>
      <c r="D5" s="236"/>
      <c r="E5" s="236"/>
      <c r="F5" s="237"/>
      <c r="G5" s="237"/>
      <c r="H5" s="237" t="e">
        <f>SUM(H6,H73,H135)</f>
        <v>#REF!</v>
      </c>
      <c r="K5" s="232"/>
    </row>
    <row r="6" spans="1:11" x14ac:dyDescent="0.25">
      <c r="A6" s="63" t="s">
        <v>246</v>
      </c>
      <c r="B6" s="63"/>
      <c r="C6" s="64" t="s">
        <v>1287</v>
      </c>
      <c r="D6" s="64"/>
      <c r="E6" s="64"/>
      <c r="F6" s="65"/>
      <c r="G6" s="65"/>
      <c r="H6" s="65" t="e">
        <f>SUM(H7,H8,H9,H10,H11,H12,H13,H23,H24,H30,,H25,H32,H37,H41,H44,H46,H49,H52,H58,H61)</f>
        <v>#REF!</v>
      </c>
      <c r="K6" s="232"/>
    </row>
    <row r="7" spans="1:11" x14ac:dyDescent="0.25">
      <c r="A7" s="66" t="s">
        <v>246</v>
      </c>
      <c r="B7" s="66" t="s">
        <v>12</v>
      </c>
      <c r="C7" s="67" t="s">
        <v>247</v>
      </c>
      <c r="D7" s="66" t="s">
        <v>248</v>
      </c>
      <c r="E7" s="66">
        <v>1</v>
      </c>
      <c r="F7" s="68">
        <f>'Composição UNIT.'!H25</f>
        <v>0</v>
      </c>
      <c r="G7" s="68">
        <f>'Composição UNIT.'!H15</f>
        <v>0</v>
      </c>
      <c r="H7" s="68">
        <f t="shared" ref="H7:H12" si="0">G7+F7</f>
        <v>0</v>
      </c>
      <c r="K7" s="232"/>
    </row>
    <row r="8" spans="1:11" hidden="1" x14ac:dyDescent="0.25">
      <c r="A8" s="66" t="s">
        <v>249</v>
      </c>
      <c r="B8" s="66" t="s">
        <v>12</v>
      </c>
      <c r="C8" s="67" t="s">
        <v>250</v>
      </c>
      <c r="D8" s="66" t="s">
        <v>248</v>
      </c>
      <c r="E8" s="66">
        <v>1</v>
      </c>
      <c r="F8" s="68">
        <f>'Composição UNIT.'!H181</f>
        <v>0</v>
      </c>
      <c r="G8" s="68">
        <f>'Composição UNIT.'!H171</f>
        <v>0</v>
      </c>
      <c r="H8" s="68">
        <f t="shared" si="0"/>
        <v>0</v>
      </c>
      <c r="K8" s="232"/>
    </row>
    <row r="9" spans="1:11" hidden="1" x14ac:dyDescent="0.25">
      <c r="A9" s="66" t="s">
        <v>62</v>
      </c>
      <c r="B9" s="66" t="s">
        <v>12</v>
      </c>
      <c r="C9" s="67" t="s">
        <v>251</v>
      </c>
      <c r="D9" s="66" t="s">
        <v>248</v>
      </c>
      <c r="E9" s="66">
        <v>1</v>
      </c>
      <c r="F9" s="68">
        <f>'Composição UNIT.'!H864</f>
        <v>0</v>
      </c>
      <c r="G9" s="68">
        <f>'Composição UNIT.'!H854</f>
        <v>0</v>
      </c>
      <c r="H9" s="68">
        <f t="shared" si="0"/>
        <v>0</v>
      </c>
      <c r="K9" s="232"/>
    </row>
    <row r="10" spans="1:11" x14ac:dyDescent="0.25">
      <c r="A10" s="66" t="s">
        <v>252</v>
      </c>
      <c r="B10" s="66" t="s">
        <v>12</v>
      </c>
      <c r="C10" s="67" t="s">
        <v>253</v>
      </c>
      <c r="D10" s="66" t="s">
        <v>248</v>
      </c>
      <c r="E10" s="66">
        <v>1</v>
      </c>
      <c r="F10" s="68">
        <f>'Composição UNIT.'!H51</f>
        <v>0</v>
      </c>
      <c r="G10" s="68">
        <f>'Composição UNIT.'!H41</f>
        <v>0</v>
      </c>
      <c r="H10" s="68">
        <f t="shared" si="0"/>
        <v>0</v>
      </c>
      <c r="K10" s="232"/>
    </row>
    <row r="11" spans="1:11" x14ac:dyDescent="0.25">
      <c r="A11" s="66" t="s">
        <v>254</v>
      </c>
      <c r="B11" s="66" t="s">
        <v>12</v>
      </c>
      <c r="C11" s="67" t="s">
        <v>255</v>
      </c>
      <c r="D11" s="66" t="s">
        <v>248</v>
      </c>
      <c r="E11" s="66">
        <v>1</v>
      </c>
      <c r="F11" s="68">
        <f>'Composição UNIT.'!H77</f>
        <v>0</v>
      </c>
      <c r="G11" s="68">
        <f>'Composição UNIT.'!H67</f>
        <v>87471.44</v>
      </c>
      <c r="H11" s="68">
        <f t="shared" si="0"/>
        <v>87471.44</v>
      </c>
      <c r="K11" s="232"/>
    </row>
    <row r="12" spans="1:11" x14ac:dyDescent="0.25">
      <c r="A12" s="66" t="s">
        <v>256</v>
      </c>
      <c r="B12" s="66" t="s">
        <v>12</v>
      </c>
      <c r="C12" s="67" t="s">
        <v>257</v>
      </c>
      <c r="D12" s="66" t="s">
        <v>248</v>
      </c>
      <c r="E12" s="66">
        <v>1</v>
      </c>
      <c r="F12" s="68">
        <f>'Composição UNIT.'!H103</f>
        <v>0</v>
      </c>
      <c r="G12" s="68">
        <f>'Composição UNIT.'!H93</f>
        <v>0</v>
      </c>
      <c r="H12" s="68">
        <f t="shared" si="0"/>
        <v>0</v>
      </c>
      <c r="K12" s="232"/>
    </row>
    <row r="13" spans="1:11" hidden="1" x14ac:dyDescent="0.25">
      <c r="A13" s="66" t="s">
        <v>258</v>
      </c>
      <c r="B13" s="66"/>
      <c r="C13" s="67" t="s">
        <v>259</v>
      </c>
      <c r="D13" s="67"/>
      <c r="E13" s="67"/>
      <c r="F13" s="68"/>
      <c r="G13" s="68"/>
      <c r="H13" s="68" t="e">
        <f>SUM(H14:H22)</f>
        <v>#REF!</v>
      </c>
      <c r="K13" s="232"/>
    </row>
    <row r="14" spans="1:11" hidden="1" x14ac:dyDescent="0.25">
      <c r="A14" s="69" t="s">
        <v>260</v>
      </c>
      <c r="B14" s="69" t="s">
        <v>12</v>
      </c>
      <c r="C14" s="70" t="s">
        <v>261</v>
      </c>
      <c r="D14" s="69" t="s">
        <v>248</v>
      </c>
      <c r="E14" s="69">
        <v>1</v>
      </c>
      <c r="F14" s="71">
        <f>'Composição UNIT.'!H207</f>
        <v>0</v>
      </c>
      <c r="G14" s="71">
        <f>'Composição UNIT.'!H197</f>
        <v>0</v>
      </c>
      <c r="H14" s="71">
        <f>F14+G14</f>
        <v>0</v>
      </c>
      <c r="K14" s="232"/>
    </row>
    <row r="15" spans="1:11" hidden="1" x14ac:dyDescent="0.25">
      <c r="A15" s="69" t="s">
        <v>145</v>
      </c>
      <c r="B15" s="69" t="s">
        <v>12</v>
      </c>
      <c r="C15" s="70" t="s">
        <v>262</v>
      </c>
      <c r="D15" s="69" t="s">
        <v>248</v>
      </c>
      <c r="E15" s="69">
        <v>1</v>
      </c>
      <c r="F15" s="71">
        <f>'Composição UNIT.'!H233</f>
        <v>0</v>
      </c>
      <c r="G15" s="71">
        <f>'Composição UNIT.'!H223</f>
        <v>0</v>
      </c>
      <c r="H15" s="71">
        <f t="shared" ref="H15:H29" si="1">F15+G15</f>
        <v>0</v>
      </c>
      <c r="K15" s="232"/>
    </row>
    <row r="16" spans="1:11" hidden="1" x14ac:dyDescent="0.25">
      <c r="A16" s="69" t="s">
        <v>153</v>
      </c>
      <c r="B16" s="69" t="s">
        <v>12</v>
      </c>
      <c r="C16" s="70" t="s">
        <v>77</v>
      </c>
      <c r="D16" s="69" t="s">
        <v>248</v>
      </c>
      <c r="E16" s="69">
        <v>1</v>
      </c>
      <c r="F16" s="71" t="e">
        <f>'Composição UNIT.'!#REF!</f>
        <v>#REF!</v>
      </c>
      <c r="G16" s="71" t="e">
        <f>'Composição UNIT.'!#REF!</f>
        <v>#REF!</v>
      </c>
      <c r="H16" s="71" t="e">
        <f t="shared" si="1"/>
        <v>#REF!</v>
      </c>
      <c r="K16" s="232"/>
    </row>
    <row r="17" spans="1:11" hidden="1" x14ac:dyDescent="0.25">
      <c r="A17" s="69" t="s">
        <v>160</v>
      </c>
      <c r="B17" s="69" t="s">
        <v>12</v>
      </c>
      <c r="C17" s="70" t="s">
        <v>263</v>
      </c>
      <c r="D17" s="69" t="s">
        <v>248</v>
      </c>
      <c r="E17" s="69">
        <v>1</v>
      </c>
      <c r="F17" s="71">
        <f>'Composição UNIT.'!H155</f>
        <v>0</v>
      </c>
      <c r="G17" s="71">
        <f>'Composição UNIT.'!H145</f>
        <v>0</v>
      </c>
      <c r="H17" s="71">
        <f t="shared" si="1"/>
        <v>0</v>
      </c>
      <c r="K17" s="232"/>
    </row>
    <row r="18" spans="1:11" hidden="1" x14ac:dyDescent="0.25">
      <c r="A18" s="69" t="s">
        <v>264</v>
      </c>
      <c r="B18" s="69" t="s">
        <v>12</v>
      </c>
      <c r="C18" s="70" t="s">
        <v>265</v>
      </c>
      <c r="D18" s="69" t="s">
        <v>248</v>
      </c>
      <c r="E18" s="69">
        <v>1</v>
      </c>
      <c r="F18" s="71">
        <f>'Composição UNIT.'!H259</f>
        <v>0</v>
      </c>
      <c r="G18" s="71">
        <f>'Composição UNIT.'!H249</f>
        <v>0</v>
      </c>
      <c r="H18" s="71">
        <f t="shared" si="1"/>
        <v>0</v>
      </c>
      <c r="K18" s="232"/>
    </row>
    <row r="19" spans="1:11" hidden="1" x14ac:dyDescent="0.25">
      <c r="A19" s="69" t="s">
        <v>266</v>
      </c>
      <c r="B19" s="69" t="s">
        <v>12</v>
      </c>
      <c r="C19" s="70" t="s">
        <v>267</v>
      </c>
      <c r="D19" s="69" t="s">
        <v>248</v>
      </c>
      <c r="E19" s="69">
        <v>1</v>
      </c>
      <c r="F19" s="71">
        <f>'Composição UNIT.'!H285</f>
        <v>0</v>
      </c>
      <c r="G19" s="71">
        <f>'Composição UNIT.'!H275</f>
        <v>0</v>
      </c>
      <c r="H19" s="71">
        <f t="shared" si="1"/>
        <v>0</v>
      </c>
      <c r="K19" s="232"/>
    </row>
    <row r="20" spans="1:11" hidden="1" x14ac:dyDescent="0.25">
      <c r="A20" s="69" t="s">
        <v>268</v>
      </c>
      <c r="B20" s="69" t="s">
        <v>12</v>
      </c>
      <c r="C20" s="70" t="s">
        <v>269</v>
      </c>
      <c r="D20" s="69" t="s">
        <v>248</v>
      </c>
      <c r="E20" s="69">
        <v>1</v>
      </c>
      <c r="F20" s="71">
        <f>'Composição UNIT.'!H311</f>
        <v>0</v>
      </c>
      <c r="G20" s="71">
        <f>'Composição UNIT.'!H301</f>
        <v>0</v>
      </c>
      <c r="H20" s="71">
        <f t="shared" si="1"/>
        <v>0</v>
      </c>
      <c r="K20" s="232"/>
    </row>
    <row r="21" spans="1:11" hidden="1" x14ac:dyDescent="0.25">
      <c r="A21" s="69" t="s">
        <v>270</v>
      </c>
      <c r="B21" s="69" t="s">
        <v>12</v>
      </c>
      <c r="C21" s="70" t="s">
        <v>271</v>
      </c>
      <c r="D21" s="69" t="s">
        <v>248</v>
      </c>
      <c r="E21" s="69">
        <v>1</v>
      </c>
      <c r="F21" s="71">
        <f>'Composição UNIT.'!H337</f>
        <v>0</v>
      </c>
      <c r="G21" s="71">
        <f>'Composição UNIT.'!H327</f>
        <v>0</v>
      </c>
      <c r="H21" s="71">
        <f t="shared" si="1"/>
        <v>0</v>
      </c>
      <c r="K21" s="232"/>
    </row>
    <row r="22" spans="1:11" hidden="1" x14ac:dyDescent="0.25">
      <c r="A22" s="69" t="s">
        <v>92</v>
      </c>
      <c r="B22" s="69" t="s">
        <v>12</v>
      </c>
      <c r="C22" s="70" t="s">
        <v>93</v>
      </c>
      <c r="D22" s="69" t="s">
        <v>248</v>
      </c>
      <c r="E22" s="69">
        <v>1</v>
      </c>
      <c r="F22" s="71">
        <f>'Composição UNIT.'!H520</f>
        <v>0</v>
      </c>
      <c r="G22" s="71">
        <f>'Composição UNIT.'!H510</f>
        <v>0</v>
      </c>
      <c r="H22" s="71">
        <f t="shared" si="1"/>
        <v>0</v>
      </c>
      <c r="K22" s="232"/>
    </row>
    <row r="23" spans="1:11" hidden="1" x14ac:dyDescent="0.25">
      <c r="A23" s="66" t="s">
        <v>94</v>
      </c>
      <c r="B23" s="66" t="s">
        <v>12</v>
      </c>
      <c r="C23" s="67" t="s">
        <v>272</v>
      </c>
      <c r="D23" s="66" t="s">
        <v>248</v>
      </c>
      <c r="E23" s="66">
        <v>1</v>
      </c>
      <c r="F23" s="68">
        <f>'Composição UNIT.'!H129</f>
        <v>0</v>
      </c>
      <c r="G23" s="68">
        <f>'Composição UNIT.'!H119</f>
        <v>0</v>
      </c>
      <c r="H23" s="68">
        <f>G23+F23</f>
        <v>0</v>
      </c>
      <c r="K23" s="232"/>
    </row>
    <row r="24" spans="1:11" hidden="1" x14ac:dyDescent="0.25">
      <c r="A24" s="66" t="s">
        <v>101</v>
      </c>
      <c r="B24" s="66" t="s">
        <v>12</v>
      </c>
      <c r="C24" s="72" t="s">
        <v>102</v>
      </c>
      <c r="D24" s="66" t="s">
        <v>248</v>
      </c>
      <c r="E24" s="66">
        <v>1</v>
      </c>
      <c r="F24" s="68" t="e">
        <f>'Composição UNIT.'!#REF!</f>
        <v>#REF!</v>
      </c>
      <c r="G24" s="68" t="e">
        <f>'Composição UNIT.'!#REF!</f>
        <v>#REF!</v>
      </c>
      <c r="H24" s="68" t="e">
        <f>G24+F24</f>
        <v>#REF!</v>
      </c>
      <c r="K24" s="232"/>
    </row>
    <row r="25" spans="1:11" x14ac:dyDescent="0.25">
      <c r="A25" s="66" t="s">
        <v>103</v>
      </c>
      <c r="B25" s="66"/>
      <c r="C25" s="67" t="s">
        <v>273</v>
      </c>
      <c r="D25" s="67"/>
      <c r="E25" s="67"/>
      <c r="F25" s="68"/>
      <c r="G25" s="68"/>
      <c r="H25" s="68" t="e">
        <f>SUM(H26:H29)</f>
        <v>#REF!</v>
      </c>
      <c r="K25" s="232"/>
    </row>
    <row r="26" spans="1:11" x14ac:dyDescent="0.25">
      <c r="A26" s="69" t="s">
        <v>105</v>
      </c>
      <c r="B26" s="69" t="s">
        <v>12</v>
      </c>
      <c r="C26" s="73" t="s">
        <v>274</v>
      </c>
      <c r="D26" s="69" t="s">
        <v>248</v>
      </c>
      <c r="E26" s="69">
        <v>1</v>
      </c>
      <c r="F26" s="74">
        <f>'Composição UNIT.'!H442</f>
        <v>0</v>
      </c>
      <c r="G26" s="74">
        <f>'Composição UNIT.'!H432</f>
        <v>0</v>
      </c>
      <c r="H26" s="71">
        <f t="shared" si="1"/>
        <v>0</v>
      </c>
      <c r="K26" s="232"/>
    </row>
    <row r="27" spans="1:11" x14ac:dyDescent="0.25">
      <c r="A27" s="69" t="s">
        <v>112</v>
      </c>
      <c r="B27" s="69" t="s">
        <v>12</v>
      </c>
      <c r="C27" s="73" t="s">
        <v>275</v>
      </c>
      <c r="D27" s="69" t="s">
        <v>248</v>
      </c>
      <c r="E27" s="69">
        <v>1</v>
      </c>
      <c r="F27" s="74">
        <f>'Composição UNIT.'!H468</f>
        <v>0</v>
      </c>
      <c r="G27" s="74">
        <f>'Composição UNIT.'!H458</f>
        <v>0</v>
      </c>
      <c r="H27" s="71">
        <f t="shared" si="1"/>
        <v>0</v>
      </c>
      <c r="K27" s="232"/>
    </row>
    <row r="28" spans="1:11" x14ac:dyDescent="0.25">
      <c r="A28" s="69" t="s">
        <v>119</v>
      </c>
      <c r="B28" s="69" t="s">
        <v>12</v>
      </c>
      <c r="C28" s="73" t="s">
        <v>276</v>
      </c>
      <c r="D28" s="69" t="s">
        <v>248</v>
      </c>
      <c r="E28" s="69">
        <v>1</v>
      </c>
      <c r="F28" s="74" t="e">
        <f>'Composição UNIT.'!#REF!</f>
        <v>#REF!</v>
      </c>
      <c r="G28" s="74" t="e">
        <f>'Composição UNIT.'!#REF!</f>
        <v>#REF!</v>
      </c>
      <c r="H28" s="71" t="e">
        <f t="shared" si="1"/>
        <v>#REF!</v>
      </c>
      <c r="K28" s="232"/>
    </row>
    <row r="29" spans="1:11" x14ac:dyDescent="0.25">
      <c r="A29" s="69" t="s">
        <v>126</v>
      </c>
      <c r="B29" s="69" t="s">
        <v>12</v>
      </c>
      <c r="C29" s="73" t="s">
        <v>277</v>
      </c>
      <c r="D29" s="69" t="s">
        <v>248</v>
      </c>
      <c r="E29" s="69">
        <v>1</v>
      </c>
      <c r="F29" s="74" t="e">
        <f>'Composição UNIT.'!#REF!</f>
        <v>#REF!</v>
      </c>
      <c r="G29" s="74" t="e">
        <f>'Composição UNIT.'!#REF!</f>
        <v>#REF!</v>
      </c>
      <c r="H29" s="71" t="e">
        <f t="shared" si="1"/>
        <v>#REF!</v>
      </c>
      <c r="K29" s="232"/>
    </row>
    <row r="30" spans="1:11" x14ac:dyDescent="0.25">
      <c r="A30" s="66" t="s">
        <v>133</v>
      </c>
      <c r="B30" s="66"/>
      <c r="C30" s="75" t="s">
        <v>278</v>
      </c>
      <c r="D30" s="67"/>
      <c r="E30" s="67"/>
      <c r="F30" s="68"/>
      <c r="G30" s="68"/>
      <c r="H30" s="68" t="e">
        <f>H31</f>
        <v>#REF!</v>
      </c>
      <c r="K30" s="232"/>
    </row>
    <row r="31" spans="1:11" x14ac:dyDescent="0.25">
      <c r="A31" s="69" t="s">
        <v>279</v>
      </c>
      <c r="B31" s="69" t="s">
        <v>12</v>
      </c>
      <c r="C31" s="70" t="s">
        <v>134</v>
      </c>
      <c r="D31" s="69" t="s">
        <v>248</v>
      </c>
      <c r="E31" s="69">
        <v>1</v>
      </c>
      <c r="F31" s="74" t="e">
        <f>'Composição UNIT.'!#REF!</f>
        <v>#REF!</v>
      </c>
      <c r="G31" s="74" t="e">
        <f>'Composição UNIT.'!#REF!</f>
        <v>#REF!</v>
      </c>
      <c r="H31" s="74" t="e">
        <f>G31+F31</f>
        <v>#REF!</v>
      </c>
    </row>
    <row r="32" spans="1:11" x14ac:dyDescent="0.25">
      <c r="A32" s="66" t="s">
        <v>135</v>
      </c>
      <c r="B32" s="66"/>
      <c r="C32" s="67" t="s">
        <v>136</v>
      </c>
      <c r="D32" s="67"/>
      <c r="E32" s="67"/>
      <c r="F32" s="68"/>
      <c r="G32" s="68"/>
      <c r="H32" s="68" t="e">
        <f>SUM(H33:H36)</f>
        <v>#REF!</v>
      </c>
    </row>
    <row r="33" spans="1:8" x14ac:dyDescent="0.25">
      <c r="A33" s="69" t="s">
        <v>137</v>
      </c>
      <c r="B33" s="69" t="s">
        <v>12</v>
      </c>
      <c r="C33" s="70" t="s">
        <v>280</v>
      </c>
      <c r="D33" s="69" t="s">
        <v>248</v>
      </c>
      <c r="E33" s="69">
        <v>1</v>
      </c>
      <c r="F33" s="74">
        <f>'Composição UNIT.'!H706</f>
        <v>0</v>
      </c>
      <c r="G33" s="74">
        <f>'Composição UNIT.'!H696</f>
        <v>0</v>
      </c>
      <c r="H33" s="74">
        <f>G33+F33</f>
        <v>0</v>
      </c>
    </row>
    <row r="34" spans="1:8" x14ac:dyDescent="0.25">
      <c r="A34" s="69" t="s">
        <v>281</v>
      </c>
      <c r="B34" s="69" t="s">
        <v>12</v>
      </c>
      <c r="C34" s="70" t="s">
        <v>282</v>
      </c>
      <c r="D34" s="69" t="s">
        <v>248</v>
      </c>
      <c r="E34" s="69">
        <v>1</v>
      </c>
      <c r="F34" s="74">
        <f>'Composição UNIT.'!H732</f>
        <v>0</v>
      </c>
      <c r="G34" s="74">
        <f>'Composição UNIT.'!H722</f>
        <v>0</v>
      </c>
      <c r="H34" s="74">
        <f>G34+F34</f>
        <v>0</v>
      </c>
    </row>
    <row r="35" spans="1:8" x14ac:dyDescent="0.25">
      <c r="A35" s="69" t="s">
        <v>283</v>
      </c>
      <c r="B35" s="69" t="s">
        <v>12</v>
      </c>
      <c r="C35" s="70" t="s">
        <v>284</v>
      </c>
      <c r="D35" s="69" t="s">
        <v>248</v>
      </c>
      <c r="E35" s="69">
        <v>1</v>
      </c>
      <c r="F35" s="74" t="e">
        <f>'Composição UNIT.'!#REF!</f>
        <v>#REF!</v>
      </c>
      <c r="G35" s="74" t="e">
        <f>'Composição UNIT.'!#REF!</f>
        <v>#REF!</v>
      </c>
      <c r="H35" s="74" t="e">
        <f>G35+F35</f>
        <v>#REF!</v>
      </c>
    </row>
    <row r="36" spans="1:8" x14ac:dyDescent="0.25">
      <c r="A36" s="69" t="s">
        <v>285</v>
      </c>
      <c r="B36" s="69" t="s">
        <v>12</v>
      </c>
      <c r="C36" s="70" t="s">
        <v>286</v>
      </c>
      <c r="D36" s="69" t="s">
        <v>248</v>
      </c>
      <c r="E36" s="69">
        <v>1</v>
      </c>
      <c r="F36" s="74" t="e">
        <f>'Composição UNIT.'!#REF!</f>
        <v>#REF!</v>
      </c>
      <c r="G36" s="74" t="e">
        <f>'Composição UNIT.'!#REF!</f>
        <v>#REF!</v>
      </c>
      <c r="H36" s="74" t="e">
        <f>G36+F36</f>
        <v>#REF!</v>
      </c>
    </row>
    <row r="37" spans="1:8" x14ac:dyDescent="0.25">
      <c r="A37" s="76" t="s">
        <v>167</v>
      </c>
      <c r="B37" s="66"/>
      <c r="C37" s="67" t="s">
        <v>168</v>
      </c>
      <c r="D37" s="67"/>
      <c r="E37" s="67"/>
      <c r="F37" s="68"/>
      <c r="G37" s="68"/>
      <c r="H37" s="68">
        <f>SUM(H38:H40)</f>
        <v>0</v>
      </c>
    </row>
    <row r="38" spans="1:8" x14ac:dyDescent="0.25">
      <c r="A38" s="77" t="s">
        <v>169</v>
      </c>
      <c r="B38" s="69" t="s">
        <v>12</v>
      </c>
      <c r="C38" s="73" t="s">
        <v>287</v>
      </c>
      <c r="D38" s="69" t="s">
        <v>248</v>
      </c>
      <c r="E38" s="69">
        <v>1</v>
      </c>
      <c r="F38" s="74">
        <f>'Composição UNIT.'!H573</f>
        <v>0</v>
      </c>
      <c r="G38" s="74">
        <f>'Composição UNIT.'!H563</f>
        <v>0</v>
      </c>
      <c r="H38" s="74">
        <f>G38+F38</f>
        <v>0</v>
      </c>
    </row>
    <row r="39" spans="1:8" x14ac:dyDescent="0.25">
      <c r="A39" s="77" t="s">
        <v>177</v>
      </c>
      <c r="B39" s="69" t="s">
        <v>12</v>
      </c>
      <c r="C39" s="73" t="s">
        <v>288</v>
      </c>
      <c r="D39" s="69" t="s">
        <v>248</v>
      </c>
      <c r="E39" s="69">
        <v>1</v>
      </c>
      <c r="F39" s="74">
        <f>'Composição UNIT.'!H599</f>
        <v>0</v>
      </c>
      <c r="G39" s="74">
        <f>'Composição UNIT.'!H589</f>
        <v>0</v>
      </c>
      <c r="H39" s="74">
        <f>G39+F39</f>
        <v>0</v>
      </c>
    </row>
    <row r="40" spans="1:8" x14ac:dyDescent="0.25">
      <c r="A40" s="77" t="s">
        <v>185</v>
      </c>
      <c r="B40" s="69" t="s">
        <v>12</v>
      </c>
      <c r="C40" s="73" t="s">
        <v>289</v>
      </c>
      <c r="D40" s="69" t="s">
        <v>248</v>
      </c>
      <c r="E40" s="69">
        <v>1</v>
      </c>
      <c r="F40" s="74">
        <f>'Composição UNIT.'!H625</f>
        <v>0</v>
      </c>
      <c r="G40" s="74">
        <f>'Composição UNIT.'!H615</f>
        <v>0</v>
      </c>
      <c r="H40" s="74">
        <f>G40+F40</f>
        <v>0</v>
      </c>
    </row>
    <row r="41" spans="1:8" x14ac:dyDescent="0.25">
      <c r="A41" s="76" t="s">
        <v>193</v>
      </c>
      <c r="B41" s="66"/>
      <c r="C41" s="67" t="s">
        <v>290</v>
      </c>
      <c r="D41" s="67"/>
      <c r="E41" s="67"/>
      <c r="F41" s="68"/>
      <c r="G41" s="68"/>
      <c r="H41" s="68">
        <f>SUM(H42:H43)</f>
        <v>0</v>
      </c>
    </row>
    <row r="42" spans="1:8" x14ac:dyDescent="0.25">
      <c r="A42" s="77" t="s">
        <v>195</v>
      </c>
      <c r="B42" s="69" t="s">
        <v>12</v>
      </c>
      <c r="C42" s="73" t="s">
        <v>291</v>
      </c>
      <c r="D42" s="69" t="s">
        <v>248</v>
      </c>
      <c r="E42" s="69">
        <v>1</v>
      </c>
      <c r="F42" s="74">
        <f>'Composição UNIT.'!H652</f>
        <v>0</v>
      </c>
      <c r="G42" s="74">
        <f>'Composição UNIT.'!H642</f>
        <v>0</v>
      </c>
      <c r="H42" s="74">
        <f>G42+F42</f>
        <v>0</v>
      </c>
    </row>
    <row r="43" spans="1:8" x14ac:dyDescent="0.25">
      <c r="A43" s="77" t="s">
        <v>204</v>
      </c>
      <c r="B43" s="69" t="s">
        <v>12</v>
      </c>
      <c r="C43" s="73" t="s">
        <v>292</v>
      </c>
      <c r="D43" s="69" t="s">
        <v>248</v>
      </c>
      <c r="E43" s="69">
        <v>1</v>
      </c>
      <c r="F43" s="74">
        <f>'Composição UNIT.'!H679</f>
        <v>0</v>
      </c>
      <c r="G43" s="74">
        <f>'Composição UNIT.'!H669</f>
        <v>0</v>
      </c>
      <c r="H43" s="74">
        <f>F43+G43</f>
        <v>0</v>
      </c>
    </row>
    <row r="44" spans="1:8" x14ac:dyDescent="0.25">
      <c r="A44" s="76" t="s">
        <v>206</v>
      </c>
      <c r="B44" s="66"/>
      <c r="C44" s="78" t="s">
        <v>293</v>
      </c>
      <c r="D44" s="67"/>
      <c r="E44" s="67"/>
      <c r="F44" s="68"/>
      <c r="G44" s="68"/>
      <c r="H44" s="68">
        <f>H45</f>
        <v>0</v>
      </c>
    </row>
    <row r="45" spans="1:8" x14ac:dyDescent="0.25">
      <c r="A45" s="77" t="s">
        <v>294</v>
      </c>
      <c r="B45" s="69" t="s">
        <v>12</v>
      </c>
      <c r="C45" s="73" t="s">
        <v>295</v>
      </c>
      <c r="D45" s="69" t="s">
        <v>248</v>
      </c>
      <c r="E45" s="69">
        <v>1</v>
      </c>
      <c r="F45" s="71">
        <f>'Composição UNIT.'!H758</f>
        <v>0</v>
      </c>
      <c r="G45" s="71">
        <f>'Composição UNIT.'!H748</f>
        <v>0</v>
      </c>
      <c r="H45" s="71">
        <f>F45+G45</f>
        <v>0</v>
      </c>
    </row>
    <row r="46" spans="1:8" x14ac:dyDescent="0.25">
      <c r="A46" s="76" t="s">
        <v>213</v>
      </c>
      <c r="B46" s="66"/>
      <c r="C46" s="67" t="s">
        <v>214</v>
      </c>
      <c r="D46" s="67"/>
      <c r="E46" s="67"/>
      <c r="F46" s="68"/>
      <c r="G46" s="68"/>
      <c r="H46" s="68">
        <f>H47+H48</f>
        <v>0</v>
      </c>
    </row>
    <row r="47" spans="1:8" x14ac:dyDescent="0.25">
      <c r="A47" s="77" t="s">
        <v>215</v>
      </c>
      <c r="B47" s="69" t="s">
        <v>12</v>
      </c>
      <c r="C47" s="73" t="s">
        <v>296</v>
      </c>
      <c r="D47" s="69" t="s">
        <v>248</v>
      </c>
      <c r="E47" s="69">
        <v>1</v>
      </c>
      <c r="F47" s="74">
        <f>'Composição UNIT.'!H785</f>
        <v>0</v>
      </c>
      <c r="G47" s="74">
        <f>'Composição UNIT.'!H775</f>
        <v>0</v>
      </c>
      <c r="H47" s="71">
        <f>G47+F47</f>
        <v>0</v>
      </c>
    </row>
    <row r="48" spans="1:8" x14ac:dyDescent="0.25">
      <c r="A48" s="77" t="s">
        <v>222</v>
      </c>
      <c r="B48" s="69" t="s">
        <v>12</v>
      </c>
      <c r="C48" s="73" t="s">
        <v>297</v>
      </c>
      <c r="D48" s="69" t="s">
        <v>248</v>
      </c>
      <c r="E48" s="69">
        <v>1</v>
      </c>
      <c r="F48" s="74">
        <f>'Composição UNIT.'!H811</f>
        <v>0</v>
      </c>
      <c r="G48" s="71">
        <f>'Composição UNIT.'!H801</f>
        <v>0</v>
      </c>
      <c r="H48" s="71">
        <f>F48+G48</f>
        <v>0</v>
      </c>
    </row>
    <row r="49" spans="1:9" x14ac:dyDescent="0.25">
      <c r="A49" s="76" t="s">
        <v>223</v>
      </c>
      <c r="B49" s="66"/>
      <c r="C49" s="67" t="s">
        <v>224</v>
      </c>
      <c r="D49" s="67"/>
      <c r="E49" s="67"/>
      <c r="F49" s="68"/>
      <c r="G49" s="68"/>
      <c r="H49" s="68" t="e">
        <f>H50+H51</f>
        <v>#REF!</v>
      </c>
    </row>
    <row r="50" spans="1:9" x14ac:dyDescent="0.25">
      <c r="A50" s="77" t="s">
        <v>225</v>
      </c>
      <c r="B50" s="69" t="s">
        <v>12</v>
      </c>
      <c r="C50" s="73" t="s">
        <v>298</v>
      </c>
      <c r="D50" s="69" t="s">
        <v>248</v>
      </c>
      <c r="E50" s="69">
        <v>1</v>
      </c>
      <c r="F50" s="74">
        <f>'Composição UNIT.'!H838</f>
        <v>0</v>
      </c>
      <c r="G50" s="74">
        <f>'Composição UNIT.'!H828</f>
        <v>0</v>
      </c>
      <c r="H50" s="74">
        <f>F50+G50</f>
        <v>0</v>
      </c>
    </row>
    <row r="51" spans="1:9" x14ac:dyDescent="0.25">
      <c r="A51" s="77" t="s">
        <v>233</v>
      </c>
      <c r="B51" s="69" t="s">
        <v>12</v>
      </c>
      <c r="C51" s="73" t="s">
        <v>299</v>
      </c>
      <c r="D51" s="69" t="s">
        <v>248</v>
      </c>
      <c r="E51" s="69">
        <v>1</v>
      </c>
      <c r="F51" s="74" t="e">
        <f>'Composição UNIT.'!#REF!</f>
        <v>#REF!</v>
      </c>
      <c r="G51" s="74" t="e">
        <f>'Composição UNIT.'!#REF!</f>
        <v>#REF!</v>
      </c>
      <c r="H51" s="74" t="e">
        <f>G51+F51</f>
        <v>#REF!</v>
      </c>
    </row>
    <row r="52" spans="1:9" x14ac:dyDescent="0.25">
      <c r="A52" s="76" t="s">
        <v>300</v>
      </c>
      <c r="B52" s="66"/>
      <c r="C52" s="67" t="s">
        <v>301</v>
      </c>
      <c r="D52" s="67"/>
      <c r="E52" s="67"/>
      <c r="F52" s="68"/>
      <c r="G52" s="68"/>
      <c r="H52" s="68">
        <f>SUM(H53:H57)</f>
        <v>501137.45999999996</v>
      </c>
    </row>
    <row r="53" spans="1:9" x14ac:dyDescent="0.25">
      <c r="A53" s="77" t="s">
        <v>302</v>
      </c>
      <c r="B53" s="69" t="s">
        <v>303</v>
      </c>
      <c r="C53" s="73" t="s">
        <v>304</v>
      </c>
      <c r="D53" s="77" t="s">
        <v>305</v>
      </c>
      <c r="E53" s="69">
        <v>31</v>
      </c>
      <c r="F53" s="71">
        <v>1270.05</v>
      </c>
      <c r="G53" s="71">
        <v>635.02499999999998</v>
      </c>
      <c r="H53" s="71">
        <v>59057.32</v>
      </c>
      <c r="I53">
        <f>G53/F53</f>
        <v>0.5</v>
      </c>
    </row>
    <row r="54" spans="1:9" x14ac:dyDescent="0.25">
      <c r="A54" s="77" t="s">
        <v>306</v>
      </c>
      <c r="B54" s="69" t="s">
        <v>303</v>
      </c>
      <c r="C54" s="73" t="s">
        <v>307</v>
      </c>
      <c r="D54" s="77" t="s">
        <v>305</v>
      </c>
      <c r="E54" s="69">
        <v>31</v>
      </c>
      <c r="F54" s="71">
        <v>778.75</v>
      </c>
      <c r="G54" s="71">
        <v>389.375</v>
      </c>
      <c r="H54" s="71">
        <v>36211.870000000003</v>
      </c>
      <c r="I54">
        <f>G54/F54</f>
        <v>0.5</v>
      </c>
    </row>
    <row r="55" spans="1:9" x14ac:dyDescent="0.25">
      <c r="A55" s="77" t="s">
        <v>308</v>
      </c>
      <c r="B55" s="69" t="s">
        <v>303</v>
      </c>
      <c r="C55" s="73" t="s">
        <v>309</v>
      </c>
      <c r="D55" s="79" t="s">
        <v>305</v>
      </c>
      <c r="E55" s="69">
        <v>31</v>
      </c>
      <c r="F55" s="71">
        <v>3364.88</v>
      </c>
      <c r="G55" s="71">
        <v>1682.44</v>
      </c>
      <c r="H55" s="71">
        <v>156466.92000000001</v>
      </c>
      <c r="I55">
        <f>G55/F55</f>
        <v>0.5</v>
      </c>
    </row>
    <row r="56" spans="1:9" x14ac:dyDescent="0.25">
      <c r="A56" s="77" t="s">
        <v>310</v>
      </c>
      <c r="B56" s="69" t="s">
        <v>303</v>
      </c>
      <c r="C56" s="73" t="s">
        <v>311</v>
      </c>
      <c r="D56" s="79" t="s">
        <v>305</v>
      </c>
      <c r="E56" s="69">
        <v>31</v>
      </c>
      <c r="F56" s="71">
        <v>3205.5</v>
      </c>
      <c r="G56" s="71">
        <v>1602.75</v>
      </c>
      <c r="H56" s="71">
        <v>149055.75</v>
      </c>
      <c r="I56">
        <f>G56/F56</f>
        <v>0.5</v>
      </c>
    </row>
    <row r="57" spans="1:9" x14ac:dyDescent="0.25">
      <c r="A57" s="77" t="s">
        <v>312</v>
      </c>
      <c r="B57" s="69" t="s">
        <v>303</v>
      </c>
      <c r="C57" s="73" t="s">
        <v>313</v>
      </c>
      <c r="D57" s="79" t="s">
        <v>305</v>
      </c>
      <c r="E57" s="69">
        <v>31</v>
      </c>
      <c r="F57" s="71">
        <v>2157.9699999999998</v>
      </c>
      <c r="G57" s="71">
        <v>1078.9849999999999</v>
      </c>
      <c r="H57" s="71">
        <v>100345.60000000001</v>
      </c>
      <c r="I57">
        <f>G57/F57</f>
        <v>0.5</v>
      </c>
    </row>
    <row r="58" spans="1:9" x14ac:dyDescent="0.25">
      <c r="A58" s="76" t="s">
        <v>314</v>
      </c>
      <c r="B58" s="66"/>
      <c r="C58" s="67" t="s">
        <v>315</v>
      </c>
      <c r="D58" s="67"/>
      <c r="E58" s="67"/>
      <c r="F58" s="68"/>
      <c r="G58" s="68"/>
      <c r="H58" s="68">
        <f>H59+H60</f>
        <v>1260115.21</v>
      </c>
    </row>
    <row r="59" spans="1:9" x14ac:dyDescent="0.25">
      <c r="A59" s="77" t="s">
        <v>316</v>
      </c>
      <c r="B59" s="69" t="s">
        <v>303</v>
      </c>
      <c r="C59" s="73" t="s">
        <v>317</v>
      </c>
      <c r="D59" s="69" t="s">
        <v>305</v>
      </c>
      <c r="E59" s="69">
        <v>31</v>
      </c>
      <c r="F59" s="74">
        <v>27841.7</v>
      </c>
      <c r="G59" s="74">
        <v>9744.5949999999993</v>
      </c>
      <c r="H59" s="71">
        <v>1165175.1399999999</v>
      </c>
      <c r="I59">
        <f>G59/F59</f>
        <v>0.35</v>
      </c>
    </row>
    <row r="60" spans="1:9" x14ac:dyDescent="0.25">
      <c r="A60" s="77" t="s">
        <v>318</v>
      </c>
      <c r="B60" s="69" t="s">
        <v>303</v>
      </c>
      <c r="C60" s="73" t="s">
        <v>319</v>
      </c>
      <c r="D60" s="69" t="s">
        <v>305</v>
      </c>
      <c r="E60" s="69">
        <v>31</v>
      </c>
      <c r="F60" s="74">
        <v>2268.58</v>
      </c>
      <c r="G60" s="74">
        <v>794.00299999999993</v>
      </c>
      <c r="H60" s="71">
        <v>94940.07</v>
      </c>
      <c r="I60">
        <f>G60/F60</f>
        <v>0.35</v>
      </c>
    </row>
    <row r="61" spans="1:9" x14ac:dyDescent="0.25">
      <c r="A61" s="66" t="s">
        <v>320</v>
      </c>
      <c r="B61" s="66"/>
      <c r="C61" s="67" t="s">
        <v>321</v>
      </c>
      <c r="D61" s="67"/>
      <c r="E61" s="67"/>
      <c r="F61" s="68"/>
      <c r="G61" s="68"/>
      <c r="H61" s="68">
        <f>SUM(H62:H66)</f>
        <v>372780.02</v>
      </c>
    </row>
    <row r="62" spans="1:9" x14ac:dyDescent="0.25">
      <c r="A62" s="69" t="s">
        <v>322</v>
      </c>
      <c r="B62" s="69" t="s">
        <v>303</v>
      </c>
      <c r="C62" s="70" t="s">
        <v>323</v>
      </c>
      <c r="D62" s="69" t="s">
        <v>305</v>
      </c>
      <c r="E62" s="69">
        <v>31</v>
      </c>
      <c r="F62" s="74">
        <v>740.01</v>
      </c>
      <c r="G62" s="74">
        <v>185.0025</v>
      </c>
      <c r="H62" s="74">
        <v>57350.77</v>
      </c>
      <c r="I62">
        <f>G62/F62</f>
        <v>0.25</v>
      </c>
    </row>
    <row r="63" spans="1:9" x14ac:dyDescent="0.25">
      <c r="A63" s="69" t="s">
        <v>324</v>
      </c>
      <c r="B63" s="69" t="s">
        <v>303</v>
      </c>
      <c r="C63" s="70" t="s">
        <v>325</v>
      </c>
      <c r="D63" s="69" t="s">
        <v>305</v>
      </c>
      <c r="E63" s="69">
        <v>31</v>
      </c>
      <c r="F63" s="74">
        <v>740.01</v>
      </c>
      <c r="G63" s="74">
        <v>185.0025</v>
      </c>
      <c r="H63" s="74">
        <v>86026.16</v>
      </c>
      <c r="I63">
        <f>G63/F63</f>
        <v>0.25</v>
      </c>
    </row>
    <row r="64" spans="1:9" x14ac:dyDescent="0.25">
      <c r="A64" s="69" t="s">
        <v>326</v>
      </c>
      <c r="B64" s="69" t="s">
        <v>303</v>
      </c>
      <c r="C64" s="70" t="s">
        <v>327</v>
      </c>
      <c r="D64" s="69" t="s">
        <v>305</v>
      </c>
      <c r="E64" s="69">
        <v>31</v>
      </c>
      <c r="F64" s="74">
        <v>740.01</v>
      </c>
      <c r="G64" s="74">
        <v>185.0025</v>
      </c>
      <c r="H64" s="74">
        <v>86026.16</v>
      </c>
      <c r="I64">
        <f>G64/F64</f>
        <v>0.25</v>
      </c>
    </row>
    <row r="65" spans="1:11" x14ac:dyDescent="0.25">
      <c r="A65" s="69" t="s">
        <v>328</v>
      </c>
      <c r="B65" s="69" t="s">
        <v>303</v>
      </c>
      <c r="C65" s="70" t="s">
        <v>329</v>
      </c>
      <c r="D65" s="69" t="s">
        <v>305</v>
      </c>
      <c r="E65" s="69">
        <v>31</v>
      </c>
      <c r="F65" s="74">
        <v>740.01</v>
      </c>
      <c r="G65" s="74">
        <v>185.0025</v>
      </c>
      <c r="H65" s="74">
        <v>86026.16</v>
      </c>
      <c r="I65">
        <f>G65/F65</f>
        <v>0.25</v>
      </c>
    </row>
    <row r="66" spans="1:11" x14ac:dyDescent="0.25">
      <c r="A66" s="69" t="s">
        <v>330</v>
      </c>
      <c r="B66" s="69" t="s">
        <v>303</v>
      </c>
      <c r="C66" s="73" t="s">
        <v>331</v>
      </c>
      <c r="D66" s="69" t="s">
        <v>305</v>
      </c>
      <c r="E66" s="69">
        <v>31</v>
      </c>
      <c r="F66" s="74">
        <v>740.01</v>
      </c>
      <c r="G66" s="74">
        <v>185.0025</v>
      </c>
      <c r="H66" s="74">
        <v>57350.77</v>
      </c>
      <c r="I66">
        <f>G66/F66</f>
        <v>0.25</v>
      </c>
    </row>
    <row r="67" spans="1:11" x14ac:dyDescent="0.25">
      <c r="A67" s="69"/>
      <c r="B67" s="69"/>
      <c r="C67" s="73"/>
      <c r="D67" s="69"/>
      <c r="E67" s="69"/>
      <c r="F67" s="74"/>
      <c r="G67" s="74"/>
      <c r="H67" s="74"/>
    </row>
    <row r="68" spans="1:11" x14ac:dyDescent="0.25">
      <c r="A68" s="69"/>
      <c r="B68" s="69"/>
      <c r="C68" s="73"/>
      <c r="D68" s="69"/>
      <c r="E68" s="69"/>
      <c r="F68" s="74"/>
      <c r="G68" s="74"/>
      <c r="H68" s="74"/>
    </row>
    <row r="69" spans="1:11" x14ac:dyDescent="0.25">
      <c r="A69" s="69"/>
      <c r="B69" s="69"/>
      <c r="C69" s="73"/>
      <c r="D69" s="69"/>
      <c r="E69" s="69"/>
      <c r="F69" s="74"/>
      <c r="G69" s="74"/>
      <c r="H69" s="74"/>
    </row>
    <row r="70" spans="1:11" x14ac:dyDescent="0.25">
      <c r="A70" s="69"/>
      <c r="B70" s="69"/>
      <c r="C70" s="73"/>
      <c r="D70" s="69"/>
      <c r="E70" s="69"/>
      <c r="F70" s="74"/>
      <c r="G70" s="74"/>
      <c r="H70" s="74"/>
    </row>
    <row r="71" spans="1:11" x14ac:dyDescent="0.25">
      <c r="A71" s="69"/>
      <c r="B71" s="69"/>
      <c r="C71" s="73"/>
      <c r="D71" s="69"/>
      <c r="E71" s="69"/>
      <c r="F71" s="74"/>
      <c r="G71" s="74"/>
      <c r="H71" s="74"/>
    </row>
    <row r="72" spans="1:11" x14ac:dyDescent="0.25">
      <c r="A72" s="69"/>
      <c r="B72" s="69"/>
      <c r="C72" s="73"/>
      <c r="D72" s="69"/>
      <c r="E72" s="69"/>
      <c r="F72" s="74"/>
      <c r="G72" s="74"/>
      <c r="H72" s="74"/>
    </row>
    <row r="73" spans="1:11" x14ac:dyDescent="0.25">
      <c r="A73" s="63" t="s">
        <v>249</v>
      </c>
      <c r="B73" s="63"/>
      <c r="C73" s="64" t="s">
        <v>1288</v>
      </c>
      <c r="D73" s="64"/>
      <c r="E73" s="64"/>
      <c r="F73" s="65"/>
      <c r="G73" s="65"/>
      <c r="H73" s="65" t="e">
        <f>SUM(H74,H75,H85,H86,H92,,H87,H94,H99,H103,H106,H108,H111,H114,H120,H123)</f>
        <v>#REF!</v>
      </c>
      <c r="K73" s="232"/>
    </row>
    <row r="74" spans="1:11" x14ac:dyDescent="0.25">
      <c r="A74" s="66" t="s">
        <v>249</v>
      </c>
      <c r="B74" s="66" t="s">
        <v>12</v>
      </c>
      <c r="C74" s="67" t="s">
        <v>1290</v>
      </c>
      <c r="D74" s="66" t="s">
        <v>248</v>
      </c>
      <c r="E74" s="66">
        <v>1</v>
      </c>
      <c r="F74" s="68">
        <f>'Composição UNIT.'!H25</f>
        <v>0</v>
      </c>
      <c r="G74" s="68">
        <f>'Composição UNIT.'!H15</f>
        <v>0</v>
      </c>
      <c r="H74" s="68">
        <f>G74+F74</f>
        <v>0</v>
      </c>
      <c r="K74" s="232"/>
    </row>
    <row r="75" spans="1:11" x14ac:dyDescent="0.25">
      <c r="A75" s="66" t="s">
        <v>258</v>
      </c>
      <c r="B75" s="66"/>
      <c r="C75" s="67" t="s">
        <v>259</v>
      </c>
      <c r="D75" s="67"/>
      <c r="E75" s="67"/>
      <c r="F75" s="68"/>
      <c r="G75" s="68"/>
      <c r="H75" s="68" t="e">
        <f>SUM(H76:H84)</f>
        <v>#REF!</v>
      </c>
      <c r="K75" s="232"/>
    </row>
    <row r="76" spans="1:11" x14ac:dyDescent="0.25">
      <c r="A76" s="69" t="s">
        <v>260</v>
      </c>
      <c r="B76" s="69" t="s">
        <v>12</v>
      </c>
      <c r="C76" s="70" t="s">
        <v>261</v>
      </c>
      <c r="D76" s="69" t="s">
        <v>248</v>
      </c>
      <c r="E76" s="69">
        <v>1</v>
      </c>
      <c r="F76" s="71">
        <f>'Composição UNIT.'!H207</f>
        <v>0</v>
      </c>
      <c r="G76" s="71">
        <f>'Composição UNIT.'!H197</f>
        <v>0</v>
      </c>
      <c r="H76" s="71">
        <f>F76+G76</f>
        <v>0</v>
      </c>
      <c r="K76" s="232"/>
    </row>
    <row r="77" spans="1:11" x14ac:dyDescent="0.25">
      <c r="A77" s="69" t="s">
        <v>145</v>
      </c>
      <c r="B77" s="69" t="s">
        <v>12</v>
      </c>
      <c r="C77" s="70" t="s">
        <v>262</v>
      </c>
      <c r="D77" s="69" t="s">
        <v>248</v>
      </c>
      <c r="E77" s="69">
        <v>1</v>
      </c>
      <c r="F77" s="71">
        <f>'Composição UNIT.'!H233</f>
        <v>0</v>
      </c>
      <c r="G77" s="71">
        <f>'Composição UNIT.'!H223</f>
        <v>0</v>
      </c>
      <c r="H77" s="71">
        <f t="shared" ref="H77:H84" si="2">F77+G77</f>
        <v>0</v>
      </c>
      <c r="K77" s="232"/>
    </row>
    <row r="78" spans="1:11" x14ac:dyDescent="0.25">
      <c r="A78" s="69" t="s">
        <v>153</v>
      </c>
      <c r="B78" s="69" t="s">
        <v>12</v>
      </c>
      <c r="C78" s="70" t="s">
        <v>77</v>
      </c>
      <c r="D78" s="69" t="s">
        <v>248</v>
      </c>
      <c r="E78" s="69">
        <v>1</v>
      </c>
      <c r="F78" s="71" t="e">
        <f>'Composição UNIT.'!#REF!</f>
        <v>#REF!</v>
      </c>
      <c r="G78" s="71" t="e">
        <f>'Composição UNIT.'!#REF!</f>
        <v>#REF!</v>
      </c>
      <c r="H78" s="71" t="e">
        <f t="shared" si="2"/>
        <v>#REF!</v>
      </c>
      <c r="K78" s="232"/>
    </row>
    <row r="79" spans="1:11" x14ac:dyDescent="0.25">
      <c r="A79" s="69" t="s">
        <v>160</v>
      </c>
      <c r="B79" s="69" t="s">
        <v>12</v>
      </c>
      <c r="C79" s="70" t="s">
        <v>263</v>
      </c>
      <c r="D79" s="69" t="s">
        <v>248</v>
      </c>
      <c r="E79" s="69">
        <v>1</v>
      </c>
      <c r="F79" s="71">
        <f>'Composição UNIT.'!H155</f>
        <v>0</v>
      </c>
      <c r="G79" s="71">
        <f>'Composição UNIT.'!H145</f>
        <v>0</v>
      </c>
      <c r="H79" s="71">
        <f t="shared" si="2"/>
        <v>0</v>
      </c>
      <c r="K79" s="232"/>
    </row>
    <row r="80" spans="1:11" x14ac:dyDescent="0.25">
      <c r="A80" s="69" t="s">
        <v>264</v>
      </c>
      <c r="B80" s="69" t="s">
        <v>12</v>
      </c>
      <c r="C80" s="70" t="s">
        <v>265</v>
      </c>
      <c r="D80" s="69" t="s">
        <v>248</v>
      </c>
      <c r="E80" s="69">
        <v>1</v>
      </c>
      <c r="F80" s="71">
        <f>'Composição UNIT.'!H259</f>
        <v>0</v>
      </c>
      <c r="G80" s="71">
        <f>'Composição UNIT.'!H249</f>
        <v>0</v>
      </c>
      <c r="H80" s="71">
        <f t="shared" si="2"/>
        <v>0</v>
      </c>
      <c r="K80" s="232"/>
    </row>
    <row r="81" spans="1:11" x14ac:dyDescent="0.25">
      <c r="A81" s="69" t="s">
        <v>266</v>
      </c>
      <c r="B81" s="69" t="s">
        <v>12</v>
      </c>
      <c r="C81" s="70" t="s">
        <v>267</v>
      </c>
      <c r="D81" s="69" t="s">
        <v>248</v>
      </c>
      <c r="E81" s="69">
        <v>1</v>
      </c>
      <c r="F81" s="71">
        <f>'Composição UNIT.'!H285</f>
        <v>0</v>
      </c>
      <c r="G81" s="71">
        <f>'Composição UNIT.'!H275</f>
        <v>0</v>
      </c>
      <c r="H81" s="71">
        <f t="shared" si="2"/>
        <v>0</v>
      </c>
      <c r="K81" s="232"/>
    </row>
    <row r="82" spans="1:11" x14ac:dyDescent="0.25">
      <c r="A82" s="69" t="s">
        <v>268</v>
      </c>
      <c r="B82" s="69" t="s">
        <v>12</v>
      </c>
      <c r="C82" s="70" t="s">
        <v>269</v>
      </c>
      <c r="D82" s="69" t="s">
        <v>248</v>
      </c>
      <c r="E82" s="69">
        <v>1</v>
      </c>
      <c r="F82" s="71">
        <f>'Composição UNIT.'!H311</f>
        <v>0</v>
      </c>
      <c r="G82" s="71">
        <f>'Composição UNIT.'!H301</f>
        <v>0</v>
      </c>
      <c r="H82" s="71">
        <f t="shared" si="2"/>
        <v>0</v>
      </c>
      <c r="K82" s="232"/>
    </row>
    <row r="83" spans="1:11" x14ac:dyDescent="0.25">
      <c r="A83" s="69" t="s">
        <v>270</v>
      </c>
      <c r="B83" s="69" t="s">
        <v>12</v>
      </c>
      <c r="C83" s="70" t="s">
        <v>271</v>
      </c>
      <c r="D83" s="69" t="s">
        <v>248</v>
      </c>
      <c r="E83" s="69">
        <v>1</v>
      </c>
      <c r="F83" s="71">
        <f>'Composição UNIT.'!H337</f>
        <v>0</v>
      </c>
      <c r="G83" s="71">
        <f>'Composição UNIT.'!H327</f>
        <v>0</v>
      </c>
      <c r="H83" s="71">
        <f t="shared" si="2"/>
        <v>0</v>
      </c>
      <c r="K83" s="232"/>
    </row>
    <row r="84" spans="1:11" x14ac:dyDescent="0.25">
      <c r="A84" s="69" t="s">
        <v>92</v>
      </c>
      <c r="B84" s="69" t="s">
        <v>12</v>
      </c>
      <c r="C84" s="70" t="s">
        <v>93</v>
      </c>
      <c r="D84" s="69" t="s">
        <v>248</v>
      </c>
      <c r="E84" s="69">
        <v>1</v>
      </c>
      <c r="F84" s="71">
        <f>'Composição UNIT.'!H520</f>
        <v>0</v>
      </c>
      <c r="G84" s="71">
        <f>'Composição UNIT.'!H510</f>
        <v>0</v>
      </c>
      <c r="H84" s="71">
        <f t="shared" si="2"/>
        <v>0</v>
      </c>
      <c r="K84" s="232"/>
    </row>
    <row r="85" spans="1:11" x14ac:dyDescent="0.25">
      <c r="A85" s="66" t="s">
        <v>94</v>
      </c>
      <c r="B85" s="66" t="s">
        <v>12</v>
      </c>
      <c r="C85" s="67" t="s">
        <v>272</v>
      </c>
      <c r="D85" s="66" t="s">
        <v>248</v>
      </c>
      <c r="E85" s="66">
        <v>1</v>
      </c>
      <c r="F85" s="68">
        <f>'Composição UNIT.'!H129</f>
        <v>0</v>
      </c>
      <c r="G85" s="68">
        <f>'Composição UNIT.'!H119</f>
        <v>0</v>
      </c>
      <c r="H85" s="68">
        <f>G85+F85</f>
        <v>0</v>
      </c>
      <c r="K85" s="232"/>
    </row>
    <row r="86" spans="1:11" x14ac:dyDescent="0.25">
      <c r="A86" s="66" t="s">
        <v>101</v>
      </c>
      <c r="B86" s="66" t="s">
        <v>12</v>
      </c>
      <c r="C86" s="72" t="s">
        <v>102</v>
      </c>
      <c r="D86" s="66" t="s">
        <v>248</v>
      </c>
      <c r="E86" s="66">
        <v>1</v>
      </c>
      <c r="F86" s="68" t="e">
        <f>'Composição UNIT.'!#REF!</f>
        <v>#REF!</v>
      </c>
      <c r="G86" s="68" t="e">
        <f>'Composição UNIT.'!#REF!</f>
        <v>#REF!</v>
      </c>
      <c r="H86" s="68" t="e">
        <f>G86+F86</f>
        <v>#REF!</v>
      </c>
      <c r="K86" s="232"/>
    </row>
    <row r="87" spans="1:11" x14ac:dyDescent="0.25">
      <c r="A87" s="66" t="s">
        <v>103</v>
      </c>
      <c r="B87" s="66"/>
      <c r="C87" s="67" t="s">
        <v>273</v>
      </c>
      <c r="D87" s="67"/>
      <c r="E87" s="67"/>
      <c r="F87" s="68"/>
      <c r="G87" s="68"/>
      <c r="H87" s="68" t="e">
        <f>SUM(H88:H91)</f>
        <v>#REF!</v>
      </c>
      <c r="K87" s="232"/>
    </row>
    <row r="88" spans="1:11" x14ac:dyDescent="0.25">
      <c r="A88" s="69" t="s">
        <v>105</v>
      </c>
      <c r="B88" s="69" t="s">
        <v>12</v>
      </c>
      <c r="C88" s="73" t="s">
        <v>274</v>
      </c>
      <c r="D88" s="69" t="s">
        <v>248</v>
      </c>
      <c r="E88" s="69">
        <v>1</v>
      </c>
      <c r="F88" s="74">
        <f>'Composição UNIT.'!H442</f>
        <v>0</v>
      </c>
      <c r="G88" s="74">
        <f>'Composição UNIT.'!H432</f>
        <v>0</v>
      </c>
      <c r="H88" s="71">
        <f>F88+G88</f>
        <v>0</v>
      </c>
      <c r="K88" s="232"/>
    </row>
    <row r="89" spans="1:11" x14ac:dyDescent="0.25">
      <c r="A89" s="69" t="s">
        <v>112</v>
      </c>
      <c r="B89" s="69" t="s">
        <v>12</v>
      </c>
      <c r="C89" s="73" t="s">
        <v>275</v>
      </c>
      <c r="D89" s="69" t="s">
        <v>248</v>
      </c>
      <c r="E89" s="69">
        <v>1</v>
      </c>
      <c r="F89" s="74">
        <f>'Composição UNIT.'!H468</f>
        <v>0</v>
      </c>
      <c r="G89" s="74">
        <f>'Composição UNIT.'!H458</f>
        <v>0</v>
      </c>
      <c r="H89" s="71">
        <f>F89+G89</f>
        <v>0</v>
      </c>
      <c r="K89" s="232"/>
    </row>
    <row r="90" spans="1:11" x14ac:dyDescent="0.25">
      <c r="A90" s="69" t="s">
        <v>119</v>
      </c>
      <c r="B90" s="69" t="s">
        <v>12</v>
      </c>
      <c r="C90" s="73" t="s">
        <v>276</v>
      </c>
      <c r="D90" s="69" t="s">
        <v>248</v>
      </c>
      <c r="E90" s="69">
        <v>1</v>
      </c>
      <c r="F90" s="74" t="e">
        <f>'Composição UNIT.'!#REF!</f>
        <v>#REF!</v>
      </c>
      <c r="G90" s="74" t="e">
        <f>'Composição UNIT.'!#REF!</f>
        <v>#REF!</v>
      </c>
      <c r="H90" s="71" t="e">
        <f>F90+G90</f>
        <v>#REF!</v>
      </c>
      <c r="K90" s="232"/>
    </row>
    <row r="91" spans="1:11" x14ac:dyDescent="0.25">
      <c r="A91" s="69" t="s">
        <v>126</v>
      </c>
      <c r="B91" s="69" t="s">
        <v>12</v>
      </c>
      <c r="C91" s="73" t="s">
        <v>277</v>
      </c>
      <c r="D91" s="69" t="s">
        <v>248</v>
      </c>
      <c r="E91" s="69">
        <v>1</v>
      </c>
      <c r="F91" s="74" t="e">
        <f>'Composição UNIT.'!#REF!</f>
        <v>#REF!</v>
      </c>
      <c r="G91" s="74" t="e">
        <f>'Composição UNIT.'!#REF!</f>
        <v>#REF!</v>
      </c>
      <c r="H91" s="71" t="e">
        <f>F91+G91</f>
        <v>#REF!</v>
      </c>
      <c r="K91" s="232"/>
    </row>
    <row r="92" spans="1:11" x14ac:dyDescent="0.25">
      <c r="A92" s="66" t="s">
        <v>133</v>
      </c>
      <c r="B92" s="66"/>
      <c r="C92" s="75" t="s">
        <v>278</v>
      </c>
      <c r="D92" s="67"/>
      <c r="E92" s="67"/>
      <c r="F92" s="68"/>
      <c r="G92" s="68"/>
      <c r="H92" s="68" t="e">
        <f>H93</f>
        <v>#REF!</v>
      </c>
      <c r="K92" s="232"/>
    </row>
    <row r="93" spans="1:11" x14ac:dyDescent="0.25">
      <c r="A93" s="69" t="s">
        <v>279</v>
      </c>
      <c r="B93" s="69" t="s">
        <v>12</v>
      </c>
      <c r="C93" s="70" t="s">
        <v>134</v>
      </c>
      <c r="D93" s="69" t="s">
        <v>248</v>
      </c>
      <c r="E93" s="69">
        <v>1</v>
      </c>
      <c r="F93" s="74" t="e">
        <f>'Composição UNIT.'!#REF!</f>
        <v>#REF!</v>
      </c>
      <c r="G93" s="74" t="e">
        <f>'Composição UNIT.'!#REF!</f>
        <v>#REF!</v>
      </c>
      <c r="H93" s="74" t="e">
        <f>G93+F93</f>
        <v>#REF!</v>
      </c>
    </row>
    <row r="94" spans="1:11" x14ac:dyDescent="0.25">
      <c r="A94" s="66" t="s">
        <v>135</v>
      </c>
      <c r="B94" s="66"/>
      <c r="C94" s="67" t="s">
        <v>136</v>
      </c>
      <c r="D94" s="67"/>
      <c r="E94" s="67"/>
      <c r="F94" s="68"/>
      <c r="G94" s="68"/>
      <c r="H94" s="68" t="e">
        <f>SUM(H95:H98)</f>
        <v>#REF!</v>
      </c>
    </row>
    <row r="95" spans="1:11" x14ac:dyDescent="0.25">
      <c r="A95" s="69" t="s">
        <v>137</v>
      </c>
      <c r="B95" s="69" t="s">
        <v>12</v>
      </c>
      <c r="C95" s="70" t="s">
        <v>280</v>
      </c>
      <c r="D95" s="69" t="s">
        <v>248</v>
      </c>
      <c r="E95" s="69">
        <v>1</v>
      </c>
      <c r="F95" s="74">
        <f>'Composição UNIT.'!H706</f>
        <v>0</v>
      </c>
      <c r="G95" s="74">
        <f>'Composição UNIT.'!H696</f>
        <v>0</v>
      </c>
      <c r="H95" s="74">
        <f>G95+F95</f>
        <v>0</v>
      </c>
    </row>
    <row r="96" spans="1:11" x14ac:dyDescent="0.25">
      <c r="A96" s="69" t="s">
        <v>281</v>
      </c>
      <c r="B96" s="69" t="s">
        <v>12</v>
      </c>
      <c r="C96" s="70" t="s">
        <v>282</v>
      </c>
      <c r="D96" s="69" t="s">
        <v>248</v>
      </c>
      <c r="E96" s="69">
        <v>1</v>
      </c>
      <c r="F96" s="74">
        <f>'Composição UNIT.'!H732</f>
        <v>0</v>
      </c>
      <c r="G96" s="74">
        <f>'Composição UNIT.'!H722</f>
        <v>0</v>
      </c>
      <c r="H96" s="74">
        <f>G96+F96</f>
        <v>0</v>
      </c>
    </row>
    <row r="97" spans="1:8" x14ac:dyDescent="0.25">
      <c r="A97" s="69" t="s">
        <v>283</v>
      </c>
      <c r="B97" s="69" t="s">
        <v>12</v>
      </c>
      <c r="C97" s="70" t="s">
        <v>284</v>
      </c>
      <c r="D97" s="69" t="s">
        <v>248</v>
      </c>
      <c r="E97" s="69">
        <v>1</v>
      </c>
      <c r="F97" s="74" t="e">
        <f>'Composição UNIT.'!#REF!</f>
        <v>#REF!</v>
      </c>
      <c r="G97" s="74" t="e">
        <f>'Composição UNIT.'!#REF!</f>
        <v>#REF!</v>
      </c>
      <c r="H97" s="74" t="e">
        <f>G97+F97</f>
        <v>#REF!</v>
      </c>
    </row>
    <row r="98" spans="1:8" x14ac:dyDescent="0.25">
      <c r="A98" s="69" t="s">
        <v>285</v>
      </c>
      <c r="B98" s="69" t="s">
        <v>12</v>
      </c>
      <c r="C98" s="70" t="s">
        <v>286</v>
      </c>
      <c r="D98" s="69" t="s">
        <v>248</v>
      </c>
      <c r="E98" s="69">
        <v>1</v>
      </c>
      <c r="F98" s="74" t="e">
        <f>'Composição UNIT.'!#REF!</f>
        <v>#REF!</v>
      </c>
      <c r="G98" s="74" t="e">
        <f>'Composição UNIT.'!#REF!</f>
        <v>#REF!</v>
      </c>
      <c r="H98" s="74" t="e">
        <f>G98+F98</f>
        <v>#REF!</v>
      </c>
    </row>
    <row r="99" spans="1:8" x14ac:dyDescent="0.25">
      <c r="A99" s="76" t="s">
        <v>167</v>
      </c>
      <c r="B99" s="66"/>
      <c r="C99" s="67" t="s">
        <v>168</v>
      </c>
      <c r="D99" s="67"/>
      <c r="E99" s="67"/>
      <c r="F99" s="68"/>
      <c r="G99" s="68"/>
      <c r="H99" s="68">
        <f>SUM(H100:H102)</f>
        <v>0</v>
      </c>
    </row>
    <row r="100" spans="1:8" x14ac:dyDescent="0.25">
      <c r="A100" s="77" t="s">
        <v>169</v>
      </c>
      <c r="B100" s="69" t="s">
        <v>12</v>
      </c>
      <c r="C100" s="73" t="s">
        <v>287</v>
      </c>
      <c r="D100" s="69" t="s">
        <v>248</v>
      </c>
      <c r="E100" s="69">
        <v>1</v>
      </c>
      <c r="F100" s="74">
        <f>'Composição UNIT.'!H573</f>
        <v>0</v>
      </c>
      <c r="G100" s="74">
        <f>'Composição UNIT.'!H563</f>
        <v>0</v>
      </c>
      <c r="H100" s="74">
        <f>G100+F100</f>
        <v>0</v>
      </c>
    </row>
    <row r="101" spans="1:8" x14ac:dyDescent="0.25">
      <c r="A101" s="77" t="s">
        <v>177</v>
      </c>
      <c r="B101" s="69" t="s">
        <v>12</v>
      </c>
      <c r="C101" s="73" t="s">
        <v>288</v>
      </c>
      <c r="D101" s="69" t="s">
        <v>248</v>
      </c>
      <c r="E101" s="69">
        <v>1</v>
      </c>
      <c r="F101" s="74">
        <f>'Composição UNIT.'!H599</f>
        <v>0</v>
      </c>
      <c r="G101" s="74">
        <f>'Composição UNIT.'!H589</f>
        <v>0</v>
      </c>
      <c r="H101" s="74">
        <f>G101+F101</f>
        <v>0</v>
      </c>
    </row>
    <row r="102" spans="1:8" x14ac:dyDescent="0.25">
      <c r="A102" s="77" t="s">
        <v>185</v>
      </c>
      <c r="B102" s="69" t="s">
        <v>12</v>
      </c>
      <c r="C102" s="73" t="s">
        <v>289</v>
      </c>
      <c r="D102" s="69" t="s">
        <v>248</v>
      </c>
      <c r="E102" s="69">
        <v>1</v>
      </c>
      <c r="F102" s="74">
        <f>'Composição UNIT.'!H625</f>
        <v>0</v>
      </c>
      <c r="G102" s="74">
        <f>'Composição UNIT.'!H615</f>
        <v>0</v>
      </c>
      <c r="H102" s="74">
        <f>G102+F102</f>
        <v>0</v>
      </c>
    </row>
    <row r="103" spans="1:8" x14ac:dyDescent="0.25">
      <c r="A103" s="76" t="s">
        <v>193</v>
      </c>
      <c r="B103" s="66"/>
      <c r="C103" s="67" t="s">
        <v>290</v>
      </c>
      <c r="D103" s="67"/>
      <c r="E103" s="67"/>
      <c r="F103" s="68"/>
      <c r="G103" s="68"/>
      <c r="H103" s="68">
        <f>SUM(H104:H105)</f>
        <v>0</v>
      </c>
    </row>
    <row r="104" spans="1:8" x14ac:dyDescent="0.25">
      <c r="A104" s="77" t="s">
        <v>195</v>
      </c>
      <c r="B104" s="69" t="s">
        <v>12</v>
      </c>
      <c r="C104" s="73" t="s">
        <v>291</v>
      </c>
      <c r="D104" s="69" t="s">
        <v>248</v>
      </c>
      <c r="E104" s="69">
        <v>1</v>
      </c>
      <c r="F104" s="74">
        <f>'Composição UNIT.'!H652</f>
        <v>0</v>
      </c>
      <c r="G104" s="74">
        <f>'Composição UNIT.'!H642</f>
        <v>0</v>
      </c>
      <c r="H104" s="74">
        <f>G104+F104</f>
        <v>0</v>
      </c>
    </row>
    <row r="105" spans="1:8" x14ac:dyDescent="0.25">
      <c r="A105" s="77" t="s">
        <v>204</v>
      </c>
      <c r="B105" s="69" t="s">
        <v>12</v>
      </c>
      <c r="C105" s="73" t="s">
        <v>292</v>
      </c>
      <c r="D105" s="69" t="s">
        <v>248</v>
      </c>
      <c r="E105" s="69">
        <v>1</v>
      </c>
      <c r="F105" s="74">
        <f>'Composição UNIT.'!H679</f>
        <v>0</v>
      </c>
      <c r="G105" s="74">
        <f>'Composição UNIT.'!H669</f>
        <v>0</v>
      </c>
      <c r="H105" s="74">
        <f>F105+G105</f>
        <v>0</v>
      </c>
    </row>
    <row r="106" spans="1:8" x14ac:dyDescent="0.25">
      <c r="A106" s="76" t="s">
        <v>206</v>
      </c>
      <c r="B106" s="66"/>
      <c r="C106" s="78" t="s">
        <v>293</v>
      </c>
      <c r="D106" s="67"/>
      <c r="E106" s="67"/>
      <c r="F106" s="68"/>
      <c r="G106" s="68"/>
      <c r="H106" s="68">
        <f>H107</f>
        <v>0</v>
      </c>
    </row>
    <row r="107" spans="1:8" x14ac:dyDescent="0.25">
      <c r="A107" s="77" t="s">
        <v>294</v>
      </c>
      <c r="B107" s="69" t="s">
        <v>12</v>
      </c>
      <c r="C107" s="73" t="s">
        <v>295</v>
      </c>
      <c r="D107" s="69" t="s">
        <v>248</v>
      </c>
      <c r="E107" s="69">
        <v>1</v>
      </c>
      <c r="F107" s="71">
        <f>'Composição UNIT.'!H758</f>
        <v>0</v>
      </c>
      <c r="G107" s="71">
        <f>'Composição UNIT.'!H748</f>
        <v>0</v>
      </c>
      <c r="H107" s="71">
        <f>F107+G107</f>
        <v>0</v>
      </c>
    </row>
    <row r="108" spans="1:8" x14ac:dyDescent="0.25">
      <c r="A108" s="76" t="s">
        <v>213</v>
      </c>
      <c r="B108" s="66"/>
      <c r="C108" s="67" t="s">
        <v>214</v>
      </c>
      <c r="D108" s="67"/>
      <c r="E108" s="67"/>
      <c r="F108" s="68"/>
      <c r="G108" s="68"/>
      <c r="H108" s="68">
        <f>H109+H110</f>
        <v>0</v>
      </c>
    </row>
    <row r="109" spans="1:8" x14ac:dyDescent="0.25">
      <c r="A109" s="77" t="s">
        <v>215</v>
      </c>
      <c r="B109" s="69" t="s">
        <v>12</v>
      </c>
      <c r="C109" s="73" t="s">
        <v>296</v>
      </c>
      <c r="D109" s="69" t="s">
        <v>248</v>
      </c>
      <c r="E109" s="69">
        <v>1</v>
      </c>
      <c r="F109" s="74">
        <f>'Composição UNIT.'!H785</f>
        <v>0</v>
      </c>
      <c r="G109" s="74">
        <f>'Composição UNIT.'!H775</f>
        <v>0</v>
      </c>
      <c r="H109" s="71">
        <f>G109+F109</f>
        <v>0</v>
      </c>
    </row>
    <row r="110" spans="1:8" x14ac:dyDescent="0.25">
      <c r="A110" s="77" t="s">
        <v>222</v>
      </c>
      <c r="B110" s="69" t="s">
        <v>12</v>
      </c>
      <c r="C110" s="73" t="s">
        <v>297</v>
      </c>
      <c r="D110" s="69" t="s">
        <v>248</v>
      </c>
      <c r="E110" s="69">
        <v>1</v>
      </c>
      <c r="F110" s="74">
        <f>'Composição UNIT.'!H811</f>
        <v>0</v>
      </c>
      <c r="G110" s="71">
        <f>'Composição UNIT.'!H801</f>
        <v>0</v>
      </c>
      <c r="H110" s="71">
        <f>F110+G110</f>
        <v>0</v>
      </c>
    </row>
    <row r="111" spans="1:8" x14ac:dyDescent="0.25">
      <c r="A111" s="76" t="s">
        <v>223</v>
      </c>
      <c r="B111" s="66"/>
      <c r="C111" s="67" t="s">
        <v>224</v>
      </c>
      <c r="D111" s="67"/>
      <c r="E111" s="67"/>
      <c r="F111" s="68"/>
      <c r="G111" s="68"/>
      <c r="H111" s="68" t="e">
        <f>H112+H113</f>
        <v>#REF!</v>
      </c>
    </row>
    <row r="112" spans="1:8" x14ac:dyDescent="0.25">
      <c r="A112" s="77" t="s">
        <v>225</v>
      </c>
      <c r="B112" s="69" t="s">
        <v>12</v>
      </c>
      <c r="C112" s="73" t="s">
        <v>298</v>
      </c>
      <c r="D112" s="69" t="s">
        <v>248</v>
      </c>
      <c r="E112" s="69">
        <v>1</v>
      </c>
      <c r="F112" s="74">
        <f>'Composição UNIT.'!H838</f>
        <v>0</v>
      </c>
      <c r="G112" s="74">
        <f>'Composição UNIT.'!H828</f>
        <v>0</v>
      </c>
      <c r="H112" s="74">
        <f>F112+G112</f>
        <v>0</v>
      </c>
    </row>
    <row r="113" spans="1:8" x14ac:dyDescent="0.25">
      <c r="A113" s="77" t="s">
        <v>233</v>
      </c>
      <c r="B113" s="69" t="s">
        <v>12</v>
      </c>
      <c r="C113" s="73" t="s">
        <v>299</v>
      </c>
      <c r="D113" s="69" t="s">
        <v>248</v>
      </c>
      <c r="E113" s="69">
        <v>1</v>
      </c>
      <c r="F113" s="74" t="e">
        <f>'Composição UNIT.'!#REF!</f>
        <v>#REF!</v>
      </c>
      <c r="G113" s="74" t="e">
        <f>'Composição UNIT.'!#REF!</f>
        <v>#REF!</v>
      </c>
      <c r="H113" s="74" t="e">
        <f>G113+F113</f>
        <v>#REF!</v>
      </c>
    </row>
    <row r="114" spans="1:8" x14ac:dyDescent="0.25">
      <c r="A114" s="76" t="s">
        <v>300</v>
      </c>
      <c r="B114" s="66"/>
      <c r="C114" s="67" t="s">
        <v>301</v>
      </c>
      <c r="D114" s="67"/>
      <c r="E114" s="67"/>
      <c r="F114" s="68"/>
      <c r="G114" s="68"/>
      <c r="H114" s="68">
        <f>SUM(H115:H119)</f>
        <v>501137.45999999996</v>
      </c>
    </row>
    <row r="115" spans="1:8" x14ac:dyDescent="0.25">
      <c r="A115" s="77" t="s">
        <v>302</v>
      </c>
      <c r="B115" s="69" t="s">
        <v>303</v>
      </c>
      <c r="C115" s="73" t="s">
        <v>304</v>
      </c>
      <c r="D115" s="77" t="s">
        <v>305</v>
      </c>
      <c r="E115" s="69">
        <v>31</v>
      </c>
      <c r="F115" s="71">
        <v>1270.05</v>
      </c>
      <c r="G115" s="71">
        <v>635.02499999999998</v>
      </c>
      <c r="H115" s="71">
        <v>59057.32</v>
      </c>
    </row>
    <row r="116" spans="1:8" x14ac:dyDescent="0.25">
      <c r="A116" s="77" t="s">
        <v>306</v>
      </c>
      <c r="B116" s="69" t="s">
        <v>303</v>
      </c>
      <c r="C116" s="73" t="s">
        <v>307</v>
      </c>
      <c r="D116" s="77" t="s">
        <v>305</v>
      </c>
      <c r="E116" s="69">
        <v>31</v>
      </c>
      <c r="F116" s="71">
        <v>778.75</v>
      </c>
      <c r="G116" s="71">
        <v>389.375</v>
      </c>
      <c r="H116" s="71">
        <v>36211.870000000003</v>
      </c>
    </row>
    <row r="117" spans="1:8" x14ac:dyDescent="0.25">
      <c r="A117" s="77" t="s">
        <v>308</v>
      </c>
      <c r="B117" s="69" t="s">
        <v>303</v>
      </c>
      <c r="C117" s="73" t="s">
        <v>309</v>
      </c>
      <c r="D117" s="79" t="s">
        <v>305</v>
      </c>
      <c r="E117" s="69">
        <v>31</v>
      </c>
      <c r="F117" s="71">
        <v>3364.88</v>
      </c>
      <c r="G117" s="71">
        <v>1682.44</v>
      </c>
      <c r="H117" s="71">
        <v>156466.92000000001</v>
      </c>
    </row>
    <row r="118" spans="1:8" x14ac:dyDescent="0.25">
      <c r="A118" s="77" t="s">
        <v>310</v>
      </c>
      <c r="B118" s="69" t="s">
        <v>303</v>
      </c>
      <c r="C118" s="73" t="s">
        <v>311</v>
      </c>
      <c r="D118" s="79" t="s">
        <v>305</v>
      </c>
      <c r="E118" s="69">
        <v>31</v>
      </c>
      <c r="F118" s="71">
        <v>3205.5</v>
      </c>
      <c r="G118" s="71">
        <v>1602.75</v>
      </c>
      <c r="H118" s="71">
        <v>149055.75</v>
      </c>
    </row>
    <row r="119" spans="1:8" x14ac:dyDescent="0.25">
      <c r="A119" s="77" t="s">
        <v>312</v>
      </c>
      <c r="B119" s="69" t="s">
        <v>303</v>
      </c>
      <c r="C119" s="73" t="s">
        <v>313</v>
      </c>
      <c r="D119" s="79" t="s">
        <v>305</v>
      </c>
      <c r="E119" s="69">
        <v>31</v>
      </c>
      <c r="F119" s="71">
        <v>2157.9699999999998</v>
      </c>
      <c r="G119" s="71">
        <v>1078.9849999999999</v>
      </c>
      <c r="H119" s="71">
        <v>100345.60000000001</v>
      </c>
    </row>
    <row r="120" spans="1:8" x14ac:dyDescent="0.25">
      <c r="A120" s="76" t="s">
        <v>314</v>
      </c>
      <c r="B120" s="66"/>
      <c r="C120" s="67" t="s">
        <v>315</v>
      </c>
      <c r="D120" s="67"/>
      <c r="E120" s="67"/>
      <c r="F120" s="68"/>
      <c r="G120" s="68"/>
      <c r="H120" s="68">
        <f>H121+H122</f>
        <v>1260115.21</v>
      </c>
    </row>
    <row r="121" spans="1:8" x14ac:dyDescent="0.25">
      <c r="A121" s="77" t="s">
        <v>316</v>
      </c>
      <c r="B121" s="69" t="s">
        <v>303</v>
      </c>
      <c r="C121" s="73" t="s">
        <v>317</v>
      </c>
      <c r="D121" s="69" t="s">
        <v>305</v>
      </c>
      <c r="E121" s="69">
        <v>31</v>
      </c>
      <c r="F121" s="74">
        <v>27841.7</v>
      </c>
      <c r="G121" s="74">
        <v>9744.5949999999993</v>
      </c>
      <c r="H121" s="71">
        <v>1165175.1399999999</v>
      </c>
    </row>
    <row r="122" spans="1:8" x14ac:dyDescent="0.25">
      <c r="A122" s="77" t="s">
        <v>318</v>
      </c>
      <c r="B122" s="69" t="s">
        <v>303</v>
      </c>
      <c r="C122" s="73" t="s">
        <v>319</v>
      </c>
      <c r="D122" s="69" t="s">
        <v>305</v>
      </c>
      <c r="E122" s="69">
        <v>31</v>
      </c>
      <c r="F122" s="74">
        <v>2268.58</v>
      </c>
      <c r="G122" s="74">
        <v>794.00299999999993</v>
      </c>
      <c r="H122" s="71">
        <v>94940.07</v>
      </c>
    </row>
    <row r="123" spans="1:8" x14ac:dyDescent="0.25">
      <c r="A123" s="66" t="s">
        <v>320</v>
      </c>
      <c r="B123" s="66"/>
      <c r="C123" s="67" t="s">
        <v>321</v>
      </c>
      <c r="D123" s="67"/>
      <c r="E123" s="67"/>
      <c r="F123" s="68"/>
      <c r="G123" s="68"/>
      <c r="H123" s="68">
        <f>SUM(H124:H128)</f>
        <v>372780.02</v>
      </c>
    </row>
    <row r="124" spans="1:8" x14ac:dyDescent="0.25">
      <c r="A124" s="69" t="s">
        <v>322</v>
      </c>
      <c r="B124" s="69" t="s">
        <v>303</v>
      </c>
      <c r="C124" s="70" t="s">
        <v>323</v>
      </c>
      <c r="D124" s="69" t="s">
        <v>305</v>
      </c>
      <c r="E124" s="69">
        <v>31</v>
      </c>
      <c r="F124" s="74">
        <v>740.01</v>
      </c>
      <c r="G124" s="74">
        <v>185.0025</v>
      </c>
      <c r="H124" s="74">
        <v>57350.77</v>
      </c>
    </row>
    <row r="125" spans="1:8" x14ac:dyDescent="0.25">
      <c r="A125" s="69" t="s">
        <v>324</v>
      </c>
      <c r="B125" s="69" t="s">
        <v>303</v>
      </c>
      <c r="C125" s="70" t="s">
        <v>325</v>
      </c>
      <c r="D125" s="69" t="s">
        <v>305</v>
      </c>
      <c r="E125" s="69">
        <v>31</v>
      </c>
      <c r="F125" s="74">
        <v>740.01</v>
      </c>
      <c r="G125" s="74">
        <v>185.0025</v>
      </c>
      <c r="H125" s="74">
        <v>86026.16</v>
      </c>
    </row>
    <row r="126" spans="1:8" x14ac:dyDescent="0.25">
      <c r="A126" s="69" t="s">
        <v>326</v>
      </c>
      <c r="B126" s="69" t="s">
        <v>303</v>
      </c>
      <c r="C126" s="70" t="s">
        <v>327</v>
      </c>
      <c r="D126" s="69" t="s">
        <v>305</v>
      </c>
      <c r="E126" s="69">
        <v>31</v>
      </c>
      <c r="F126" s="74">
        <v>740.01</v>
      </c>
      <c r="G126" s="74">
        <v>185.0025</v>
      </c>
      <c r="H126" s="74">
        <v>86026.16</v>
      </c>
    </row>
    <row r="127" spans="1:8" x14ac:dyDescent="0.25">
      <c r="A127" s="69" t="s">
        <v>328</v>
      </c>
      <c r="B127" s="69" t="s">
        <v>303</v>
      </c>
      <c r="C127" s="70" t="s">
        <v>329</v>
      </c>
      <c r="D127" s="69" t="s">
        <v>305</v>
      </c>
      <c r="E127" s="69">
        <v>31</v>
      </c>
      <c r="F127" s="74">
        <v>740.01</v>
      </c>
      <c r="G127" s="74">
        <v>185.0025</v>
      </c>
      <c r="H127" s="74">
        <v>86026.16</v>
      </c>
    </row>
    <row r="128" spans="1:8" x14ac:dyDescent="0.25">
      <c r="A128" s="69" t="s">
        <v>330</v>
      </c>
      <c r="B128" s="69" t="s">
        <v>303</v>
      </c>
      <c r="C128" s="73" t="s">
        <v>331</v>
      </c>
      <c r="D128" s="69" t="s">
        <v>305</v>
      </c>
      <c r="E128" s="69">
        <v>31</v>
      </c>
      <c r="F128" s="74">
        <v>740.01</v>
      </c>
      <c r="G128" s="74">
        <v>185.0025</v>
      </c>
      <c r="H128" s="74">
        <v>57350.77</v>
      </c>
    </row>
    <row r="129" spans="1:11" x14ac:dyDescent="0.25">
      <c r="A129" s="69"/>
      <c r="B129" s="69"/>
      <c r="C129" s="73"/>
      <c r="D129" s="69"/>
      <c r="E129" s="69"/>
      <c r="F129" s="74"/>
      <c r="G129" s="74"/>
      <c r="H129" s="74"/>
    </row>
    <row r="130" spans="1:11" x14ac:dyDescent="0.25">
      <c r="A130" s="69"/>
      <c r="B130" s="69"/>
      <c r="C130" s="73"/>
      <c r="D130" s="69"/>
      <c r="E130" s="69"/>
      <c r="F130" s="74"/>
      <c r="G130" s="74"/>
      <c r="H130" s="74"/>
    </row>
    <row r="131" spans="1:11" x14ac:dyDescent="0.25">
      <c r="A131" s="69"/>
      <c r="B131" s="69"/>
      <c r="C131" s="73"/>
      <c r="D131" s="69"/>
      <c r="E131" s="69"/>
      <c r="F131" s="74"/>
      <c r="G131" s="74"/>
      <c r="H131" s="74"/>
    </row>
    <row r="132" spans="1:11" x14ac:dyDescent="0.25">
      <c r="A132" s="69"/>
      <c r="B132" s="69"/>
      <c r="C132" s="73"/>
      <c r="D132" s="69"/>
      <c r="E132" s="69"/>
      <c r="F132" s="74"/>
      <c r="G132" s="74"/>
      <c r="H132" s="74"/>
    </row>
    <row r="133" spans="1:11" x14ac:dyDescent="0.25">
      <c r="A133" s="69"/>
      <c r="B133" s="69"/>
      <c r="C133" s="73"/>
      <c r="D133" s="69"/>
      <c r="E133" s="69"/>
      <c r="F133" s="74"/>
      <c r="G133" s="74"/>
      <c r="H133" s="74"/>
    </row>
    <row r="134" spans="1:11" x14ac:dyDescent="0.25">
      <c r="A134" s="69"/>
      <c r="B134" s="69"/>
      <c r="C134" s="73"/>
      <c r="D134" s="69"/>
      <c r="E134" s="69"/>
      <c r="F134" s="74"/>
      <c r="G134" s="74"/>
      <c r="H134" s="74"/>
    </row>
    <row r="135" spans="1:11" x14ac:dyDescent="0.25">
      <c r="A135" s="63" t="s">
        <v>62</v>
      </c>
      <c r="B135" s="63"/>
      <c r="C135" s="64" t="s">
        <v>1289</v>
      </c>
      <c r="D135" s="64"/>
      <c r="E135" s="64"/>
      <c r="F135" s="65"/>
      <c r="G135" s="65"/>
      <c r="H135" s="65" t="e">
        <f>SUM(H136,H137,H142,H146,H149,H151,H154,H157,H163,H166)</f>
        <v>#REF!</v>
      </c>
      <c r="K135" s="232"/>
    </row>
    <row r="136" spans="1:11" x14ac:dyDescent="0.25">
      <c r="A136" s="66" t="s">
        <v>62</v>
      </c>
      <c r="B136" s="66" t="s">
        <v>12</v>
      </c>
      <c r="C136" s="67" t="s">
        <v>251</v>
      </c>
      <c r="D136" s="66" t="s">
        <v>248</v>
      </c>
      <c r="E136" s="66">
        <v>1</v>
      </c>
      <c r="F136" s="68">
        <f>'Composição UNIT.'!H864</f>
        <v>0</v>
      </c>
      <c r="G136" s="68">
        <f>'Composição UNIT.'!H854</f>
        <v>0</v>
      </c>
      <c r="H136" s="68">
        <f>G136+F136</f>
        <v>0</v>
      </c>
      <c r="K136" s="232"/>
    </row>
    <row r="137" spans="1:11" x14ac:dyDescent="0.25">
      <c r="A137" s="66" t="s">
        <v>103</v>
      </c>
      <c r="B137" s="66"/>
      <c r="C137" s="67" t="s">
        <v>273</v>
      </c>
      <c r="D137" s="67"/>
      <c r="E137" s="67"/>
      <c r="F137" s="68"/>
      <c r="G137" s="68"/>
      <c r="H137" s="68" t="e">
        <f>SUM(H138:H141)</f>
        <v>#REF!</v>
      </c>
      <c r="K137" s="232"/>
    </row>
    <row r="138" spans="1:11" x14ac:dyDescent="0.25">
      <c r="A138" s="69" t="s">
        <v>105</v>
      </c>
      <c r="B138" s="69" t="s">
        <v>12</v>
      </c>
      <c r="C138" s="73" t="s">
        <v>274</v>
      </c>
      <c r="D138" s="69" t="s">
        <v>248</v>
      </c>
      <c r="E138" s="69">
        <v>1</v>
      </c>
      <c r="F138" s="74">
        <f>'Composição UNIT.'!H442</f>
        <v>0</v>
      </c>
      <c r="G138" s="74">
        <f>'Composição UNIT.'!H432</f>
        <v>0</v>
      </c>
      <c r="H138" s="71">
        <f>F138+G138</f>
        <v>0</v>
      </c>
      <c r="K138" s="232"/>
    </row>
    <row r="139" spans="1:11" x14ac:dyDescent="0.25">
      <c r="A139" s="69" t="s">
        <v>112</v>
      </c>
      <c r="B139" s="69" t="s">
        <v>12</v>
      </c>
      <c r="C139" s="73" t="s">
        <v>275</v>
      </c>
      <c r="D139" s="69" t="s">
        <v>248</v>
      </c>
      <c r="E139" s="69">
        <v>1</v>
      </c>
      <c r="F139" s="74">
        <f>'Composição UNIT.'!H468</f>
        <v>0</v>
      </c>
      <c r="G139" s="74">
        <f>'Composição UNIT.'!H458</f>
        <v>0</v>
      </c>
      <c r="H139" s="71">
        <f>F139+G139</f>
        <v>0</v>
      </c>
      <c r="K139" s="232"/>
    </row>
    <row r="140" spans="1:11" x14ac:dyDescent="0.25">
      <c r="A140" s="69" t="s">
        <v>119</v>
      </c>
      <c r="B140" s="69" t="s">
        <v>12</v>
      </c>
      <c r="C140" s="73" t="s">
        <v>276</v>
      </c>
      <c r="D140" s="69" t="s">
        <v>248</v>
      </c>
      <c r="E140" s="69">
        <v>1</v>
      </c>
      <c r="F140" s="74" t="e">
        <f>'Composição UNIT.'!#REF!</f>
        <v>#REF!</v>
      </c>
      <c r="G140" s="74" t="e">
        <f>'Composição UNIT.'!#REF!</f>
        <v>#REF!</v>
      </c>
      <c r="H140" s="71" t="e">
        <f>F140+G140</f>
        <v>#REF!</v>
      </c>
      <c r="K140" s="232"/>
    </row>
    <row r="141" spans="1:11" x14ac:dyDescent="0.25">
      <c r="A141" s="69" t="s">
        <v>126</v>
      </c>
      <c r="B141" s="69" t="s">
        <v>12</v>
      </c>
      <c r="C141" s="73" t="s">
        <v>277</v>
      </c>
      <c r="D141" s="69" t="s">
        <v>248</v>
      </c>
      <c r="E141" s="69">
        <v>1</v>
      </c>
      <c r="F141" s="74" t="e">
        <f>'Composição UNIT.'!#REF!</f>
        <v>#REF!</v>
      </c>
      <c r="G141" s="74" t="e">
        <f>'Composição UNIT.'!#REF!</f>
        <v>#REF!</v>
      </c>
      <c r="H141" s="71" t="e">
        <f>F141+G141</f>
        <v>#REF!</v>
      </c>
      <c r="K141" s="232"/>
    </row>
    <row r="142" spans="1:11" x14ac:dyDescent="0.25">
      <c r="A142" s="76" t="s">
        <v>167</v>
      </c>
      <c r="B142" s="66"/>
      <c r="C142" s="67" t="s">
        <v>168</v>
      </c>
      <c r="D142" s="67"/>
      <c r="E142" s="67"/>
      <c r="F142" s="68"/>
      <c r="G142" s="68"/>
      <c r="H142" s="68">
        <f>SUM(H143:H145)</f>
        <v>0</v>
      </c>
    </row>
    <row r="143" spans="1:11" x14ac:dyDescent="0.25">
      <c r="A143" s="77" t="s">
        <v>169</v>
      </c>
      <c r="B143" s="69" t="s">
        <v>12</v>
      </c>
      <c r="C143" s="73" t="s">
        <v>287</v>
      </c>
      <c r="D143" s="69" t="s">
        <v>248</v>
      </c>
      <c r="E143" s="69">
        <v>1</v>
      </c>
      <c r="F143" s="74">
        <f>'Composição UNIT.'!H573</f>
        <v>0</v>
      </c>
      <c r="G143" s="74">
        <f>'Composição UNIT.'!H563</f>
        <v>0</v>
      </c>
      <c r="H143" s="74">
        <f>G143+F143</f>
        <v>0</v>
      </c>
    </row>
    <row r="144" spans="1:11" x14ac:dyDescent="0.25">
      <c r="A144" s="77" t="s">
        <v>177</v>
      </c>
      <c r="B144" s="69" t="s">
        <v>12</v>
      </c>
      <c r="C144" s="73" t="s">
        <v>288</v>
      </c>
      <c r="D144" s="69" t="s">
        <v>248</v>
      </c>
      <c r="E144" s="69">
        <v>1</v>
      </c>
      <c r="F144" s="74">
        <f>'Composição UNIT.'!H599</f>
        <v>0</v>
      </c>
      <c r="G144" s="74">
        <f>'Composição UNIT.'!H589</f>
        <v>0</v>
      </c>
      <c r="H144" s="74">
        <f>G144+F144</f>
        <v>0</v>
      </c>
    </row>
    <row r="145" spans="1:8" x14ac:dyDescent="0.25">
      <c r="A145" s="77" t="s">
        <v>185</v>
      </c>
      <c r="B145" s="69" t="s">
        <v>12</v>
      </c>
      <c r="C145" s="73" t="s">
        <v>289</v>
      </c>
      <c r="D145" s="69" t="s">
        <v>248</v>
      </c>
      <c r="E145" s="69">
        <v>1</v>
      </c>
      <c r="F145" s="74">
        <f>'Composição UNIT.'!H625</f>
        <v>0</v>
      </c>
      <c r="G145" s="74">
        <f>'Composição UNIT.'!H615</f>
        <v>0</v>
      </c>
      <c r="H145" s="74">
        <f>G145+F145</f>
        <v>0</v>
      </c>
    </row>
    <row r="146" spans="1:8" x14ac:dyDescent="0.25">
      <c r="A146" s="76" t="s">
        <v>193</v>
      </c>
      <c r="B146" s="66"/>
      <c r="C146" s="67" t="s">
        <v>290</v>
      </c>
      <c r="D146" s="67"/>
      <c r="E146" s="67"/>
      <c r="F146" s="68"/>
      <c r="G146" s="68"/>
      <c r="H146" s="68">
        <f>SUM(H147:H148)</f>
        <v>0</v>
      </c>
    </row>
    <row r="147" spans="1:8" x14ac:dyDescent="0.25">
      <c r="A147" s="77" t="s">
        <v>195</v>
      </c>
      <c r="B147" s="69" t="s">
        <v>12</v>
      </c>
      <c r="C147" s="73" t="s">
        <v>291</v>
      </c>
      <c r="D147" s="69" t="s">
        <v>248</v>
      </c>
      <c r="E147" s="69">
        <v>1</v>
      </c>
      <c r="F147" s="74">
        <f>'Composição UNIT.'!H652</f>
        <v>0</v>
      </c>
      <c r="G147" s="74">
        <f>'Composição UNIT.'!H642</f>
        <v>0</v>
      </c>
      <c r="H147" s="74">
        <f>G147+F147</f>
        <v>0</v>
      </c>
    </row>
    <row r="148" spans="1:8" x14ac:dyDescent="0.25">
      <c r="A148" s="77" t="s">
        <v>204</v>
      </c>
      <c r="B148" s="69" t="s">
        <v>12</v>
      </c>
      <c r="C148" s="73" t="s">
        <v>292</v>
      </c>
      <c r="D148" s="69" t="s">
        <v>248</v>
      </c>
      <c r="E148" s="69">
        <v>1</v>
      </c>
      <c r="F148" s="74">
        <f>'Composição UNIT.'!H679</f>
        <v>0</v>
      </c>
      <c r="G148" s="74">
        <f>'Composição UNIT.'!H669</f>
        <v>0</v>
      </c>
      <c r="H148" s="74">
        <f>F148+G148</f>
        <v>0</v>
      </c>
    </row>
    <row r="149" spans="1:8" x14ac:dyDescent="0.25">
      <c r="A149" s="76" t="s">
        <v>206</v>
      </c>
      <c r="B149" s="66"/>
      <c r="C149" s="78" t="s">
        <v>293</v>
      </c>
      <c r="D149" s="67"/>
      <c r="E149" s="67"/>
      <c r="F149" s="68"/>
      <c r="G149" s="68"/>
      <c r="H149" s="68">
        <f>H150</f>
        <v>0</v>
      </c>
    </row>
    <row r="150" spans="1:8" x14ac:dyDescent="0.25">
      <c r="A150" s="77" t="s">
        <v>294</v>
      </c>
      <c r="B150" s="69" t="s">
        <v>12</v>
      </c>
      <c r="C150" s="73" t="s">
        <v>295</v>
      </c>
      <c r="D150" s="69" t="s">
        <v>248</v>
      </c>
      <c r="E150" s="69">
        <v>1</v>
      </c>
      <c r="F150" s="71">
        <f>'Composição UNIT.'!H758</f>
        <v>0</v>
      </c>
      <c r="G150" s="71">
        <f>'Composição UNIT.'!H748</f>
        <v>0</v>
      </c>
      <c r="H150" s="71">
        <f>F150+G150</f>
        <v>0</v>
      </c>
    </row>
    <row r="151" spans="1:8" x14ac:dyDescent="0.25">
      <c r="A151" s="76" t="s">
        <v>213</v>
      </c>
      <c r="B151" s="66"/>
      <c r="C151" s="67" t="s">
        <v>214</v>
      </c>
      <c r="D151" s="67"/>
      <c r="E151" s="67"/>
      <c r="F151" s="68"/>
      <c r="G151" s="68"/>
      <c r="H151" s="68">
        <f>H152+H153</f>
        <v>0</v>
      </c>
    </row>
    <row r="152" spans="1:8" x14ac:dyDescent="0.25">
      <c r="A152" s="77" t="s">
        <v>215</v>
      </c>
      <c r="B152" s="69" t="s">
        <v>12</v>
      </c>
      <c r="C152" s="73" t="s">
        <v>296</v>
      </c>
      <c r="D152" s="69" t="s">
        <v>248</v>
      </c>
      <c r="E152" s="69">
        <v>1</v>
      </c>
      <c r="F152" s="74">
        <f>'Composição UNIT.'!H785</f>
        <v>0</v>
      </c>
      <c r="G152" s="74">
        <f>'Composição UNIT.'!H775</f>
        <v>0</v>
      </c>
      <c r="H152" s="71">
        <f>G152+F152</f>
        <v>0</v>
      </c>
    </row>
    <row r="153" spans="1:8" x14ac:dyDescent="0.25">
      <c r="A153" s="77" t="s">
        <v>222</v>
      </c>
      <c r="B153" s="69" t="s">
        <v>12</v>
      </c>
      <c r="C153" s="73" t="s">
        <v>297</v>
      </c>
      <c r="D153" s="69" t="s">
        <v>248</v>
      </c>
      <c r="E153" s="69">
        <v>1</v>
      </c>
      <c r="F153" s="74">
        <f>'Composição UNIT.'!H811</f>
        <v>0</v>
      </c>
      <c r="G153" s="71">
        <f>'Composição UNIT.'!H801</f>
        <v>0</v>
      </c>
      <c r="H153" s="71">
        <f>F153+G153</f>
        <v>0</v>
      </c>
    </row>
    <row r="154" spans="1:8" x14ac:dyDescent="0.25">
      <c r="A154" s="76" t="s">
        <v>223</v>
      </c>
      <c r="B154" s="66"/>
      <c r="C154" s="67" t="s">
        <v>224</v>
      </c>
      <c r="D154" s="67"/>
      <c r="E154" s="67"/>
      <c r="F154" s="68"/>
      <c r="G154" s="68"/>
      <c r="H154" s="68" t="e">
        <f>H155+H156</f>
        <v>#REF!</v>
      </c>
    </row>
    <row r="155" spans="1:8" x14ac:dyDescent="0.25">
      <c r="A155" s="77" t="s">
        <v>225</v>
      </c>
      <c r="B155" s="69" t="s">
        <v>12</v>
      </c>
      <c r="C155" s="73" t="s">
        <v>298</v>
      </c>
      <c r="D155" s="69" t="s">
        <v>248</v>
      </c>
      <c r="E155" s="69">
        <v>1</v>
      </c>
      <c r="F155" s="74">
        <f>'Composição UNIT.'!H838</f>
        <v>0</v>
      </c>
      <c r="G155" s="74">
        <f>'Composição UNIT.'!H828</f>
        <v>0</v>
      </c>
      <c r="H155" s="74">
        <f>F155+G155</f>
        <v>0</v>
      </c>
    </row>
    <row r="156" spans="1:8" x14ac:dyDescent="0.25">
      <c r="A156" s="77" t="s">
        <v>233</v>
      </c>
      <c r="B156" s="69" t="s">
        <v>12</v>
      </c>
      <c r="C156" s="73" t="s">
        <v>299</v>
      </c>
      <c r="D156" s="69" t="s">
        <v>248</v>
      </c>
      <c r="E156" s="69">
        <v>1</v>
      </c>
      <c r="F156" s="74" t="e">
        <f>'Composição UNIT.'!#REF!</f>
        <v>#REF!</v>
      </c>
      <c r="G156" s="74" t="e">
        <f>'Composição UNIT.'!#REF!</f>
        <v>#REF!</v>
      </c>
      <c r="H156" s="74" t="e">
        <f>G156+F156</f>
        <v>#REF!</v>
      </c>
    </row>
    <row r="157" spans="1:8" x14ac:dyDescent="0.25">
      <c r="A157" s="76" t="s">
        <v>300</v>
      </c>
      <c r="B157" s="66"/>
      <c r="C157" s="67" t="s">
        <v>301</v>
      </c>
      <c r="D157" s="67"/>
      <c r="E157" s="67"/>
      <c r="F157" s="68"/>
      <c r="G157" s="68"/>
      <c r="H157" s="68">
        <f>SUM(H158:H162)</f>
        <v>501137.45999999996</v>
      </c>
    </row>
    <row r="158" spans="1:8" x14ac:dyDescent="0.25">
      <c r="A158" s="77" t="s">
        <v>302</v>
      </c>
      <c r="B158" s="69" t="s">
        <v>303</v>
      </c>
      <c r="C158" s="73" t="s">
        <v>304</v>
      </c>
      <c r="D158" s="77" t="s">
        <v>305</v>
      </c>
      <c r="E158" s="69">
        <v>31</v>
      </c>
      <c r="F158" s="71">
        <v>1270.05</v>
      </c>
      <c r="G158" s="71">
        <v>635.02499999999998</v>
      </c>
      <c r="H158" s="71">
        <v>59057.32</v>
      </c>
    </row>
    <row r="159" spans="1:8" x14ac:dyDescent="0.25">
      <c r="A159" s="77" t="s">
        <v>306</v>
      </c>
      <c r="B159" s="69" t="s">
        <v>303</v>
      </c>
      <c r="C159" s="73" t="s">
        <v>307</v>
      </c>
      <c r="D159" s="77" t="s">
        <v>305</v>
      </c>
      <c r="E159" s="69">
        <v>31</v>
      </c>
      <c r="F159" s="71">
        <v>778.75</v>
      </c>
      <c r="G159" s="71">
        <v>389.375</v>
      </c>
      <c r="H159" s="71">
        <v>36211.870000000003</v>
      </c>
    </row>
    <row r="160" spans="1:8" x14ac:dyDescent="0.25">
      <c r="A160" s="77" t="s">
        <v>308</v>
      </c>
      <c r="B160" s="69" t="s">
        <v>303</v>
      </c>
      <c r="C160" s="73" t="s">
        <v>309</v>
      </c>
      <c r="D160" s="79" t="s">
        <v>305</v>
      </c>
      <c r="E160" s="69">
        <v>31</v>
      </c>
      <c r="F160" s="71">
        <v>3364.88</v>
      </c>
      <c r="G160" s="71">
        <v>1682.44</v>
      </c>
      <c r="H160" s="71">
        <v>156466.92000000001</v>
      </c>
    </row>
    <row r="161" spans="1:8" x14ac:dyDescent="0.25">
      <c r="A161" s="77" t="s">
        <v>310</v>
      </c>
      <c r="B161" s="69" t="s">
        <v>303</v>
      </c>
      <c r="C161" s="73" t="s">
        <v>311</v>
      </c>
      <c r="D161" s="79" t="s">
        <v>305</v>
      </c>
      <c r="E161" s="69">
        <v>31</v>
      </c>
      <c r="F161" s="71">
        <v>3205.5</v>
      </c>
      <c r="G161" s="71">
        <v>1602.75</v>
      </c>
      <c r="H161" s="71">
        <v>149055.75</v>
      </c>
    </row>
    <row r="162" spans="1:8" x14ac:dyDescent="0.25">
      <c r="A162" s="77" t="s">
        <v>312</v>
      </c>
      <c r="B162" s="69" t="s">
        <v>303</v>
      </c>
      <c r="C162" s="73" t="s">
        <v>313</v>
      </c>
      <c r="D162" s="79" t="s">
        <v>305</v>
      </c>
      <c r="E162" s="69">
        <v>31</v>
      </c>
      <c r="F162" s="71">
        <v>2157.9699999999998</v>
      </c>
      <c r="G162" s="71">
        <v>1078.9849999999999</v>
      </c>
      <c r="H162" s="71">
        <v>100345.60000000001</v>
      </c>
    </row>
    <row r="163" spans="1:8" x14ac:dyDescent="0.25">
      <c r="A163" s="76" t="s">
        <v>314</v>
      </c>
      <c r="B163" s="66"/>
      <c r="C163" s="67" t="s">
        <v>315</v>
      </c>
      <c r="D163" s="67"/>
      <c r="E163" s="67"/>
      <c r="F163" s="68"/>
      <c r="G163" s="68"/>
      <c r="H163" s="68">
        <f>H164+H165</f>
        <v>1260115.21</v>
      </c>
    </row>
    <row r="164" spans="1:8" x14ac:dyDescent="0.25">
      <c r="A164" s="77" t="s">
        <v>316</v>
      </c>
      <c r="B164" s="69" t="s">
        <v>303</v>
      </c>
      <c r="C164" s="73" t="s">
        <v>317</v>
      </c>
      <c r="D164" s="69" t="s">
        <v>305</v>
      </c>
      <c r="E164" s="69">
        <v>31</v>
      </c>
      <c r="F164" s="74">
        <v>27841.7</v>
      </c>
      <c r="G164" s="74">
        <v>9744.5949999999993</v>
      </c>
      <c r="H164" s="71">
        <v>1165175.1399999999</v>
      </c>
    </row>
    <row r="165" spans="1:8" x14ac:dyDescent="0.25">
      <c r="A165" s="77" t="s">
        <v>318</v>
      </c>
      <c r="B165" s="69" t="s">
        <v>303</v>
      </c>
      <c r="C165" s="73" t="s">
        <v>319</v>
      </c>
      <c r="D165" s="69" t="s">
        <v>305</v>
      </c>
      <c r="E165" s="69">
        <v>31</v>
      </c>
      <c r="F165" s="74">
        <v>2268.58</v>
      </c>
      <c r="G165" s="74">
        <v>794.00299999999993</v>
      </c>
      <c r="H165" s="71">
        <v>94940.07</v>
      </c>
    </row>
    <row r="166" spans="1:8" x14ac:dyDescent="0.25">
      <c r="A166" s="66" t="s">
        <v>320</v>
      </c>
      <c r="B166" s="66"/>
      <c r="C166" s="67" t="s">
        <v>321</v>
      </c>
      <c r="D166" s="67"/>
      <c r="E166" s="67"/>
      <c r="F166" s="68"/>
      <c r="G166" s="68"/>
      <c r="H166" s="68">
        <f>SUM(H167:H171)</f>
        <v>372780.02</v>
      </c>
    </row>
    <row r="167" spans="1:8" x14ac:dyDescent="0.25">
      <c r="A167" s="69" t="s">
        <v>322</v>
      </c>
      <c r="B167" s="69" t="s">
        <v>303</v>
      </c>
      <c r="C167" s="70" t="s">
        <v>323</v>
      </c>
      <c r="D167" s="69" t="s">
        <v>305</v>
      </c>
      <c r="E167" s="69">
        <v>31</v>
      </c>
      <c r="F167" s="74">
        <v>740.01</v>
      </c>
      <c r="G167" s="74">
        <v>185.0025</v>
      </c>
      <c r="H167" s="74">
        <v>57350.77</v>
      </c>
    </row>
    <row r="168" spans="1:8" x14ac:dyDescent="0.25">
      <c r="A168" s="69" t="s">
        <v>324</v>
      </c>
      <c r="B168" s="69" t="s">
        <v>303</v>
      </c>
      <c r="C168" s="70" t="s">
        <v>325</v>
      </c>
      <c r="D168" s="69" t="s">
        <v>305</v>
      </c>
      <c r="E168" s="69">
        <v>31</v>
      </c>
      <c r="F168" s="74">
        <v>740.01</v>
      </c>
      <c r="G168" s="74">
        <v>185.0025</v>
      </c>
      <c r="H168" s="74">
        <v>86026.16</v>
      </c>
    </row>
    <row r="169" spans="1:8" x14ac:dyDescent="0.25">
      <c r="A169" s="69" t="s">
        <v>326</v>
      </c>
      <c r="B169" s="69" t="s">
        <v>303</v>
      </c>
      <c r="C169" s="70" t="s">
        <v>327</v>
      </c>
      <c r="D169" s="69" t="s">
        <v>305</v>
      </c>
      <c r="E169" s="69">
        <v>31</v>
      </c>
      <c r="F169" s="74">
        <v>740.01</v>
      </c>
      <c r="G169" s="74">
        <v>185.0025</v>
      </c>
      <c r="H169" s="74">
        <v>86026.16</v>
      </c>
    </row>
    <row r="170" spans="1:8" x14ac:dyDescent="0.25">
      <c r="A170" s="69" t="s">
        <v>328</v>
      </c>
      <c r="B170" s="69" t="s">
        <v>303</v>
      </c>
      <c r="C170" s="70" t="s">
        <v>329</v>
      </c>
      <c r="D170" s="69" t="s">
        <v>305</v>
      </c>
      <c r="E170" s="69">
        <v>31</v>
      </c>
      <c r="F170" s="74">
        <v>740.01</v>
      </c>
      <c r="G170" s="74">
        <v>185.0025</v>
      </c>
      <c r="H170" s="74">
        <v>86026.16</v>
      </c>
    </row>
    <row r="171" spans="1:8" x14ac:dyDescent="0.25">
      <c r="A171" s="69" t="s">
        <v>330</v>
      </c>
      <c r="B171" s="69" t="s">
        <v>303</v>
      </c>
      <c r="C171" s="73" t="s">
        <v>331</v>
      </c>
      <c r="D171" s="69" t="s">
        <v>305</v>
      </c>
      <c r="E171" s="69">
        <v>31</v>
      </c>
      <c r="F171" s="74">
        <v>740.01</v>
      </c>
      <c r="G171" s="74">
        <v>185.0025</v>
      </c>
      <c r="H171" s="74">
        <v>57350.77</v>
      </c>
    </row>
    <row r="172" spans="1:8" x14ac:dyDescent="0.25">
      <c r="A172" s="69"/>
      <c r="B172" s="69"/>
      <c r="C172" s="73"/>
      <c r="D172" s="69"/>
      <c r="E172" s="69"/>
      <c r="F172" s="74"/>
      <c r="G172" s="74"/>
      <c r="H172" s="74"/>
    </row>
    <row r="173" spans="1:8" x14ac:dyDescent="0.25">
      <c r="A173" s="69"/>
      <c r="B173" s="69"/>
      <c r="C173" s="73"/>
      <c r="D173" s="69"/>
      <c r="E173" s="69"/>
      <c r="F173" s="74"/>
      <c r="G173" s="74"/>
      <c r="H173" s="74"/>
    </row>
    <row r="174" spans="1:8" x14ac:dyDescent="0.25">
      <c r="A174" s="69"/>
      <c r="B174" s="69"/>
      <c r="C174" s="73"/>
      <c r="D174" s="69"/>
      <c r="E174" s="69"/>
      <c r="F174" s="74"/>
      <c r="G174" s="74"/>
      <c r="H174" s="74"/>
    </row>
    <row r="175" spans="1:8" x14ac:dyDescent="0.25">
      <c r="A175" s="69"/>
      <c r="B175" s="69"/>
      <c r="C175" s="73"/>
      <c r="D175" s="69"/>
      <c r="E175" s="69"/>
      <c r="F175" s="74"/>
      <c r="G175" s="74"/>
      <c r="H175" s="74"/>
    </row>
    <row r="176" spans="1:8" x14ac:dyDescent="0.25">
      <c r="A176" s="69"/>
      <c r="B176" s="69"/>
      <c r="C176" s="73"/>
      <c r="D176" s="69"/>
      <c r="E176" s="69"/>
      <c r="F176" s="74"/>
      <c r="G176" s="74"/>
      <c r="H176" s="74"/>
    </row>
    <row r="177" spans="1:8" x14ac:dyDescent="0.25">
      <c r="A177" s="69"/>
      <c r="B177" s="69"/>
      <c r="C177" s="73"/>
      <c r="D177" s="69"/>
      <c r="E177" s="69"/>
      <c r="F177" s="74"/>
      <c r="G177" s="74"/>
      <c r="H177" s="74"/>
    </row>
    <row r="178" spans="1:8" x14ac:dyDescent="0.25">
      <c r="A178" s="235" t="s">
        <v>332</v>
      </c>
      <c r="B178" s="235"/>
      <c r="C178" s="236" t="s">
        <v>333</v>
      </c>
      <c r="D178" s="236"/>
      <c r="E178" s="236"/>
      <c r="F178" s="237"/>
      <c r="G178" s="237"/>
      <c r="H178" s="237">
        <f>SUM(H179,H234,H261,H268,H296,H309,H342,H357,H391,H407,H440,H455,H477,H485,H509,H517,H539,H546,H553,H575)</f>
        <v>3193634.25</v>
      </c>
    </row>
    <row r="179" spans="1:8" x14ac:dyDescent="0.25">
      <c r="A179" s="66" t="s">
        <v>334</v>
      </c>
      <c r="B179" s="66"/>
      <c r="C179" s="78" t="s">
        <v>335</v>
      </c>
      <c r="D179" s="67"/>
      <c r="E179" s="67"/>
      <c r="F179" s="68"/>
      <c r="G179" s="68"/>
      <c r="H179" s="68">
        <v>503733.86000000034</v>
      </c>
    </row>
    <row r="180" spans="1:8" x14ac:dyDescent="0.25">
      <c r="A180" s="81" t="s">
        <v>336</v>
      </c>
      <c r="B180" s="69" t="s">
        <v>303</v>
      </c>
      <c r="C180" s="73" t="s">
        <v>337</v>
      </c>
      <c r="D180" s="82" t="s">
        <v>305</v>
      </c>
      <c r="E180" s="77">
        <v>21</v>
      </c>
      <c r="F180" s="74">
        <v>508.17152871499991</v>
      </c>
      <c r="G180" s="74">
        <v>216.92693465999997</v>
      </c>
      <c r="H180" s="74">
        <v>15227.06</v>
      </c>
    </row>
    <row r="181" spans="1:8" x14ac:dyDescent="0.25">
      <c r="A181" s="81" t="s">
        <v>338</v>
      </c>
      <c r="B181" s="69" t="s">
        <v>303</v>
      </c>
      <c r="C181" s="73" t="s">
        <v>339</v>
      </c>
      <c r="D181" s="82" t="s">
        <v>305</v>
      </c>
      <c r="E181" s="77">
        <v>21</v>
      </c>
      <c r="F181" s="74">
        <v>406.53574627199987</v>
      </c>
      <c r="G181" s="74">
        <v>173.54154772799998</v>
      </c>
      <c r="H181" s="74">
        <v>12181.62</v>
      </c>
    </row>
    <row r="182" spans="1:8" x14ac:dyDescent="0.25">
      <c r="A182" s="81" t="s">
        <v>340</v>
      </c>
      <c r="B182" s="69" t="s">
        <v>303</v>
      </c>
      <c r="C182" s="73" t="s">
        <v>341</v>
      </c>
      <c r="D182" s="82" t="s">
        <v>305</v>
      </c>
      <c r="E182" s="77">
        <v>21</v>
      </c>
      <c r="F182" s="74">
        <v>101.63393656799997</v>
      </c>
      <c r="G182" s="74">
        <v>43.385386931999996</v>
      </c>
      <c r="H182" s="74">
        <v>3045.4</v>
      </c>
    </row>
    <row r="183" spans="1:8" x14ac:dyDescent="0.25">
      <c r="A183" s="81" t="s">
        <v>342</v>
      </c>
      <c r="B183" s="69" t="s">
        <v>303</v>
      </c>
      <c r="C183" s="73" t="s">
        <v>343</v>
      </c>
      <c r="D183" s="82" t="s">
        <v>305</v>
      </c>
      <c r="E183" s="77">
        <v>21</v>
      </c>
      <c r="F183" s="74">
        <v>94.308581630499987</v>
      </c>
      <c r="G183" s="74">
        <v>30.049862994499993</v>
      </c>
      <c r="H183" s="74">
        <v>2611.52</v>
      </c>
    </row>
    <row r="184" spans="1:8" x14ac:dyDescent="0.25">
      <c r="A184" s="81" t="s">
        <v>344</v>
      </c>
      <c r="B184" s="69" t="s">
        <v>303</v>
      </c>
      <c r="C184" s="73" t="s">
        <v>345</v>
      </c>
      <c r="D184" s="82" t="s">
        <v>305</v>
      </c>
      <c r="E184" s="77">
        <v>21</v>
      </c>
      <c r="F184" s="74">
        <v>50.817891221499984</v>
      </c>
      <c r="G184" s="74">
        <v>21.693616403499998</v>
      </c>
      <c r="H184" s="74">
        <v>1522.74</v>
      </c>
    </row>
    <row r="185" spans="1:8" x14ac:dyDescent="0.25">
      <c r="A185" s="81" t="s">
        <v>346</v>
      </c>
      <c r="B185" s="69" t="s">
        <v>303</v>
      </c>
      <c r="C185" s="73" t="s">
        <v>347</v>
      </c>
      <c r="D185" s="82" t="s">
        <v>305</v>
      </c>
      <c r="E185" s="77">
        <v>21</v>
      </c>
      <c r="F185" s="74">
        <v>50.817891221499984</v>
      </c>
      <c r="G185" s="74">
        <v>21.693616403499998</v>
      </c>
      <c r="H185" s="74">
        <v>1522.74</v>
      </c>
    </row>
    <row r="186" spans="1:8" x14ac:dyDescent="0.25">
      <c r="A186" s="81" t="s">
        <v>348</v>
      </c>
      <c r="B186" s="69" t="s">
        <v>303</v>
      </c>
      <c r="C186" s="73" t="s">
        <v>349</v>
      </c>
      <c r="D186" s="82" t="s">
        <v>305</v>
      </c>
      <c r="E186" s="77">
        <v>21</v>
      </c>
      <c r="F186" s="74">
        <v>50.817891221499984</v>
      </c>
      <c r="G186" s="74">
        <v>21.693616403499998</v>
      </c>
      <c r="H186" s="74">
        <v>1522.74</v>
      </c>
    </row>
    <row r="187" spans="1:8" x14ac:dyDescent="0.25">
      <c r="A187" s="81" t="s">
        <v>350</v>
      </c>
      <c r="B187" s="69" t="s">
        <v>303</v>
      </c>
      <c r="C187" s="73" t="s">
        <v>351</v>
      </c>
      <c r="D187" s="82" t="s">
        <v>305</v>
      </c>
      <c r="E187" s="77">
        <v>21</v>
      </c>
      <c r="F187" s="74">
        <v>2032.6824231099997</v>
      </c>
      <c r="G187" s="74">
        <v>867.7114303899998</v>
      </c>
      <c r="H187" s="74">
        <v>60908.27</v>
      </c>
    </row>
    <row r="188" spans="1:8" x14ac:dyDescent="0.25">
      <c r="A188" s="81" t="s">
        <v>352</v>
      </c>
      <c r="B188" s="69" t="s">
        <v>303</v>
      </c>
      <c r="C188" s="73" t="s">
        <v>351</v>
      </c>
      <c r="D188" s="82" t="s">
        <v>305</v>
      </c>
      <c r="E188" s="77">
        <v>21</v>
      </c>
      <c r="F188" s="74">
        <v>2032.6824231099997</v>
      </c>
      <c r="G188" s="74">
        <v>867.7114303899998</v>
      </c>
      <c r="H188" s="74">
        <v>60908.27</v>
      </c>
    </row>
    <row r="189" spans="1:8" x14ac:dyDescent="0.25">
      <c r="A189" s="81" t="s">
        <v>353</v>
      </c>
      <c r="B189" s="69" t="s">
        <v>303</v>
      </c>
      <c r="C189" s="73" t="s">
        <v>354</v>
      </c>
      <c r="D189" s="82" t="s">
        <v>305</v>
      </c>
      <c r="E189" s="77">
        <v>21</v>
      </c>
      <c r="F189" s="74">
        <v>406.53574627199987</v>
      </c>
      <c r="G189" s="74">
        <v>173.54154772799998</v>
      </c>
      <c r="H189" s="74">
        <v>12181.62</v>
      </c>
    </row>
    <row r="190" spans="1:8" x14ac:dyDescent="0.25">
      <c r="A190" s="81" t="s">
        <v>355</v>
      </c>
      <c r="B190" s="69" t="s">
        <v>303</v>
      </c>
      <c r="C190" s="73" t="s">
        <v>356</v>
      </c>
      <c r="D190" s="82" t="s">
        <v>305</v>
      </c>
      <c r="E190" s="77">
        <v>21</v>
      </c>
      <c r="F190" s="74">
        <v>5.0810507721500002</v>
      </c>
      <c r="G190" s="74">
        <v>2.16880787785</v>
      </c>
      <c r="H190" s="74">
        <v>152.24</v>
      </c>
    </row>
    <row r="191" spans="1:8" x14ac:dyDescent="0.25">
      <c r="A191" s="81" t="s">
        <v>357</v>
      </c>
      <c r="B191" s="69" t="s">
        <v>303</v>
      </c>
      <c r="C191" s="73" t="s">
        <v>358</v>
      </c>
      <c r="D191" s="82" t="s">
        <v>305</v>
      </c>
      <c r="E191" s="77">
        <v>21</v>
      </c>
      <c r="F191" s="74">
        <v>1016.3412115549999</v>
      </c>
      <c r="G191" s="74">
        <v>433.8557151949999</v>
      </c>
      <c r="H191" s="74">
        <v>30454.13</v>
      </c>
    </row>
    <row r="192" spans="1:8" x14ac:dyDescent="0.25">
      <c r="A192" s="81" t="s">
        <v>359</v>
      </c>
      <c r="B192" s="69" t="s">
        <v>303</v>
      </c>
      <c r="C192" s="73" t="s">
        <v>360</v>
      </c>
      <c r="D192" s="82" t="s">
        <v>305</v>
      </c>
      <c r="E192" s="77">
        <v>21</v>
      </c>
      <c r="F192" s="74">
        <v>2134.316359678</v>
      </c>
      <c r="G192" s="74">
        <v>911.09681732199999</v>
      </c>
      <c r="H192" s="74">
        <v>63953.67</v>
      </c>
    </row>
    <row r="193" spans="1:8" x14ac:dyDescent="0.25">
      <c r="A193" s="81" t="s">
        <v>361</v>
      </c>
      <c r="B193" s="69" t="s">
        <v>303</v>
      </c>
      <c r="C193" s="73" t="s">
        <v>362</v>
      </c>
      <c r="D193" s="82" t="s">
        <v>305</v>
      </c>
      <c r="E193" s="77">
        <v>21</v>
      </c>
      <c r="F193" s="74">
        <v>254.08576435749995</v>
      </c>
      <c r="G193" s="74">
        <v>108.46439026749999</v>
      </c>
      <c r="H193" s="74">
        <v>7613.55</v>
      </c>
    </row>
    <row r="194" spans="1:8" x14ac:dyDescent="0.25">
      <c r="A194" s="81" t="s">
        <v>363</v>
      </c>
      <c r="B194" s="69" t="s">
        <v>303</v>
      </c>
      <c r="C194" s="73" t="s">
        <v>364</v>
      </c>
      <c r="D194" s="82" t="s">
        <v>305</v>
      </c>
      <c r="E194" s="77">
        <v>21</v>
      </c>
      <c r="F194" s="74">
        <v>406.53574627199987</v>
      </c>
      <c r="G194" s="74">
        <v>173.54154772799998</v>
      </c>
      <c r="H194" s="74">
        <v>12181.62</v>
      </c>
    </row>
    <row r="195" spans="1:8" x14ac:dyDescent="0.25">
      <c r="A195" s="81" t="s">
        <v>365</v>
      </c>
      <c r="B195" s="69" t="s">
        <v>303</v>
      </c>
      <c r="C195" s="73" t="s">
        <v>366</v>
      </c>
      <c r="D195" s="82" t="s">
        <v>305</v>
      </c>
      <c r="E195" s="77">
        <v>21</v>
      </c>
      <c r="F195" s="74">
        <v>152.45182778949996</v>
      </c>
      <c r="G195" s="74">
        <v>65.079003335499991</v>
      </c>
      <c r="H195" s="74">
        <v>4568.1400000000003</v>
      </c>
    </row>
    <row r="196" spans="1:8" x14ac:dyDescent="0.25">
      <c r="A196" s="81" t="s">
        <v>367</v>
      </c>
      <c r="B196" s="69" t="s">
        <v>303</v>
      </c>
      <c r="C196" s="73" t="s">
        <v>368</v>
      </c>
      <c r="D196" s="82" t="s">
        <v>305</v>
      </c>
      <c r="E196" s="77">
        <v>21</v>
      </c>
      <c r="F196" s="74">
        <v>50.817891221499984</v>
      </c>
      <c r="G196" s="74">
        <v>21.693616403499998</v>
      </c>
      <c r="H196" s="74">
        <v>1522.74</v>
      </c>
    </row>
    <row r="197" spans="1:8" x14ac:dyDescent="0.25">
      <c r="A197" s="81" t="s">
        <v>369</v>
      </c>
      <c r="B197" s="69" t="s">
        <v>303</v>
      </c>
      <c r="C197" s="73" t="s">
        <v>370</v>
      </c>
      <c r="D197" s="82" t="s">
        <v>305</v>
      </c>
      <c r="E197" s="77">
        <v>21</v>
      </c>
      <c r="F197" s="74">
        <v>40.653943802200004</v>
      </c>
      <c r="G197" s="74">
        <v>17.354154772799998</v>
      </c>
      <c r="H197" s="74">
        <v>1218.17</v>
      </c>
    </row>
    <row r="198" spans="1:8" x14ac:dyDescent="0.25">
      <c r="A198" s="81" t="s">
        <v>371</v>
      </c>
      <c r="B198" s="69" t="s">
        <v>303</v>
      </c>
      <c r="C198" s="73" t="s">
        <v>372</v>
      </c>
      <c r="D198" s="82" t="s">
        <v>305</v>
      </c>
      <c r="E198" s="77">
        <v>21</v>
      </c>
      <c r="F198" s="74">
        <v>304.90180970399996</v>
      </c>
      <c r="G198" s="74">
        <v>130.15616079599997</v>
      </c>
      <c r="H198" s="74">
        <v>9136.2099999999991</v>
      </c>
    </row>
    <row r="199" spans="1:8" x14ac:dyDescent="0.25">
      <c r="A199" s="81" t="s">
        <v>373</v>
      </c>
      <c r="B199" s="69" t="s">
        <v>303</v>
      </c>
      <c r="C199" s="73" t="s">
        <v>374</v>
      </c>
      <c r="D199" s="82" t="s">
        <v>305</v>
      </c>
      <c r="E199" s="77">
        <v>21</v>
      </c>
      <c r="F199" s="74">
        <v>304.90180970399996</v>
      </c>
      <c r="G199" s="74">
        <v>130.15616079599997</v>
      </c>
      <c r="H199" s="74">
        <v>9136.2099999999991</v>
      </c>
    </row>
    <row r="200" spans="1:8" x14ac:dyDescent="0.25">
      <c r="A200" s="81" t="s">
        <v>375</v>
      </c>
      <c r="B200" s="69" t="s">
        <v>303</v>
      </c>
      <c r="C200" s="73" t="s">
        <v>376</v>
      </c>
      <c r="D200" s="82" t="s">
        <v>305</v>
      </c>
      <c r="E200" s="77">
        <v>21</v>
      </c>
      <c r="F200" s="74">
        <v>508.17152871499991</v>
      </c>
      <c r="G200" s="74">
        <v>216.92693465999997</v>
      </c>
      <c r="H200" s="74">
        <v>15227.06</v>
      </c>
    </row>
    <row r="201" spans="1:8" x14ac:dyDescent="0.25">
      <c r="A201" s="81" t="s">
        <v>377</v>
      </c>
      <c r="B201" s="69" t="s">
        <v>303</v>
      </c>
      <c r="C201" s="73" t="s">
        <v>339</v>
      </c>
      <c r="D201" s="82" t="s">
        <v>305</v>
      </c>
      <c r="E201" s="77">
        <v>21</v>
      </c>
      <c r="F201" s="74">
        <v>406.53574627199987</v>
      </c>
      <c r="G201" s="74">
        <v>173.54154772799998</v>
      </c>
      <c r="H201" s="74">
        <v>12181.62</v>
      </c>
    </row>
    <row r="202" spans="1:8" x14ac:dyDescent="0.25">
      <c r="A202" s="81" t="s">
        <v>378</v>
      </c>
      <c r="B202" s="69" t="s">
        <v>303</v>
      </c>
      <c r="C202" s="73" t="s">
        <v>379</v>
      </c>
      <c r="D202" s="82" t="s">
        <v>305</v>
      </c>
      <c r="E202" s="77">
        <v>21</v>
      </c>
      <c r="F202" s="74">
        <v>406.53574627199987</v>
      </c>
      <c r="G202" s="74">
        <v>173.54154772799998</v>
      </c>
      <c r="H202" s="74">
        <v>12181.62</v>
      </c>
    </row>
    <row r="203" spans="1:8" x14ac:dyDescent="0.25">
      <c r="A203" s="81" t="s">
        <v>380</v>
      </c>
      <c r="B203" s="69" t="s">
        <v>303</v>
      </c>
      <c r="C203" s="73" t="s">
        <v>381</v>
      </c>
      <c r="D203" s="82" t="s">
        <v>305</v>
      </c>
      <c r="E203" s="77">
        <v>21</v>
      </c>
      <c r="F203" s="74">
        <v>101.63393656799997</v>
      </c>
      <c r="G203" s="74">
        <v>43.385386931999996</v>
      </c>
      <c r="H203" s="74">
        <v>3045.4</v>
      </c>
    </row>
    <row r="204" spans="1:8" x14ac:dyDescent="0.25">
      <c r="A204" s="81" t="s">
        <v>382</v>
      </c>
      <c r="B204" s="69" t="s">
        <v>303</v>
      </c>
      <c r="C204" s="73" t="s">
        <v>383</v>
      </c>
      <c r="D204" s="82" t="s">
        <v>305</v>
      </c>
      <c r="E204" s="77">
        <v>21</v>
      </c>
      <c r="F204" s="74">
        <v>101.63393656799997</v>
      </c>
      <c r="G204" s="74">
        <v>43.385386931999996</v>
      </c>
      <c r="H204" s="74">
        <v>3045.4</v>
      </c>
    </row>
    <row r="205" spans="1:8" x14ac:dyDescent="0.25">
      <c r="A205" s="81" t="s">
        <v>384</v>
      </c>
      <c r="B205" s="69" t="s">
        <v>303</v>
      </c>
      <c r="C205" s="73" t="s">
        <v>385</v>
      </c>
      <c r="D205" s="82" t="s">
        <v>305</v>
      </c>
      <c r="E205" s="77">
        <v>21</v>
      </c>
      <c r="F205" s="74">
        <v>101.63393656799997</v>
      </c>
      <c r="G205" s="74">
        <v>43.385386931999996</v>
      </c>
      <c r="H205" s="74">
        <v>3045.4</v>
      </c>
    </row>
    <row r="206" spans="1:8" x14ac:dyDescent="0.25">
      <c r="A206" s="81" t="s">
        <v>386</v>
      </c>
      <c r="B206" s="69" t="s">
        <v>303</v>
      </c>
      <c r="C206" s="73" t="s">
        <v>387</v>
      </c>
      <c r="D206" s="82" t="s">
        <v>305</v>
      </c>
      <c r="E206" s="77">
        <v>21</v>
      </c>
      <c r="F206" s="74">
        <v>406.53574627199987</v>
      </c>
      <c r="G206" s="74">
        <v>173.54154772799998</v>
      </c>
      <c r="H206" s="74">
        <v>12181.62</v>
      </c>
    </row>
    <row r="207" spans="1:8" x14ac:dyDescent="0.25">
      <c r="A207" s="81" t="s">
        <v>388</v>
      </c>
      <c r="B207" s="69" t="s">
        <v>303</v>
      </c>
      <c r="C207" s="73" t="s">
        <v>389</v>
      </c>
      <c r="D207" s="82" t="s">
        <v>305</v>
      </c>
      <c r="E207" s="77">
        <v>21</v>
      </c>
      <c r="F207" s="74">
        <v>101.63393656799997</v>
      </c>
      <c r="G207" s="74">
        <v>43.385386931999996</v>
      </c>
      <c r="H207" s="74">
        <v>3045.4</v>
      </c>
    </row>
    <row r="208" spans="1:8" x14ac:dyDescent="0.25">
      <c r="A208" s="81" t="s">
        <v>390</v>
      </c>
      <c r="B208" s="69" t="s">
        <v>303</v>
      </c>
      <c r="C208" s="73" t="s">
        <v>391</v>
      </c>
      <c r="D208" s="82" t="s">
        <v>305</v>
      </c>
      <c r="E208" s="77">
        <v>21</v>
      </c>
      <c r="F208" s="74">
        <v>406.53574627199987</v>
      </c>
      <c r="G208" s="74">
        <v>173.54154772799998</v>
      </c>
      <c r="H208" s="74">
        <v>12181.62</v>
      </c>
    </row>
    <row r="209" spans="1:8" x14ac:dyDescent="0.25">
      <c r="A209" s="81" t="s">
        <v>392</v>
      </c>
      <c r="B209" s="69" t="s">
        <v>303</v>
      </c>
      <c r="C209" s="73" t="s">
        <v>393</v>
      </c>
      <c r="D209" s="82" t="s">
        <v>305</v>
      </c>
      <c r="E209" s="77">
        <v>21</v>
      </c>
      <c r="F209" s="74">
        <v>101.63393656799997</v>
      </c>
      <c r="G209" s="74">
        <v>43.385386931999996</v>
      </c>
      <c r="H209" s="74">
        <v>3045.4</v>
      </c>
    </row>
    <row r="210" spans="1:8" x14ac:dyDescent="0.25">
      <c r="A210" s="81" t="s">
        <v>394</v>
      </c>
      <c r="B210" s="69" t="s">
        <v>303</v>
      </c>
      <c r="C210" s="73" t="s">
        <v>395</v>
      </c>
      <c r="D210" s="82" t="s">
        <v>305</v>
      </c>
      <c r="E210" s="77">
        <v>21</v>
      </c>
      <c r="F210" s="74">
        <v>101.63393656799997</v>
      </c>
      <c r="G210" s="74">
        <v>43.385386931999996</v>
      </c>
      <c r="H210" s="74">
        <v>3045.4</v>
      </c>
    </row>
    <row r="211" spans="1:8" x14ac:dyDescent="0.25">
      <c r="A211" s="81" t="s">
        <v>396</v>
      </c>
      <c r="B211" s="69" t="s">
        <v>303</v>
      </c>
      <c r="C211" s="73" t="s">
        <v>397</v>
      </c>
      <c r="D211" s="82" t="s">
        <v>305</v>
      </c>
      <c r="E211" s="77">
        <v>21</v>
      </c>
      <c r="F211" s="74">
        <v>152.45182778949996</v>
      </c>
      <c r="G211" s="74">
        <v>65.079003335499991</v>
      </c>
      <c r="H211" s="74">
        <v>4568.1400000000003</v>
      </c>
    </row>
    <row r="212" spans="1:8" x14ac:dyDescent="0.25">
      <c r="A212" s="81" t="s">
        <v>398</v>
      </c>
      <c r="B212" s="69" t="s">
        <v>303</v>
      </c>
      <c r="C212" s="73" t="s">
        <v>399</v>
      </c>
      <c r="D212" s="82" t="s">
        <v>305</v>
      </c>
      <c r="E212" s="77">
        <v>21</v>
      </c>
      <c r="F212" s="74">
        <v>457.35363749350006</v>
      </c>
      <c r="G212" s="74">
        <v>195.23516413149997</v>
      </c>
      <c r="H212" s="74">
        <v>13704.36</v>
      </c>
    </row>
    <row r="213" spans="1:8" x14ac:dyDescent="0.25">
      <c r="A213" s="81" t="s">
        <v>400</v>
      </c>
      <c r="B213" s="69" t="s">
        <v>303</v>
      </c>
      <c r="C213" s="73" t="s">
        <v>401</v>
      </c>
      <c r="D213" s="82" t="s">
        <v>305</v>
      </c>
      <c r="E213" s="77">
        <v>21</v>
      </c>
      <c r="F213" s="74">
        <v>132.12393295090001</v>
      </c>
      <c r="G213" s="74">
        <v>56.401925949100004</v>
      </c>
      <c r="H213" s="74">
        <v>3959.04</v>
      </c>
    </row>
    <row r="214" spans="1:8" x14ac:dyDescent="0.25">
      <c r="A214" s="81" t="s">
        <v>402</v>
      </c>
      <c r="B214" s="69" t="s">
        <v>303</v>
      </c>
      <c r="C214" s="73" t="s">
        <v>403</v>
      </c>
      <c r="D214" s="82" t="s">
        <v>305</v>
      </c>
      <c r="E214" s="77">
        <v>21</v>
      </c>
      <c r="F214" s="74">
        <v>406.53574627199987</v>
      </c>
      <c r="G214" s="74">
        <v>173.54154772799998</v>
      </c>
      <c r="H214" s="74">
        <v>12181.62</v>
      </c>
    </row>
    <row r="215" spans="1:8" x14ac:dyDescent="0.25">
      <c r="A215" s="81" t="s">
        <v>404</v>
      </c>
      <c r="B215" s="69" t="s">
        <v>303</v>
      </c>
      <c r="C215" s="73" t="s">
        <v>405</v>
      </c>
      <c r="D215" s="82" t="s">
        <v>305</v>
      </c>
      <c r="E215" s="77">
        <v>21</v>
      </c>
      <c r="F215" s="74">
        <v>101.63393656799997</v>
      </c>
      <c r="G215" s="74">
        <v>43.385386931999996</v>
      </c>
      <c r="H215" s="74">
        <v>3045.4</v>
      </c>
    </row>
    <row r="216" spans="1:8" x14ac:dyDescent="0.25">
      <c r="A216" s="81" t="s">
        <v>406</v>
      </c>
      <c r="B216" s="69" t="s">
        <v>303</v>
      </c>
      <c r="C216" s="73" t="s">
        <v>407</v>
      </c>
      <c r="D216" s="82" t="s">
        <v>305</v>
      </c>
      <c r="E216" s="77">
        <v>21</v>
      </c>
      <c r="F216" s="74">
        <v>91.469989148699995</v>
      </c>
      <c r="G216" s="74">
        <v>39.047771176300003</v>
      </c>
      <c r="H216" s="74">
        <v>2740.87</v>
      </c>
    </row>
    <row r="217" spans="1:8" x14ac:dyDescent="0.25">
      <c r="A217" s="81" t="s">
        <v>408</v>
      </c>
      <c r="B217" s="69" t="s">
        <v>303</v>
      </c>
      <c r="C217" s="73" t="s">
        <v>409</v>
      </c>
      <c r="D217" s="82" t="s">
        <v>305</v>
      </c>
      <c r="E217" s="77">
        <v>21</v>
      </c>
      <c r="F217" s="74">
        <v>152.45182778949996</v>
      </c>
      <c r="G217" s="74">
        <v>65.079003335499991</v>
      </c>
      <c r="H217" s="74">
        <v>4568.1400000000003</v>
      </c>
    </row>
    <row r="218" spans="1:8" x14ac:dyDescent="0.25">
      <c r="A218" s="81" t="s">
        <v>410</v>
      </c>
      <c r="B218" s="69" t="s">
        <v>303</v>
      </c>
      <c r="C218" s="73" t="s">
        <v>411</v>
      </c>
      <c r="D218" s="82" t="s">
        <v>305</v>
      </c>
      <c r="E218" s="77">
        <v>21</v>
      </c>
      <c r="F218" s="74">
        <v>101.63393656799997</v>
      </c>
      <c r="G218" s="74">
        <v>43.385386931999996</v>
      </c>
      <c r="H218" s="74">
        <v>3045.4</v>
      </c>
    </row>
    <row r="219" spans="1:8" x14ac:dyDescent="0.25">
      <c r="A219" s="81" t="s">
        <v>412</v>
      </c>
      <c r="B219" s="69" t="s">
        <v>303</v>
      </c>
      <c r="C219" s="73" t="s">
        <v>413</v>
      </c>
      <c r="D219" s="82" t="s">
        <v>305</v>
      </c>
      <c r="E219" s="77">
        <v>21</v>
      </c>
      <c r="F219" s="74">
        <v>66.06288941295</v>
      </c>
      <c r="G219" s="74">
        <v>28.200040037050002</v>
      </c>
      <c r="H219" s="74">
        <v>1979.52</v>
      </c>
    </row>
    <row r="220" spans="1:8" x14ac:dyDescent="0.25">
      <c r="A220" s="81" t="s">
        <v>414</v>
      </c>
      <c r="B220" s="69" t="s">
        <v>303</v>
      </c>
      <c r="C220" s="73" t="s">
        <v>415</v>
      </c>
      <c r="D220" s="82" t="s">
        <v>305</v>
      </c>
      <c r="E220" s="77">
        <v>21</v>
      </c>
      <c r="F220" s="74">
        <v>152.45182778949996</v>
      </c>
      <c r="G220" s="74">
        <v>65.079003335499991</v>
      </c>
      <c r="H220" s="74">
        <v>4568.1400000000003</v>
      </c>
    </row>
    <row r="221" spans="1:8" x14ac:dyDescent="0.25">
      <c r="A221" s="81" t="s">
        <v>416</v>
      </c>
      <c r="B221" s="69" t="s">
        <v>303</v>
      </c>
      <c r="C221" s="73" t="s">
        <v>417</v>
      </c>
      <c r="D221" s="82" t="s">
        <v>305</v>
      </c>
      <c r="E221" s="77">
        <v>21</v>
      </c>
      <c r="F221" s="74">
        <v>203.26787313599993</v>
      </c>
      <c r="G221" s="74">
        <v>86.770773863999992</v>
      </c>
      <c r="H221" s="74">
        <v>6090.81</v>
      </c>
    </row>
    <row r="222" spans="1:8" x14ac:dyDescent="0.25">
      <c r="A222" s="81" t="s">
        <v>418</v>
      </c>
      <c r="B222" s="69" t="s">
        <v>303</v>
      </c>
      <c r="C222" s="73" t="s">
        <v>419</v>
      </c>
      <c r="D222" s="82" t="s">
        <v>305</v>
      </c>
      <c r="E222" s="77">
        <v>21</v>
      </c>
      <c r="F222" s="74">
        <v>101.63393656799997</v>
      </c>
      <c r="G222" s="74">
        <v>43.385386931999996</v>
      </c>
      <c r="H222" s="74">
        <v>3045.4</v>
      </c>
    </row>
    <row r="223" spans="1:8" x14ac:dyDescent="0.25">
      <c r="A223" s="81" t="s">
        <v>420</v>
      </c>
      <c r="B223" s="69" t="s">
        <v>303</v>
      </c>
      <c r="C223" s="73" t="s">
        <v>421</v>
      </c>
      <c r="D223" s="82" t="s">
        <v>305</v>
      </c>
      <c r="E223" s="77">
        <v>21</v>
      </c>
      <c r="F223" s="74">
        <v>101.63393656799997</v>
      </c>
      <c r="G223" s="74">
        <v>43.385386931999996</v>
      </c>
      <c r="H223" s="74">
        <v>3045.4</v>
      </c>
    </row>
    <row r="224" spans="1:8" x14ac:dyDescent="0.25">
      <c r="A224" s="81" t="s">
        <v>422</v>
      </c>
      <c r="B224" s="69" t="s">
        <v>303</v>
      </c>
      <c r="C224" s="73" t="s">
        <v>423</v>
      </c>
      <c r="D224" s="82" t="s">
        <v>305</v>
      </c>
      <c r="E224" s="77">
        <v>21</v>
      </c>
      <c r="F224" s="74">
        <v>152.45182778949996</v>
      </c>
      <c r="G224" s="74">
        <v>65.079003335499991</v>
      </c>
      <c r="H224" s="74">
        <v>4568.1400000000003</v>
      </c>
    </row>
    <row r="225" spans="1:8" x14ac:dyDescent="0.25">
      <c r="A225" s="81" t="s">
        <v>424</v>
      </c>
      <c r="B225" s="69" t="s">
        <v>303</v>
      </c>
      <c r="C225" s="73" t="s">
        <v>425</v>
      </c>
      <c r="D225" s="82" t="s">
        <v>305</v>
      </c>
      <c r="E225" s="77">
        <v>21</v>
      </c>
      <c r="F225" s="74">
        <v>76.224990957249986</v>
      </c>
      <c r="G225" s="74">
        <v>32.539501667749995</v>
      </c>
      <c r="H225" s="74">
        <v>2284.0500000000002</v>
      </c>
    </row>
    <row r="226" spans="1:8" x14ac:dyDescent="0.25">
      <c r="A226" s="81" t="s">
        <v>426</v>
      </c>
      <c r="B226" s="69" t="s">
        <v>303</v>
      </c>
      <c r="C226" s="73" t="s">
        <v>427</v>
      </c>
      <c r="D226" s="82" t="s">
        <v>305</v>
      </c>
      <c r="E226" s="77">
        <v>21</v>
      </c>
      <c r="F226" s="74">
        <v>101.63393656799997</v>
      </c>
      <c r="G226" s="74">
        <v>43.385386931999996</v>
      </c>
      <c r="H226" s="74">
        <v>3045.4</v>
      </c>
    </row>
    <row r="227" spans="1:8" x14ac:dyDescent="0.25">
      <c r="A227" s="81" t="s">
        <v>428</v>
      </c>
      <c r="B227" s="69" t="s">
        <v>303</v>
      </c>
      <c r="C227" s="73" t="s">
        <v>429</v>
      </c>
      <c r="D227" s="82" t="s">
        <v>305</v>
      </c>
      <c r="E227" s="77">
        <v>21</v>
      </c>
      <c r="F227" s="74">
        <v>203.26787313599993</v>
      </c>
      <c r="G227" s="74">
        <v>86.770773863999992</v>
      </c>
      <c r="H227" s="74">
        <v>6090.81</v>
      </c>
    </row>
    <row r="228" spans="1:8" x14ac:dyDescent="0.25">
      <c r="A228" s="81" t="s">
        <v>430</v>
      </c>
      <c r="B228" s="69" t="s">
        <v>303</v>
      </c>
      <c r="C228" s="73" t="s">
        <v>431</v>
      </c>
      <c r="D228" s="82" t="s">
        <v>305</v>
      </c>
      <c r="E228" s="77">
        <v>21</v>
      </c>
      <c r="F228" s="74">
        <v>203.26787313599993</v>
      </c>
      <c r="G228" s="74">
        <v>86.770773863999992</v>
      </c>
      <c r="H228" s="74">
        <v>6090.81</v>
      </c>
    </row>
    <row r="229" spans="1:8" x14ac:dyDescent="0.25">
      <c r="A229" s="81" t="s">
        <v>432</v>
      </c>
      <c r="B229" s="69" t="s">
        <v>303</v>
      </c>
      <c r="C229" s="73" t="s">
        <v>433</v>
      </c>
      <c r="D229" s="82" t="s">
        <v>305</v>
      </c>
      <c r="E229" s="77">
        <v>21</v>
      </c>
      <c r="F229" s="74">
        <v>304.90180970399996</v>
      </c>
      <c r="G229" s="74">
        <v>130.15616079599997</v>
      </c>
      <c r="H229" s="74">
        <v>9136.2099999999991</v>
      </c>
    </row>
    <row r="230" spans="1:8" x14ac:dyDescent="0.25">
      <c r="A230" s="83" t="s">
        <v>434</v>
      </c>
      <c r="B230" s="69" t="s">
        <v>303</v>
      </c>
      <c r="C230" s="73" t="s">
        <v>435</v>
      </c>
      <c r="D230" s="84" t="s">
        <v>305</v>
      </c>
      <c r="E230" s="77">
        <v>21</v>
      </c>
      <c r="F230" s="74">
        <v>101.63393656799997</v>
      </c>
      <c r="G230" s="74">
        <v>43.385386931999996</v>
      </c>
      <c r="H230" s="74">
        <v>3045.4</v>
      </c>
    </row>
    <row r="231" spans="1:8" x14ac:dyDescent="0.25">
      <c r="A231" s="83" t="s">
        <v>436</v>
      </c>
      <c r="B231" s="69" t="s">
        <v>303</v>
      </c>
      <c r="C231" s="73" t="s">
        <v>437</v>
      </c>
      <c r="D231" s="84" t="s">
        <v>305</v>
      </c>
      <c r="E231" s="77">
        <v>21</v>
      </c>
      <c r="F231" s="74">
        <v>101.63393656799997</v>
      </c>
      <c r="G231" s="74">
        <v>43.385386931999996</v>
      </c>
      <c r="H231" s="74">
        <v>3045.4</v>
      </c>
    </row>
    <row r="232" spans="1:8" x14ac:dyDescent="0.25">
      <c r="A232" s="83" t="s">
        <v>438</v>
      </c>
      <c r="B232" s="69" t="s">
        <v>303</v>
      </c>
      <c r="C232" s="73" t="s">
        <v>439</v>
      </c>
      <c r="D232" s="84" t="s">
        <v>305</v>
      </c>
      <c r="E232" s="77">
        <v>21</v>
      </c>
      <c r="F232" s="74">
        <v>101.63393656799997</v>
      </c>
      <c r="G232" s="74">
        <v>43.385386931999996</v>
      </c>
      <c r="H232" s="74">
        <v>3045.4</v>
      </c>
    </row>
    <row r="233" spans="1:8" x14ac:dyDescent="0.25">
      <c r="A233" s="83" t="s">
        <v>440</v>
      </c>
      <c r="B233" s="69" t="s">
        <v>303</v>
      </c>
      <c r="C233" s="73" t="s">
        <v>441</v>
      </c>
      <c r="D233" s="84" t="s">
        <v>305</v>
      </c>
      <c r="E233" s="77">
        <v>21</v>
      </c>
      <c r="F233" s="74">
        <v>101.63393656799997</v>
      </c>
      <c r="G233" s="74">
        <v>43.385386931999996</v>
      </c>
      <c r="H233" s="74">
        <v>3045.4</v>
      </c>
    </row>
    <row r="234" spans="1:8" x14ac:dyDescent="0.25">
      <c r="A234" s="66" t="s">
        <v>442</v>
      </c>
      <c r="B234" s="66"/>
      <c r="C234" s="67" t="s">
        <v>443</v>
      </c>
      <c r="D234" s="67"/>
      <c r="E234" s="67"/>
      <c r="F234" s="68"/>
      <c r="G234" s="68"/>
      <c r="H234" s="68">
        <v>525434.85999999987</v>
      </c>
    </row>
    <row r="235" spans="1:8" x14ac:dyDescent="0.25">
      <c r="A235" s="81" t="s">
        <v>444</v>
      </c>
      <c r="B235" s="69" t="s">
        <v>303</v>
      </c>
      <c r="C235" s="73" t="s">
        <v>445</v>
      </c>
      <c r="D235" s="82" t="s">
        <v>305</v>
      </c>
      <c r="E235" s="69">
        <v>21</v>
      </c>
      <c r="F235" s="74">
        <v>645.51540862499996</v>
      </c>
      <c r="G235" s="74">
        <v>243.32139662500001</v>
      </c>
      <c r="H235" s="74">
        <v>18665.57</v>
      </c>
    </row>
    <row r="236" spans="1:8" x14ac:dyDescent="0.25">
      <c r="A236" s="81" t="s">
        <v>446</v>
      </c>
      <c r="B236" s="69" t="s">
        <v>303</v>
      </c>
      <c r="C236" s="73" t="s">
        <v>447</v>
      </c>
      <c r="D236" s="82" t="s">
        <v>305</v>
      </c>
      <c r="E236" s="69">
        <v>21</v>
      </c>
      <c r="F236" s="74">
        <v>387.30813764999994</v>
      </c>
      <c r="G236" s="74">
        <v>145.99283797500001</v>
      </c>
      <c r="H236" s="74">
        <v>11199.32</v>
      </c>
    </row>
    <row r="237" spans="1:8" ht="25.5" x14ac:dyDescent="0.25">
      <c r="A237" s="81" t="s">
        <v>448</v>
      </c>
      <c r="B237" s="69" t="s">
        <v>303</v>
      </c>
      <c r="C237" s="73" t="s">
        <v>449</v>
      </c>
      <c r="D237" s="82" t="s">
        <v>305</v>
      </c>
      <c r="E237" s="69">
        <v>21</v>
      </c>
      <c r="F237" s="74">
        <v>387.30813764999994</v>
      </c>
      <c r="G237" s="74">
        <v>145.99283797500001</v>
      </c>
      <c r="H237" s="74">
        <v>11199.32</v>
      </c>
    </row>
    <row r="238" spans="1:8" x14ac:dyDescent="0.25">
      <c r="A238" s="81" t="s">
        <v>450</v>
      </c>
      <c r="B238" s="69" t="s">
        <v>303</v>
      </c>
      <c r="C238" s="73" t="s">
        <v>451</v>
      </c>
      <c r="D238" s="82" t="s">
        <v>305</v>
      </c>
      <c r="E238" s="69">
        <v>21</v>
      </c>
      <c r="F238" s="74">
        <v>1549.2343964749998</v>
      </c>
      <c r="G238" s="74">
        <v>583.96950602499999</v>
      </c>
      <c r="H238" s="74">
        <v>44797.279999999999</v>
      </c>
    </row>
    <row r="239" spans="1:8" x14ac:dyDescent="0.25">
      <c r="A239" s="81" t="s">
        <v>452</v>
      </c>
      <c r="B239" s="69" t="s">
        <v>303</v>
      </c>
      <c r="C239" s="73" t="s">
        <v>453</v>
      </c>
      <c r="D239" s="82" t="s">
        <v>305</v>
      </c>
      <c r="E239" s="69">
        <v>21</v>
      </c>
      <c r="F239" s="74">
        <v>774.61812117499994</v>
      </c>
      <c r="G239" s="74">
        <v>291.98383007500001</v>
      </c>
      <c r="H239" s="74">
        <v>22398.639999999999</v>
      </c>
    </row>
    <row r="240" spans="1:8" x14ac:dyDescent="0.25">
      <c r="A240" s="81" t="s">
        <v>454</v>
      </c>
      <c r="B240" s="69" t="s">
        <v>303</v>
      </c>
      <c r="C240" s="73" t="s">
        <v>455</v>
      </c>
      <c r="D240" s="82" t="s">
        <v>305</v>
      </c>
      <c r="E240" s="69">
        <v>21</v>
      </c>
      <c r="F240" s="74">
        <v>645.51540862499996</v>
      </c>
      <c r="G240" s="74">
        <v>243.32139662500001</v>
      </c>
      <c r="H240" s="74">
        <v>18665.57</v>
      </c>
    </row>
    <row r="241" spans="1:8" x14ac:dyDescent="0.25">
      <c r="A241" s="81" t="s">
        <v>456</v>
      </c>
      <c r="B241" s="69" t="s">
        <v>303</v>
      </c>
      <c r="C241" s="73" t="s">
        <v>457</v>
      </c>
      <c r="D241" s="69" t="s">
        <v>305</v>
      </c>
      <c r="E241" s="69">
        <v>21</v>
      </c>
      <c r="F241" s="74">
        <v>839.1685545124999</v>
      </c>
      <c r="G241" s="74">
        <v>316.31596973749998</v>
      </c>
      <c r="H241" s="74">
        <v>24265.17</v>
      </c>
    </row>
    <row r="242" spans="1:8" x14ac:dyDescent="0.25">
      <c r="A242" s="81" t="s">
        <v>458</v>
      </c>
      <c r="B242" s="69" t="s">
        <v>303</v>
      </c>
      <c r="C242" s="85" t="s">
        <v>459</v>
      </c>
      <c r="D242" s="69" t="s">
        <v>305</v>
      </c>
      <c r="E242" s="69">
        <v>21</v>
      </c>
      <c r="F242" s="74">
        <v>2194.7498051000002</v>
      </c>
      <c r="G242" s="74">
        <v>827.28905677499995</v>
      </c>
      <c r="H242" s="74">
        <v>63462.81</v>
      </c>
    </row>
    <row r="243" spans="1:8" x14ac:dyDescent="0.25">
      <c r="A243" s="81" t="s">
        <v>460</v>
      </c>
      <c r="B243" s="69" t="s">
        <v>303</v>
      </c>
      <c r="C243" s="85" t="s">
        <v>461</v>
      </c>
      <c r="D243" s="69" t="s">
        <v>305</v>
      </c>
      <c r="E243" s="69">
        <v>21</v>
      </c>
      <c r="F243" s="74">
        <v>1161.9262588249999</v>
      </c>
      <c r="G243" s="74">
        <v>437.97666804999994</v>
      </c>
      <c r="H243" s="74">
        <v>33597.96</v>
      </c>
    </row>
    <row r="244" spans="1:8" x14ac:dyDescent="0.25">
      <c r="A244" s="81" t="s">
        <v>462</v>
      </c>
      <c r="B244" s="69" t="s">
        <v>303</v>
      </c>
      <c r="C244" s="85" t="s">
        <v>463</v>
      </c>
      <c r="D244" s="82" t="s">
        <v>305</v>
      </c>
      <c r="E244" s="69">
        <v>21</v>
      </c>
      <c r="F244" s="74">
        <v>1161.9262588249999</v>
      </c>
      <c r="G244" s="74">
        <v>437.97666804999994</v>
      </c>
      <c r="H244" s="74">
        <v>33597.96</v>
      </c>
    </row>
    <row r="245" spans="1:8" x14ac:dyDescent="0.25">
      <c r="A245" s="81" t="s">
        <v>464</v>
      </c>
      <c r="B245" s="69" t="s">
        <v>303</v>
      </c>
      <c r="C245" s="85" t="s">
        <v>465</v>
      </c>
      <c r="D245" s="82" t="s">
        <v>305</v>
      </c>
      <c r="E245" s="69">
        <v>21</v>
      </c>
      <c r="F245" s="74">
        <v>774.61812117499994</v>
      </c>
      <c r="G245" s="74">
        <v>291.98383007500001</v>
      </c>
      <c r="H245" s="74">
        <v>22398.639999999999</v>
      </c>
    </row>
    <row r="246" spans="1:8" x14ac:dyDescent="0.25">
      <c r="A246" s="81" t="s">
        <v>466</v>
      </c>
      <c r="B246" s="69" t="s">
        <v>303</v>
      </c>
      <c r="C246" s="85" t="s">
        <v>467</v>
      </c>
      <c r="D246" s="82" t="s">
        <v>305</v>
      </c>
      <c r="E246" s="69">
        <v>21</v>
      </c>
      <c r="F246" s="74">
        <v>774.61812117499994</v>
      </c>
      <c r="G246" s="74">
        <v>291.98383007500001</v>
      </c>
      <c r="H246" s="74">
        <v>22398.639999999999</v>
      </c>
    </row>
    <row r="247" spans="1:8" x14ac:dyDescent="0.25">
      <c r="A247" s="81" t="s">
        <v>468</v>
      </c>
      <c r="B247" s="69" t="s">
        <v>303</v>
      </c>
      <c r="C247" s="85" t="s">
        <v>469</v>
      </c>
      <c r="D247" s="82" t="s">
        <v>305</v>
      </c>
      <c r="E247" s="69">
        <v>21</v>
      </c>
      <c r="F247" s="74">
        <v>774.61812117499994</v>
      </c>
      <c r="G247" s="74">
        <v>291.98383007500001</v>
      </c>
      <c r="H247" s="74">
        <v>22398.639999999999</v>
      </c>
    </row>
    <row r="248" spans="1:8" ht="25.5" x14ac:dyDescent="0.25">
      <c r="A248" s="81" t="s">
        <v>470</v>
      </c>
      <c r="B248" s="69" t="s">
        <v>303</v>
      </c>
      <c r="C248" s="73" t="s">
        <v>471</v>
      </c>
      <c r="D248" s="82" t="s">
        <v>305</v>
      </c>
      <c r="E248" s="69">
        <v>21</v>
      </c>
      <c r="F248" s="74">
        <v>193.6549917625</v>
      </c>
      <c r="G248" s="74">
        <v>72.996418987500007</v>
      </c>
      <c r="H248" s="74">
        <v>5599.67</v>
      </c>
    </row>
    <row r="249" spans="1:8" ht="25.5" x14ac:dyDescent="0.25">
      <c r="A249" s="81" t="s">
        <v>472</v>
      </c>
      <c r="B249" s="69" t="s">
        <v>303</v>
      </c>
      <c r="C249" s="73" t="s">
        <v>473</v>
      </c>
      <c r="D249" s="82" t="s">
        <v>305</v>
      </c>
      <c r="E249" s="69">
        <v>21</v>
      </c>
      <c r="F249" s="74">
        <v>129.10271255000001</v>
      </c>
      <c r="G249" s="74">
        <v>48.664279325000003</v>
      </c>
      <c r="H249" s="74">
        <v>3733.1</v>
      </c>
    </row>
    <row r="250" spans="1:8" x14ac:dyDescent="0.25">
      <c r="A250" s="81" t="s">
        <v>474</v>
      </c>
      <c r="B250" s="69" t="s">
        <v>303</v>
      </c>
      <c r="C250" s="73" t="s">
        <v>475</v>
      </c>
      <c r="D250" s="82" t="s">
        <v>305</v>
      </c>
      <c r="E250" s="69">
        <v>21</v>
      </c>
      <c r="F250" s="74">
        <v>903.72083372499981</v>
      </c>
      <c r="G250" s="74">
        <v>340.64810939999995</v>
      </c>
      <c r="H250" s="74">
        <v>26131.74</v>
      </c>
    </row>
    <row r="251" spans="1:8" x14ac:dyDescent="0.25">
      <c r="A251" s="81" t="s">
        <v>476</v>
      </c>
      <c r="B251" s="69" t="s">
        <v>303</v>
      </c>
      <c r="C251" s="73" t="s">
        <v>477</v>
      </c>
      <c r="D251" s="82" t="s">
        <v>305</v>
      </c>
      <c r="E251" s="69">
        <v>21</v>
      </c>
      <c r="F251" s="74">
        <v>193.6549917625</v>
      </c>
      <c r="G251" s="74">
        <v>72.996418987500007</v>
      </c>
      <c r="H251" s="74">
        <v>5599.67</v>
      </c>
    </row>
    <row r="252" spans="1:8" x14ac:dyDescent="0.25">
      <c r="A252" s="81" t="s">
        <v>478</v>
      </c>
      <c r="B252" s="69" t="s">
        <v>303</v>
      </c>
      <c r="C252" s="73" t="s">
        <v>479</v>
      </c>
      <c r="D252" s="82" t="s">
        <v>305</v>
      </c>
      <c r="E252" s="69">
        <v>21</v>
      </c>
      <c r="F252" s="74">
        <v>193.6549917625</v>
      </c>
      <c r="G252" s="74">
        <v>72.996418987500007</v>
      </c>
      <c r="H252" s="74">
        <v>5599.67</v>
      </c>
    </row>
    <row r="253" spans="1:8" x14ac:dyDescent="0.25">
      <c r="A253" s="81" t="s">
        <v>480</v>
      </c>
      <c r="B253" s="69" t="s">
        <v>303</v>
      </c>
      <c r="C253" s="73" t="s">
        <v>481</v>
      </c>
      <c r="D253" s="82" t="s">
        <v>305</v>
      </c>
      <c r="E253" s="69">
        <v>21</v>
      </c>
      <c r="F253" s="74">
        <v>161.37792921875001</v>
      </c>
      <c r="G253" s="74">
        <v>60.830349156250001</v>
      </c>
      <c r="H253" s="74">
        <v>4666.37</v>
      </c>
    </row>
    <row r="254" spans="1:8" x14ac:dyDescent="0.25">
      <c r="A254" s="81" t="s">
        <v>482</v>
      </c>
      <c r="B254" s="69" t="s">
        <v>303</v>
      </c>
      <c r="C254" s="73" t="s">
        <v>483</v>
      </c>
      <c r="D254" s="82" t="s">
        <v>305</v>
      </c>
      <c r="E254" s="69">
        <v>21</v>
      </c>
      <c r="F254" s="74">
        <v>387.30813764999994</v>
      </c>
      <c r="G254" s="74">
        <v>145.99283797500001</v>
      </c>
      <c r="H254" s="74">
        <v>11199.32</v>
      </c>
    </row>
    <row r="255" spans="1:8" x14ac:dyDescent="0.25">
      <c r="A255" s="81" t="s">
        <v>484</v>
      </c>
      <c r="B255" s="69" t="s">
        <v>303</v>
      </c>
      <c r="C255" s="73" t="s">
        <v>485</v>
      </c>
      <c r="D255" s="82" t="s">
        <v>305</v>
      </c>
      <c r="E255" s="69">
        <v>21</v>
      </c>
      <c r="F255" s="74">
        <v>516.41085020000003</v>
      </c>
      <c r="G255" s="74">
        <v>194.65711730000001</v>
      </c>
      <c r="H255" s="74">
        <v>14932.42</v>
      </c>
    </row>
    <row r="256" spans="1:8" x14ac:dyDescent="0.25">
      <c r="A256" s="81" t="s">
        <v>486</v>
      </c>
      <c r="B256" s="69" t="s">
        <v>303</v>
      </c>
      <c r="C256" s="73" t="s">
        <v>487</v>
      </c>
      <c r="D256" s="82" t="s">
        <v>305</v>
      </c>
      <c r="E256" s="69">
        <v>21</v>
      </c>
      <c r="F256" s="74">
        <v>968.27126706249976</v>
      </c>
      <c r="G256" s="74">
        <v>364.98024906249992</v>
      </c>
      <c r="H256" s="74">
        <v>27998.28</v>
      </c>
    </row>
    <row r="257" spans="1:8" x14ac:dyDescent="0.25">
      <c r="A257" s="81" t="s">
        <v>488</v>
      </c>
      <c r="B257" s="69" t="s">
        <v>303</v>
      </c>
      <c r="C257" s="73" t="s">
        <v>489</v>
      </c>
      <c r="D257" s="82" t="s">
        <v>305</v>
      </c>
      <c r="E257" s="69">
        <v>21</v>
      </c>
      <c r="F257" s="74">
        <v>645.51540862499996</v>
      </c>
      <c r="G257" s="74">
        <v>243.32139662500001</v>
      </c>
      <c r="H257" s="74">
        <v>18665.57</v>
      </c>
    </row>
    <row r="258" spans="1:8" x14ac:dyDescent="0.25">
      <c r="A258" s="81" t="s">
        <v>490</v>
      </c>
      <c r="B258" s="69" t="s">
        <v>303</v>
      </c>
      <c r="C258" s="73" t="s">
        <v>491</v>
      </c>
      <c r="D258" s="82" t="s">
        <v>305</v>
      </c>
      <c r="E258" s="69">
        <v>21</v>
      </c>
      <c r="F258" s="74">
        <v>774.61812117499994</v>
      </c>
      <c r="G258" s="74">
        <v>291.98383007500001</v>
      </c>
      <c r="H258" s="74">
        <v>22398.639999999999</v>
      </c>
    </row>
    <row r="259" spans="1:8" x14ac:dyDescent="0.25">
      <c r="A259" s="81" t="s">
        <v>492</v>
      </c>
      <c r="B259" s="69" t="s">
        <v>303</v>
      </c>
      <c r="C259" s="73" t="s">
        <v>493</v>
      </c>
      <c r="D259" s="82" t="s">
        <v>305</v>
      </c>
      <c r="E259" s="69">
        <v>21</v>
      </c>
      <c r="F259" s="74">
        <v>387.30813764999994</v>
      </c>
      <c r="G259" s="74">
        <v>145.99283797500001</v>
      </c>
      <c r="H259" s="74">
        <v>11199.32</v>
      </c>
    </row>
    <row r="260" spans="1:8" x14ac:dyDescent="0.25">
      <c r="A260" s="81" t="s">
        <v>494</v>
      </c>
      <c r="B260" s="69" t="s">
        <v>303</v>
      </c>
      <c r="C260" s="73" t="s">
        <v>495</v>
      </c>
      <c r="D260" s="82" t="s">
        <v>305</v>
      </c>
      <c r="E260" s="69">
        <v>21</v>
      </c>
      <c r="F260" s="74">
        <v>645.51540862499996</v>
      </c>
      <c r="G260" s="74">
        <v>243.32139662500001</v>
      </c>
      <c r="H260" s="74">
        <v>18665.57</v>
      </c>
    </row>
    <row r="261" spans="1:8" x14ac:dyDescent="0.25">
      <c r="A261" s="86" t="s">
        <v>496</v>
      </c>
      <c r="B261" s="87"/>
      <c r="C261" s="75" t="s">
        <v>497</v>
      </c>
      <c r="D261" s="87"/>
      <c r="E261" s="87"/>
      <c r="F261" s="88"/>
      <c r="G261" s="88"/>
      <c r="H261" s="68">
        <v>301572.81999999995</v>
      </c>
    </row>
    <row r="262" spans="1:8" x14ac:dyDescent="0.25">
      <c r="A262" s="83" t="s">
        <v>498</v>
      </c>
      <c r="B262" s="69" t="s">
        <v>303</v>
      </c>
      <c r="C262" s="73" t="s">
        <v>499</v>
      </c>
      <c r="D262" s="89" t="s">
        <v>305</v>
      </c>
      <c r="E262" s="69">
        <v>21</v>
      </c>
      <c r="F262" s="74">
        <v>2254.0994856249999</v>
      </c>
      <c r="G262" s="74">
        <v>715.08274562500003</v>
      </c>
      <c r="H262" s="74">
        <v>62352.82</v>
      </c>
    </row>
    <row r="263" spans="1:8" x14ac:dyDescent="0.25">
      <c r="A263" s="83" t="s">
        <v>500</v>
      </c>
      <c r="B263" s="69" t="s">
        <v>303</v>
      </c>
      <c r="C263" s="73" t="s">
        <v>501</v>
      </c>
      <c r="D263" s="89" t="s">
        <v>305</v>
      </c>
      <c r="E263" s="69">
        <v>21</v>
      </c>
      <c r="F263" s="74">
        <v>159.35992637499999</v>
      </c>
      <c r="G263" s="74">
        <v>78.333397375000004</v>
      </c>
      <c r="H263" s="74">
        <v>4991.55</v>
      </c>
    </row>
    <row r="264" spans="1:8" x14ac:dyDescent="0.25">
      <c r="A264" s="83" t="s">
        <v>502</v>
      </c>
      <c r="B264" s="69" t="s">
        <v>303</v>
      </c>
      <c r="C264" s="73" t="s">
        <v>503</v>
      </c>
      <c r="D264" s="89" t="s">
        <v>305</v>
      </c>
      <c r="E264" s="69">
        <v>21</v>
      </c>
      <c r="F264" s="74">
        <v>2800.9768718749997</v>
      </c>
      <c r="G264" s="74">
        <v>863.54647187499995</v>
      </c>
      <c r="H264" s="74">
        <v>76954.990000000005</v>
      </c>
    </row>
    <row r="265" spans="1:8" x14ac:dyDescent="0.25">
      <c r="A265" s="83" t="s">
        <v>504</v>
      </c>
      <c r="B265" s="69" t="s">
        <v>303</v>
      </c>
      <c r="C265" s="73" t="s">
        <v>505</v>
      </c>
      <c r="D265" s="89" t="s">
        <v>305</v>
      </c>
      <c r="E265" s="69">
        <v>21</v>
      </c>
      <c r="F265" s="74">
        <v>2800.9768718749997</v>
      </c>
      <c r="G265" s="74">
        <v>863.54647187499995</v>
      </c>
      <c r="H265" s="74">
        <v>76954.990000000005</v>
      </c>
    </row>
    <row r="266" spans="1:8" x14ac:dyDescent="0.25">
      <c r="A266" s="83" t="s">
        <v>506</v>
      </c>
      <c r="B266" s="69" t="s">
        <v>303</v>
      </c>
      <c r="C266" s="73" t="s">
        <v>507</v>
      </c>
      <c r="D266" s="89" t="s">
        <v>305</v>
      </c>
      <c r="E266" s="69">
        <v>21</v>
      </c>
      <c r="F266" s="74">
        <v>2735.9466956249994</v>
      </c>
      <c r="G266" s="74">
        <v>851.04989812500003</v>
      </c>
      <c r="H266" s="74">
        <v>75326.92</v>
      </c>
    </row>
    <row r="267" spans="1:8" ht="25.5" x14ac:dyDescent="0.25">
      <c r="A267" s="83" t="s">
        <v>508</v>
      </c>
      <c r="B267" s="69" t="s">
        <v>303</v>
      </c>
      <c r="C267" s="73" t="s">
        <v>509</v>
      </c>
      <c r="D267" s="89" t="s">
        <v>305</v>
      </c>
      <c r="E267" s="69">
        <v>21</v>
      </c>
      <c r="F267" s="74">
        <v>159.35992637499999</v>
      </c>
      <c r="G267" s="74">
        <v>78.333397375000004</v>
      </c>
      <c r="H267" s="74">
        <v>4991.55</v>
      </c>
    </row>
    <row r="268" spans="1:8" x14ac:dyDescent="0.25">
      <c r="A268" s="86" t="s">
        <v>510</v>
      </c>
      <c r="B268" s="66"/>
      <c r="C268" s="67" t="s">
        <v>511</v>
      </c>
      <c r="D268" s="67"/>
      <c r="E268" s="67"/>
      <c r="F268" s="68"/>
      <c r="G268" s="68"/>
      <c r="H268" s="68">
        <v>257345.11000000007</v>
      </c>
    </row>
    <row r="269" spans="1:8" x14ac:dyDescent="0.25">
      <c r="A269" s="83" t="s">
        <v>512</v>
      </c>
      <c r="B269" s="69" t="s">
        <v>303</v>
      </c>
      <c r="C269" s="73" t="s">
        <v>339</v>
      </c>
      <c r="D269" s="82" t="s">
        <v>305</v>
      </c>
      <c r="E269" s="69">
        <v>21</v>
      </c>
      <c r="F269" s="74">
        <v>516.41085020000003</v>
      </c>
      <c r="G269" s="74">
        <v>194.65711730000001</v>
      </c>
      <c r="H269" s="74">
        <v>14932.42</v>
      </c>
    </row>
    <row r="270" spans="1:8" ht="25.5" x14ac:dyDescent="0.25">
      <c r="A270" s="83" t="s">
        <v>513</v>
      </c>
      <c r="B270" s="69" t="s">
        <v>303</v>
      </c>
      <c r="C270" s="73" t="s">
        <v>514</v>
      </c>
      <c r="D270" s="82" t="s">
        <v>305</v>
      </c>
      <c r="E270" s="69">
        <v>21</v>
      </c>
      <c r="F270" s="74">
        <v>94.308581630499987</v>
      </c>
      <c r="G270" s="74">
        <v>30.049862994499993</v>
      </c>
      <c r="H270" s="74">
        <v>2611.52</v>
      </c>
    </row>
    <row r="271" spans="1:8" ht="25.5" x14ac:dyDescent="0.25">
      <c r="A271" s="83" t="s">
        <v>515</v>
      </c>
      <c r="B271" s="69" t="s">
        <v>303</v>
      </c>
      <c r="C271" s="73" t="s">
        <v>516</v>
      </c>
      <c r="D271" s="82" t="s">
        <v>305</v>
      </c>
      <c r="E271" s="69">
        <v>21</v>
      </c>
      <c r="F271" s="74">
        <v>94.308581630499987</v>
      </c>
      <c r="G271" s="74">
        <v>30.049862994499993</v>
      </c>
      <c r="H271" s="74">
        <v>2611.52</v>
      </c>
    </row>
    <row r="272" spans="1:8" x14ac:dyDescent="0.25">
      <c r="A272" s="83" t="s">
        <v>517</v>
      </c>
      <c r="B272" s="69" t="s">
        <v>303</v>
      </c>
      <c r="C272" s="73" t="s">
        <v>345</v>
      </c>
      <c r="D272" s="82" t="s">
        <v>305</v>
      </c>
      <c r="E272" s="69">
        <v>21</v>
      </c>
      <c r="F272" s="74">
        <v>50.817891221499984</v>
      </c>
      <c r="G272" s="74">
        <v>21.693616403499998</v>
      </c>
      <c r="H272" s="74">
        <v>1522.74</v>
      </c>
    </row>
    <row r="273" spans="1:8" x14ac:dyDescent="0.25">
      <c r="A273" s="83" t="s">
        <v>518</v>
      </c>
      <c r="B273" s="69" t="s">
        <v>303</v>
      </c>
      <c r="C273" s="73" t="s">
        <v>519</v>
      </c>
      <c r="D273" s="82" t="s">
        <v>305</v>
      </c>
      <c r="E273" s="69">
        <v>21</v>
      </c>
      <c r="F273" s="74">
        <v>80.117465096499984</v>
      </c>
      <c r="G273" s="74">
        <v>75.033866278499985</v>
      </c>
      <c r="H273" s="74">
        <v>3258.17</v>
      </c>
    </row>
    <row r="274" spans="1:8" x14ac:dyDescent="0.25">
      <c r="A274" s="83" t="s">
        <v>520</v>
      </c>
      <c r="B274" s="69" t="s">
        <v>303</v>
      </c>
      <c r="C274" s="73" t="s">
        <v>521</v>
      </c>
      <c r="D274" s="82" t="s">
        <v>305</v>
      </c>
      <c r="E274" s="69">
        <v>21</v>
      </c>
      <c r="F274" s="74">
        <v>1955.7719886219995</v>
      </c>
      <c r="G274" s="74">
        <v>757.51105375299994</v>
      </c>
      <c r="H274" s="74">
        <v>56978.94</v>
      </c>
    </row>
    <row r="275" spans="1:8" x14ac:dyDescent="0.25">
      <c r="A275" s="83" t="s">
        <v>522</v>
      </c>
      <c r="B275" s="69" t="s">
        <v>303</v>
      </c>
      <c r="C275" s="73" t="s">
        <v>523</v>
      </c>
      <c r="D275" s="82" t="s">
        <v>305</v>
      </c>
      <c r="E275" s="69">
        <v>21</v>
      </c>
      <c r="F275" s="74">
        <v>1466.8280685289999</v>
      </c>
      <c r="G275" s="74">
        <v>568.13282884599994</v>
      </c>
      <c r="H275" s="74">
        <v>42734.17</v>
      </c>
    </row>
    <row r="276" spans="1:8" x14ac:dyDescent="0.25">
      <c r="A276" s="83" t="s">
        <v>524</v>
      </c>
      <c r="B276" s="69" t="s">
        <v>303</v>
      </c>
      <c r="C276" s="73" t="s">
        <v>525</v>
      </c>
      <c r="D276" s="82" t="s">
        <v>305</v>
      </c>
      <c r="E276" s="69">
        <v>21</v>
      </c>
      <c r="F276" s="74">
        <v>244.47103710899998</v>
      </c>
      <c r="G276" s="74">
        <v>94.688189516000008</v>
      </c>
      <c r="H276" s="74">
        <v>7122.34</v>
      </c>
    </row>
    <row r="277" spans="1:8" x14ac:dyDescent="0.25">
      <c r="A277" s="83" t="s">
        <v>526</v>
      </c>
      <c r="B277" s="69" t="s">
        <v>303</v>
      </c>
      <c r="C277" s="73" t="s">
        <v>356</v>
      </c>
      <c r="D277" s="82" t="s">
        <v>305</v>
      </c>
      <c r="E277" s="69">
        <v>21</v>
      </c>
      <c r="F277" s="74">
        <v>61.117297808499991</v>
      </c>
      <c r="G277" s="74">
        <v>23.672970316499999</v>
      </c>
      <c r="H277" s="74">
        <v>1780.59</v>
      </c>
    </row>
    <row r="278" spans="1:8" x14ac:dyDescent="0.25">
      <c r="A278" s="83" t="s">
        <v>527</v>
      </c>
      <c r="B278" s="69" t="s">
        <v>303</v>
      </c>
      <c r="C278" s="73" t="s">
        <v>528</v>
      </c>
      <c r="D278" s="82" t="s">
        <v>305</v>
      </c>
      <c r="E278" s="69">
        <v>21</v>
      </c>
      <c r="F278" s="74">
        <v>384.56152733449989</v>
      </c>
      <c r="G278" s="74">
        <v>133.5368217905</v>
      </c>
      <c r="H278" s="74">
        <v>10880.06</v>
      </c>
    </row>
    <row r="279" spans="1:8" x14ac:dyDescent="0.25">
      <c r="A279" s="83" t="s">
        <v>529</v>
      </c>
      <c r="B279" s="69" t="s">
        <v>303</v>
      </c>
      <c r="C279" s="73" t="s">
        <v>530</v>
      </c>
      <c r="D279" s="82" t="s">
        <v>305</v>
      </c>
      <c r="E279" s="69">
        <v>21</v>
      </c>
      <c r="F279" s="74">
        <v>152.45182778949996</v>
      </c>
      <c r="G279" s="74">
        <v>65.079003335499991</v>
      </c>
      <c r="H279" s="74">
        <v>4568.1400000000003</v>
      </c>
    </row>
    <row r="280" spans="1:8" x14ac:dyDescent="0.25">
      <c r="A280" s="83" t="s">
        <v>531</v>
      </c>
      <c r="B280" s="69" t="s">
        <v>303</v>
      </c>
      <c r="C280" s="73" t="s">
        <v>532</v>
      </c>
      <c r="D280" s="82" t="s">
        <v>305</v>
      </c>
      <c r="E280" s="69">
        <v>21</v>
      </c>
      <c r="F280" s="74">
        <v>91.676869650249984</v>
      </c>
      <c r="G280" s="74">
        <v>35.507609599749998</v>
      </c>
      <c r="H280" s="74">
        <v>2670.87</v>
      </c>
    </row>
    <row r="281" spans="1:8" x14ac:dyDescent="0.25">
      <c r="A281" s="83" t="s">
        <v>533</v>
      </c>
      <c r="B281" s="69" t="s">
        <v>303</v>
      </c>
      <c r="C281" s="73" t="s">
        <v>534</v>
      </c>
      <c r="D281" s="82" t="s">
        <v>305</v>
      </c>
      <c r="E281" s="69">
        <v>21</v>
      </c>
      <c r="F281" s="74">
        <v>244.47103710899998</v>
      </c>
      <c r="G281" s="74">
        <v>94.688189516000008</v>
      </c>
      <c r="H281" s="74">
        <v>7122.34</v>
      </c>
    </row>
    <row r="282" spans="1:8" x14ac:dyDescent="0.25">
      <c r="A282" s="83" t="s">
        <v>535</v>
      </c>
      <c r="B282" s="69" t="s">
        <v>303</v>
      </c>
      <c r="C282" s="73" t="s">
        <v>536</v>
      </c>
      <c r="D282" s="82" t="s">
        <v>305</v>
      </c>
      <c r="E282" s="69">
        <v>21</v>
      </c>
      <c r="F282" s="74">
        <v>188.61900913599996</v>
      </c>
      <c r="G282" s="74">
        <v>60.101571863999986</v>
      </c>
      <c r="H282" s="74">
        <v>5223.13</v>
      </c>
    </row>
    <row r="283" spans="1:8" x14ac:dyDescent="0.25">
      <c r="A283" s="83" t="s">
        <v>537</v>
      </c>
      <c r="B283" s="69" t="s">
        <v>303</v>
      </c>
      <c r="C283" s="73" t="s">
        <v>381</v>
      </c>
      <c r="D283" s="82" t="s">
        <v>305</v>
      </c>
      <c r="E283" s="69">
        <v>21</v>
      </c>
      <c r="F283" s="74">
        <v>187.26661774199997</v>
      </c>
      <c r="G283" s="74">
        <v>59.840668508</v>
      </c>
      <c r="H283" s="74">
        <v>5189.25</v>
      </c>
    </row>
    <row r="284" spans="1:8" x14ac:dyDescent="0.25">
      <c r="A284" s="83" t="s">
        <v>538</v>
      </c>
      <c r="B284" s="69" t="s">
        <v>303</v>
      </c>
      <c r="C284" s="73" t="s">
        <v>539</v>
      </c>
      <c r="D284" s="82" t="s">
        <v>305</v>
      </c>
      <c r="E284" s="69">
        <v>21</v>
      </c>
      <c r="F284" s="74">
        <v>362.5873083969999</v>
      </c>
      <c r="G284" s="74">
        <v>93.532095853000001</v>
      </c>
      <c r="H284" s="74">
        <v>9578.5</v>
      </c>
    </row>
    <row r="285" spans="1:8" x14ac:dyDescent="0.25">
      <c r="A285" s="83" t="s">
        <v>540</v>
      </c>
      <c r="B285" s="69" t="s">
        <v>303</v>
      </c>
      <c r="C285" s="73" t="s">
        <v>525</v>
      </c>
      <c r="D285" s="82" t="s">
        <v>305</v>
      </c>
      <c r="E285" s="69">
        <v>21</v>
      </c>
      <c r="F285" s="74">
        <v>725.1746167939998</v>
      </c>
      <c r="G285" s="74">
        <v>187.064191706</v>
      </c>
      <c r="H285" s="74">
        <v>19157.009999999998</v>
      </c>
    </row>
    <row r="286" spans="1:8" x14ac:dyDescent="0.25">
      <c r="A286" s="83" t="s">
        <v>541</v>
      </c>
      <c r="B286" s="69" t="s">
        <v>303</v>
      </c>
      <c r="C286" s="73" t="s">
        <v>542</v>
      </c>
      <c r="D286" s="82" t="s">
        <v>305</v>
      </c>
      <c r="E286" s="69">
        <v>21</v>
      </c>
      <c r="F286" s="74">
        <v>754.47419066899988</v>
      </c>
      <c r="G286" s="74">
        <v>240.40444158099999</v>
      </c>
      <c r="H286" s="74">
        <v>20892.45</v>
      </c>
    </row>
    <row r="287" spans="1:8" x14ac:dyDescent="0.25">
      <c r="A287" s="83" t="s">
        <v>543</v>
      </c>
      <c r="B287" s="69" t="s">
        <v>303</v>
      </c>
      <c r="C287" s="73" t="s">
        <v>544</v>
      </c>
      <c r="D287" s="82" t="s">
        <v>305</v>
      </c>
      <c r="E287" s="69">
        <v>21</v>
      </c>
      <c r="F287" s="74">
        <v>122.23644149199998</v>
      </c>
      <c r="G287" s="74">
        <v>47.344094758000004</v>
      </c>
      <c r="H287" s="74">
        <v>3561.19</v>
      </c>
    </row>
    <row r="288" spans="1:8" x14ac:dyDescent="0.25">
      <c r="A288" s="83" t="s">
        <v>545</v>
      </c>
      <c r="B288" s="69" t="s">
        <v>303</v>
      </c>
      <c r="C288" s="73" t="s">
        <v>546</v>
      </c>
      <c r="D288" s="82" t="s">
        <v>305</v>
      </c>
      <c r="E288" s="69">
        <v>21</v>
      </c>
      <c r="F288" s="74">
        <v>122.23644149199998</v>
      </c>
      <c r="G288" s="74">
        <v>47.344094758000004</v>
      </c>
      <c r="H288" s="74">
        <v>3561.19</v>
      </c>
    </row>
    <row r="289" spans="1:8" x14ac:dyDescent="0.25">
      <c r="A289" s="83" t="s">
        <v>547</v>
      </c>
      <c r="B289" s="69" t="s">
        <v>303</v>
      </c>
      <c r="C289" s="73" t="s">
        <v>548</v>
      </c>
      <c r="D289" s="82" t="s">
        <v>305</v>
      </c>
      <c r="E289" s="69">
        <v>21</v>
      </c>
      <c r="F289" s="74">
        <v>97.789153193599986</v>
      </c>
      <c r="G289" s="74">
        <v>37.876014156399989</v>
      </c>
      <c r="H289" s="74">
        <v>2848.96</v>
      </c>
    </row>
    <row r="290" spans="1:8" x14ac:dyDescent="0.25">
      <c r="A290" s="83" t="s">
        <v>549</v>
      </c>
      <c r="B290" s="69" t="s">
        <v>303</v>
      </c>
      <c r="C290" s="73" t="s">
        <v>550</v>
      </c>
      <c r="D290" s="82" t="s">
        <v>305</v>
      </c>
      <c r="E290" s="69">
        <v>21</v>
      </c>
      <c r="F290" s="74">
        <v>488.94207421799996</v>
      </c>
      <c r="G290" s="74">
        <v>189.378224907</v>
      </c>
      <c r="H290" s="74">
        <v>14244.72</v>
      </c>
    </row>
    <row r="291" spans="1:8" x14ac:dyDescent="0.25">
      <c r="A291" s="83" t="s">
        <v>551</v>
      </c>
      <c r="B291" s="69" t="s">
        <v>303</v>
      </c>
      <c r="C291" s="73" t="s">
        <v>552</v>
      </c>
      <c r="D291" s="82" t="s">
        <v>305</v>
      </c>
      <c r="E291" s="69">
        <v>21</v>
      </c>
      <c r="F291" s="74">
        <v>73.34186489519999</v>
      </c>
      <c r="G291" s="74">
        <v>28.406087679799995</v>
      </c>
      <c r="H291" s="74">
        <v>2136.6999999999998</v>
      </c>
    </row>
    <row r="292" spans="1:8" x14ac:dyDescent="0.25">
      <c r="A292" s="83" t="s">
        <v>553</v>
      </c>
      <c r="B292" s="69" t="s">
        <v>303</v>
      </c>
      <c r="C292" s="73" t="s">
        <v>554</v>
      </c>
      <c r="D292" s="82" t="s">
        <v>305</v>
      </c>
      <c r="E292" s="69">
        <v>21</v>
      </c>
      <c r="F292" s="74">
        <v>73.34186489519999</v>
      </c>
      <c r="G292" s="74">
        <v>28.406087679799995</v>
      </c>
      <c r="H292" s="74">
        <v>2136.6999999999998</v>
      </c>
    </row>
    <row r="293" spans="1:8" x14ac:dyDescent="0.25">
      <c r="A293" s="83" t="s">
        <v>555</v>
      </c>
      <c r="B293" s="69" t="s">
        <v>303</v>
      </c>
      <c r="C293" s="73" t="s">
        <v>556</v>
      </c>
      <c r="D293" s="82" t="s">
        <v>305</v>
      </c>
      <c r="E293" s="69">
        <v>21</v>
      </c>
      <c r="F293" s="74">
        <v>43.413687887499997</v>
      </c>
      <c r="G293" s="74">
        <v>15.499258612499998</v>
      </c>
      <c r="H293" s="74">
        <v>1237.17</v>
      </c>
    </row>
    <row r="294" spans="1:8" x14ac:dyDescent="0.25">
      <c r="A294" s="83" t="s">
        <v>557</v>
      </c>
      <c r="B294" s="69" t="s">
        <v>303</v>
      </c>
      <c r="C294" s="73" t="s">
        <v>558</v>
      </c>
      <c r="D294" s="82" t="s">
        <v>305</v>
      </c>
      <c r="E294" s="69">
        <v>21</v>
      </c>
      <c r="F294" s="74">
        <v>122.23644149199998</v>
      </c>
      <c r="G294" s="74">
        <v>47.344094758000004</v>
      </c>
      <c r="H294" s="74">
        <v>3561.19</v>
      </c>
    </row>
    <row r="295" spans="1:8" x14ac:dyDescent="0.25">
      <c r="A295" s="83" t="s">
        <v>559</v>
      </c>
      <c r="B295" s="69" t="s">
        <v>303</v>
      </c>
      <c r="C295" s="73" t="s">
        <v>560</v>
      </c>
      <c r="D295" s="82" t="s">
        <v>305</v>
      </c>
      <c r="E295" s="69">
        <v>21</v>
      </c>
      <c r="F295" s="74">
        <v>188.61900913599996</v>
      </c>
      <c r="G295" s="74">
        <v>60.101571863999986</v>
      </c>
      <c r="H295" s="74">
        <v>5223.13</v>
      </c>
    </row>
    <row r="296" spans="1:8" x14ac:dyDescent="0.25">
      <c r="A296" s="86" t="s">
        <v>561</v>
      </c>
      <c r="B296" s="66"/>
      <c r="C296" s="75" t="s">
        <v>562</v>
      </c>
      <c r="D296" s="67"/>
      <c r="E296" s="67"/>
      <c r="F296" s="68"/>
      <c r="G296" s="68"/>
      <c r="H296" s="68">
        <v>153396.34</v>
      </c>
    </row>
    <row r="297" spans="1:8" x14ac:dyDescent="0.25">
      <c r="A297" s="83" t="s">
        <v>563</v>
      </c>
      <c r="B297" s="69" t="s">
        <v>303</v>
      </c>
      <c r="C297" s="73" t="s">
        <v>445</v>
      </c>
      <c r="D297" s="82" t="s">
        <v>305</v>
      </c>
      <c r="E297" s="69">
        <v>21</v>
      </c>
      <c r="F297" s="90">
        <v>645.51540862499996</v>
      </c>
      <c r="G297" s="90">
        <v>243.32139662500001</v>
      </c>
      <c r="H297" s="74">
        <v>18665.57</v>
      </c>
    </row>
    <row r="298" spans="1:8" x14ac:dyDescent="0.25">
      <c r="A298" s="83" t="s">
        <v>564</v>
      </c>
      <c r="B298" s="69" t="s">
        <v>303</v>
      </c>
      <c r="C298" s="73" t="s">
        <v>565</v>
      </c>
      <c r="D298" s="82" t="s">
        <v>305</v>
      </c>
      <c r="E298" s="69">
        <v>21</v>
      </c>
      <c r="F298" s="90">
        <v>575.00999794999996</v>
      </c>
      <c r="G298" s="90">
        <v>301.33761704999995</v>
      </c>
      <c r="H298" s="74">
        <v>18403.29</v>
      </c>
    </row>
    <row r="299" spans="1:8" x14ac:dyDescent="0.25">
      <c r="A299" s="83" t="s">
        <v>566</v>
      </c>
      <c r="B299" s="69" t="s">
        <v>303</v>
      </c>
      <c r="C299" s="73" t="s">
        <v>567</v>
      </c>
      <c r="D299" s="82" t="s">
        <v>305</v>
      </c>
      <c r="E299" s="69">
        <v>21</v>
      </c>
      <c r="F299" s="90">
        <v>258.20542510000001</v>
      </c>
      <c r="G299" s="90">
        <v>97.328558650000005</v>
      </c>
      <c r="H299" s="74">
        <v>7466.21</v>
      </c>
    </row>
    <row r="300" spans="1:8" x14ac:dyDescent="0.25">
      <c r="A300" s="83" t="s">
        <v>568</v>
      </c>
      <c r="B300" s="69" t="s">
        <v>303</v>
      </c>
      <c r="C300" s="73" t="s">
        <v>569</v>
      </c>
      <c r="D300" s="82" t="s">
        <v>305</v>
      </c>
      <c r="E300" s="69">
        <v>21</v>
      </c>
      <c r="F300" s="90">
        <v>1258.4418941249999</v>
      </c>
      <c r="G300" s="90">
        <v>384.95907712499991</v>
      </c>
      <c r="H300" s="74">
        <v>34511.42</v>
      </c>
    </row>
    <row r="301" spans="1:8" x14ac:dyDescent="0.25">
      <c r="A301" s="83" t="s">
        <v>570</v>
      </c>
      <c r="B301" s="69" t="s">
        <v>303</v>
      </c>
      <c r="C301" s="73" t="s">
        <v>571</v>
      </c>
      <c r="D301" s="82" t="s">
        <v>305</v>
      </c>
      <c r="E301" s="69">
        <v>21</v>
      </c>
      <c r="F301" s="90">
        <v>838.96126275000006</v>
      </c>
      <c r="G301" s="90">
        <v>256.63938474999998</v>
      </c>
      <c r="H301" s="74">
        <v>23007.61</v>
      </c>
    </row>
    <row r="302" spans="1:8" x14ac:dyDescent="0.25">
      <c r="A302" s="83" t="s">
        <v>572</v>
      </c>
      <c r="B302" s="69" t="s">
        <v>303</v>
      </c>
      <c r="C302" s="73" t="s">
        <v>573</v>
      </c>
      <c r="D302" s="82" t="s">
        <v>305</v>
      </c>
      <c r="E302" s="69">
        <v>21</v>
      </c>
      <c r="F302" s="90">
        <v>516.41085020000003</v>
      </c>
      <c r="G302" s="90">
        <v>194.65711730000001</v>
      </c>
      <c r="H302" s="74">
        <v>14932.42</v>
      </c>
    </row>
    <row r="303" spans="1:8" x14ac:dyDescent="0.25">
      <c r="A303" s="83" t="s">
        <v>574</v>
      </c>
      <c r="B303" s="69" t="s">
        <v>303</v>
      </c>
      <c r="C303" s="73" t="s">
        <v>575</v>
      </c>
      <c r="D303" s="82" t="s">
        <v>305</v>
      </c>
      <c r="E303" s="69">
        <v>21</v>
      </c>
      <c r="F303" s="90">
        <v>289.42027887500001</v>
      </c>
      <c r="G303" s="90">
        <v>103.32654487500001</v>
      </c>
      <c r="H303" s="74">
        <v>8247.68</v>
      </c>
    </row>
    <row r="304" spans="1:8" x14ac:dyDescent="0.25">
      <c r="A304" s="83" t="s">
        <v>576</v>
      </c>
      <c r="B304" s="69" t="s">
        <v>303</v>
      </c>
      <c r="C304" s="73" t="s">
        <v>577</v>
      </c>
      <c r="D304" s="82" t="s">
        <v>305</v>
      </c>
      <c r="E304" s="69">
        <v>21</v>
      </c>
      <c r="F304" s="90">
        <v>516.41085020000003</v>
      </c>
      <c r="G304" s="90">
        <v>194.65711730000001</v>
      </c>
      <c r="H304" s="74">
        <v>14932.42</v>
      </c>
    </row>
    <row r="305" spans="1:8" x14ac:dyDescent="0.25">
      <c r="A305" s="83" t="s">
        <v>578</v>
      </c>
      <c r="B305" s="69" t="s">
        <v>303</v>
      </c>
      <c r="C305" s="73" t="s">
        <v>579</v>
      </c>
      <c r="D305" s="82" t="s">
        <v>305</v>
      </c>
      <c r="E305" s="69">
        <v>21</v>
      </c>
      <c r="F305" s="90">
        <v>129.10271255000001</v>
      </c>
      <c r="G305" s="90">
        <v>48.664279325000003</v>
      </c>
      <c r="H305" s="74">
        <v>3733.1</v>
      </c>
    </row>
    <row r="306" spans="1:8" x14ac:dyDescent="0.25">
      <c r="A306" s="83" t="s">
        <v>580</v>
      </c>
      <c r="B306" s="69" t="s">
        <v>303</v>
      </c>
      <c r="C306" s="73" t="s">
        <v>479</v>
      </c>
      <c r="D306" s="82" t="s">
        <v>305</v>
      </c>
      <c r="E306" s="69">
        <v>21</v>
      </c>
      <c r="F306" s="90">
        <v>121.77735761249998</v>
      </c>
      <c r="G306" s="90">
        <v>35.328755387499996</v>
      </c>
      <c r="H306" s="74">
        <v>3299.22</v>
      </c>
    </row>
    <row r="307" spans="1:8" x14ac:dyDescent="0.25">
      <c r="A307" s="83" t="s">
        <v>581</v>
      </c>
      <c r="B307" s="69" t="s">
        <v>303</v>
      </c>
      <c r="C307" s="73" t="s">
        <v>582</v>
      </c>
      <c r="D307" s="82" t="s">
        <v>305</v>
      </c>
      <c r="E307" s="69">
        <v>21</v>
      </c>
      <c r="F307" s="90">
        <v>154.92436258499998</v>
      </c>
      <c r="G307" s="90">
        <v>58.396027664999984</v>
      </c>
      <c r="H307" s="74">
        <v>4479.72</v>
      </c>
    </row>
    <row r="308" spans="1:8" x14ac:dyDescent="0.25">
      <c r="A308" s="83" t="s">
        <v>583</v>
      </c>
      <c r="B308" s="69" t="s">
        <v>303</v>
      </c>
      <c r="C308" s="73" t="s">
        <v>584</v>
      </c>
      <c r="D308" s="82" t="s">
        <v>305</v>
      </c>
      <c r="E308" s="69">
        <v>21</v>
      </c>
      <c r="F308" s="90">
        <v>62.789653174999991</v>
      </c>
      <c r="G308" s="90">
        <v>19.004759824999997</v>
      </c>
      <c r="H308" s="74">
        <v>1717.68</v>
      </c>
    </row>
    <row r="309" spans="1:8" x14ac:dyDescent="0.25">
      <c r="A309" s="76" t="s">
        <v>585</v>
      </c>
      <c r="B309" s="66"/>
      <c r="C309" s="78" t="s">
        <v>586</v>
      </c>
      <c r="D309" s="67"/>
      <c r="E309" s="67"/>
      <c r="F309" s="68"/>
      <c r="G309" s="68"/>
      <c r="H309" s="68">
        <v>255015.94000000006</v>
      </c>
    </row>
    <row r="310" spans="1:8" x14ac:dyDescent="0.25">
      <c r="A310" s="83" t="s">
        <v>587</v>
      </c>
      <c r="B310" s="69" t="s">
        <v>303</v>
      </c>
      <c r="C310" s="73" t="s">
        <v>588</v>
      </c>
      <c r="D310" s="82" t="s">
        <v>305</v>
      </c>
      <c r="E310" s="69">
        <v>21</v>
      </c>
      <c r="F310" s="74">
        <v>516.41085020000003</v>
      </c>
      <c r="G310" s="74">
        <v>194.65711730000001</v>
      </c>
      <c r="H310" s="74">
        <v>14932.42</v>
      </c>
    </row>
    <row r="311" spans="1:8" x14ac:dyDescent="0.25">
      <c r="A311" s="83" t="s">
        <v>589</v>
      </c>
      <c r="B311" s="69" t="s">
        <v>303</v>
      </c>
      <c r="C311" s="73" t="s">
        <v>590</v>
      </c>
      <c r="D311" s="82" t="s">
        <v>305</v>
      </c>
      <c r="E311" s="69">
        <v>21</v>
      </c>
      <c r="F311" s="74">
        <v>64.552279212499997</v>
      </c>
      <c r="G311" s="74">
        <v>24.332139662500001</v>
      </c>
      <c r="H311" s="74">
        <v>1866.57</v>
      </c>
    </row>
    <row r="312" spans="1:8" x14ac:dyDescent="0.25">
      <c r="A312" s="83" t="s">
        <v>591</v>
      </c>
      <c r="B312" s="69" t="s">
        <v>303</v>
      </c>
      <c r="C312" s="73" t="s">
        <v>592</v>
      </c>
      <c r="D312" s="82" t="s">
        <v>305</v>
      </c>
      <c r="E312" s="69">
        <v>21</v>
      </c>
      <c r="F312" s="74">
        <v>64.552279212499997</v>
      </c>
      <c r="G312" s="74">
        <v>24.332139662500001</v>
      </c>
      <c r="H312" s="74">
        <v>1866.57</v>
      </c>
    </row>
    <row r="313" spans="1:8" x14ac:dyDescent="0.25">
      <c r="A313" s="83" t="s">
        <v>593</v>
      </c>
      <c r="B313" s="69" t="s">
        <v>303</v>
      </c>
      <c r="C313" s="73" t="s">
        <v>349</v>
      </c>
      <c r="D313" s="82" t="s">
        <v>305</v>
      </c>
      <c r="E313" s="69">
        <v>21</v>
      </c>
      <c r="F313" s="74">
        <v>64.552279212499997</v>
      </c>
      <c r="G313" s="74">
        <v>24.332139662500001</v>
      </c>
      <c r="H313" s="74">
        <v>1866.57</v>
      </c>
    </row>
    <row r="314" spans="1:8" x14ac:dyDescent="0.25">
      <c r="A314" s="83" t="s">
        <v>594</v>
      </c>
      <c r="B314" s="69" t="s">
        <v>303</v>
      </c>
      <c r="C314" s="73" t="s">
        <v>595</v>
      </c>
      <c r="D314" s="82" t="s">
        <v>305</v>
      </c>
      <c r="E314" s="69">
        <v>21</v>
      </c>
      <c r="F314" s="74">
        <v>897.31262762349991</v>
      </c>
      <c r="G314" s="74">
        <v>232.06937825149998</v>
      </c>
      <c r="H314" s="74">
        <v>23717.02</v>
      </c>
    </row>
    <row r="315" spans="1:8" x14ac:dyDescent="0.25">
      <c r="A315" s="83" t="s">
        <v>596</v>
      </c>
      <c r="B315" s="69" t="s">
        <v>303</v>
      </c>
      <c r="C315" s="73" t="s">
        <v>597</v>
      </c>
      <c r="D315" s="82" t="s">
        <v>305</v>
      </c>
      <c r="E315" s="69">
        <v>21</v>
      </c>
      <c r="F315" s="74">
        <v>879.91282657699981</v>
      </c>
      <c r="G315" s="74">
        <v>550.76766379799994</v>
      </c>
      <c r="H315" s="74">
        <v>30044.29</v>
      </c>
    </row>
    <row r="316" spans="1:8" x14ac:dyDescent="0.25">
      <c r="A316" s="83" t="s">
        <v>598</v>
      </c>
      <c r="B316" s="69" t="s">
        <v>303</v>
      </c>
      <c r="C316" s="73" t="s">
        <v>599</v>
      </c>
      <c r="D316" s="82" t="s">
        <v>305</v>
      </c>
      <c r="E316" s="69">
        <v>21</v>
      </c>
      <c r="F316" s="74">
        <v>283.38317486699998</v>
      </c>
      <c r="G316" s="74">
        <v>340.71639200799996</v>
      </c>
      <c r="H316" s="74">
        <v>13106.09</v>
      </c>
    </row>
    <row r="317" spans="1:8" x14ac:dyDescent="0.25">
      <c r="A317" s="83" t="s">
        <v>600</v>
      </c>
      <c r="B317" s="69" t="s">
        <v>303</v>
      </c>
      <c r="C317" s="73" t="s">
        <v>601</v>
      </c>
      <c r="D317" s="82" t="s">
        <v>305</v>
      </c>
      <c r="E317" s="69">
        <v>21</v>
      </c>
      <c r="F317" s="74">
        <v>258.20542510000001</v>
      </c>
      <c r="G317" s="74">
        <v>97.328558650000005</v>
      </c>
      <c r="H317" s="74">
        <v>7466.21</v>
      </c>
    </row>
    <row r="318" spans="1:8" x14ac:dyDescent="0.25">
      <c r="A318" s="83" t="s">
        <v>602</v>
      </c>
      <c r="B318" s="69" t="s">
        <v>303</v>
      </c>
      <c r="C318" s="73" t="s">
        <v>603</v>
      </c>
      <c r="D318" s="82" t="s">
        <v>305</v>
      </c>
      <c r="E318" s="69">
        <v>21</v>
      </c>
      <c r="F318" s="74">
        <v>96.827495881250002</v>
      </c>
      <c r="G318" s="74">
        <v>36.498209493750004</v>
      </c>
      <c r="H318" s="74">
        <v>2799.83</v>
      </c>
    </row>
    <row r="319" spans="1:8" x14ac:dyDescent="0.25">
      <c r="A319" s="83" t="s">
        <v>604</v>
      </c>
      <c r="B319" s="69" t="s">
        <v>303</v>
      </c>
      <c r="C319" s="73" t="s">
        <v>605</v>
      </c>
      <c r="D319" s="82" t="s">
        <v>305</v>
      </c>
      <c r="E319" s="69">
        <v>21</v>
      </c>
      <c r="F319" s="74">
        <v>129.10271255000001</v>
      </c>
      <c r="G319" s="74">
        <v>48.664279325000003</v>
      </c>
      <c r="H319" s="74">
        <v>3733.1</v>
      </c>
    </row>
    <row r="320" spans="1:8" x14ac:dyDescent="0.25">
      <c r="A320" s="83" t="s">
        <v>606</v>
      </c>
      <c r="B320" s="69" t="s">
        <v>303</v>
      </c>
      <c r="C320" s="73" t="s">
        <v>588</v>
      </c>
      <c r="D320" s="82" t="s">
        <v>305</v>
      </c>
      <c r="E320" s="69">
        <v>21</v>
      </c>
      <c r="F320" s="74">
        <v>516.41085020000003</v>
      </c>
      <c r="G320" s="74">
        <v>194.65711730000001</v>
      </c>
      <c r="H320" s="74">
        <v>14932.42</v>
      </c>
    </row>
    <row r="321" spans="1:8" x14ac:dyDescent="0.25">
      <c r="A321" s="83" t="s">
        <v>607</v>
      </c>
      <c r="B321" s="69" t="s">
        <v>303</v>
      </c>
      <c r="C321" s="73" t="s">
        <v>608</v>
      </c>
      <c r="D321" s="82" t="s">
        <v>305</v>
      </c>
      <c r="E321" s="69">
        <v>21</v>
      </c>
      <c r="F321" s="74">
        <v>516.41085020000003</v>
      </c>
      <c r="G321" s="74">
        <v>194.65711730000001</v>
      </c>
      <c r="H321" s="74">
        <v>14932.42</v>
      </c>
    </row>
    <row r="322" spans="1:8" x14ac:dyDescent="0.25">
      <c r="A322" s="83" t="s">
        <v>609</v>
      </c>
      <c r="B322" s="69" t="s">
        <v>303</v>
      </c>
      <c r="C322" s="73" t="s">
        <v>590</v>
      </c>
      <c r="D322" s="82" t="s">
        <v>305</v>
      </c>
      <c r="E322" s="69">
        <v>21</v>
      </c>
      <c r="F322" s="74">
        <v>129.10271255000001</v>
      </c>
      <c r="G322" s="74">
        <v>48.664279325000003</v>
      </c>
      <c r="H322" s="74">
        <v>3733.1</v>
      </c>
    </row>
    <row r="323" spans="1:8" x14ac:dyDescent="0.25">
      <c r="A323" s="83" t="s">
        <v>610</v>
      </c>
      <c r="B323" s="69" t="s">
        <v>303</v>
      </c>
      <c r="C323" s="73" t="s">
        <v>611</v>
      </c>
      <c r="D323" s="82" t="s">
        <v>305</v>
      </c>
      <c r="E323" s="69">
        <v>21</v>
      </c>
      <c r="F323" s="74">
        <v>129.10271255000001</v>
      </c>
      <c r="G323" s="74">
        <v>48.664279325000003</v>
      </c>
      <c r="H323" s="74">
        <v>3733.1</v>
      </c>
    </row>
    <row r="324" spans="1:8" x14ac:dyDescent="0.25">
      <c r="A324" s="83" t="s">
        <v>612</v>
      </c>
      <c r="B324" s="69" t="s">
        <v>303</v>
      </c>
      <c r="C324" s="73" t="s">
        <v>613</v>
      </c>
      <c r="D324" s="82" t="s">
        <v>305</v>
      </c>
      <c r="E324" s="69">
        <v>21</v>
      </c>
      <c r="F324" s="74">
        <v>129.10271255000001</v>
      </c>
      <c r="G324" s="74">
        <v>48.664279325000003</v>
      </c>
      <c r="H324" s="74">
        <v>3733.1</v>
      </c>
    </row>
    <row r="325" spans="1:8" x14ac:dyDescent="0.25">
      <c r="A325" s="83" t="s">
        <v>614</v>
      </c>
      <c r="B325" s="69" t="s">
        <v>303</v>
      </c>
      <c r="C325" s="73" t="s">
        <v>615</v>
      </c>
      <c r="D325" s="82" t="s">
        <v>305</v>
      </c>
      <c r="E325" s="69">
        <v>21</v>
      </c>
      <c r="F325" s="74">
        <v>516.41085020000003</v>
      </c>
      <c r="G325" s="74">
        <v>194.65711730000001</v>
      </c>
      <c r="H325" s="74">
        <v>14932.42</v>
      </c>
    </row>
    <row r="326" spans="1:8" x14ac:dyDescent="0.25">
      <c r="A326" s="83" t="s">
        <v>616</v>
      </c>
      <c r="B326" s="69" t="s">
        <v>303</v>
      </c>
      <c r="C326" s="73" t="s">
        <v>617</v>
      </c>
      <c r="D326" s="82" t="s">
        <v>305</v>
      </c>
      <c r="E326" s="69">
        <v>21</v>
      </c>
      <c r="F326" s="74">
        <v>129.10271255000001</v>
      </c>
      <c r="G326" s="74">
        <v>48.664279325000003</v>
      </c>
      <c r="H326" s="74">
        <v>3733.1</v>
      </c>
    </row>
    <row r="327" spans="1:8" x14ac:dyDescent="0.25">
      <c r="A327" s="83" t="s">
        <v>618</v>
      </c>
      <c r="B327" s="69" t="s">
        <v>303</v>
      </c>
      <c r="C327" s="73" t="s">
        <v>619</v>
      </c>
      <c r="D327" s="82" t="s">
        <v>305</v>
      </c>
      <c r="E327" s="69">
        <v>21</v>
      </c>
      <c r="F327" s="74">
        <v>516.41085020000003</v>
      </c>
      <c r="G327" s="74">
        <v>194.65711730000001</v>
      </c>
      <c r="H327" s="74">
        <v>14932.42</v>
      </c>
    </row>
    <row r="328" spans="1:8" x14ac:dyDescent="0.25">
      <c r="A328" s="83" t="s">
        <v>620</v>
      </c>
      <c r="B328" s="69" t="s">
        <v>303</v>
      </c>
      <c r="C328" s="73" t="s">
        <v>621</v>
      </c>
      <c r="D328" s="82" t="s">
        <v>305</v>
      </c>
      <c r="E328" s="69">
        <v>21</v>
      </c>
      <c r="F328" s="74">
        <v>322.75770431249998</v>
      </c>
      <c r="G328" s="74">
        <v>121.6606983125</v>
      </c>
      <c r="H328" s="74">
        <v>9332.7800000000007</v>
      </c>
    </row>
    <row r="329" spans="1:8" x14ac:dyDescent="0.25">
      <c r="A329" s="83" t="s">
        <v>622</v>
      </c>
      <c r="B329" s="69" t="s">
        <v>303</v>
      </c>
      <c r="C329" s="73" t="s">
        <v>623</v>
      </c>
      <c r="D329" s="82" t="s">
        <v>305</v>
      </c>
      <c r="E329" s="69">
        <v>21</v>
      </c>
      <c r="F329" s="74">
        <v>77.461258354999998</v>
      </c>
      <c r="G329" s="74">
        <v>29.198936769999992</v>
      </c>
      <c r="H329" s="74">
        <v>2239.86</v>
      </c>
    </row>
    <row r="330" spans="1:8" x14ac:dyDescent="0.25">
      <c r="A330" s="83" t="s">
        <v>624</v>
      </c>
      <c r="B330" s="69" t="s">
        <v>303</v>
      </c>
      <c r="C330" s="73" t="s">
        <v>550</v>
      </c>
      <c r="D330" s="82" t="s">
        <v>305</v>
      </c>
      <c r="E330" s="69">
        <v>21</v>
      </c>
      <c r="F330" s="74">
        <v>516.41085020000003</v>
      </c>
      <c r="G330" s="74">
        <v>194.65711730000001</v>
      </c>
      <c r="H330" s="74">
        <v>14932.42</v>
      </c>
    </row>
    <row r="331" spans="1:8" x14ac:dyDescent="0.25">
      <c r="A331" s="83" t="s">
        <v>625</v>
      </c>
      <c r="B331" s="69" t="s">
        <v>303</v>
      </c>
      <c r="C331" s="73" t="s">
        <v>626</v>
      </c>
      <c r="D331" s="82" t="s">
        <v>305</v>
      </c>
      <c r="E331" s="69">
        <v>21</v>
      </c>
      <c r="F331" s="74">
        <v>64.552279212499997</v>
      </c>
      <c r="G331" s="74">
        <v>24.332139662500001</v>
      </c>
      <c r="H331" s="74">
        <v>1866.57</v>
      </c>
    </row>
    <row r="332" spans="1:8" x14ac:dyDescent="0.25">
      <c r="A332" s="83" t="s">
        <v>627</v>
      </c>
      <c r="B332" s="69" t="s">
        <v>303</v>
      </c>
      <c r="C332" s="73" t="s">
        <v>628</v>
      </c>
      <c r="D332" s="82" t="s">
        <v>305</v>
      </c>
      <c r="E332" s="69">
        <v>21</v>
      </c>
      <c r="F332" s="74">
        <v>64.552279212499997</v>
      </c>
      <c r="G332" s="74">
        <v>24.332139662500001</v>
      </c>
      <c r="H332" s="74">
        <v>1866.57</v>
      </c>
    </row>
    <row r="333" spans="1:8" x14ac:dyDescent="0.25">
      <c r="A333" s="83" t="s">
        <v>629</v>
      </c>
      <c r="B333" s="69" t="s">
        <v>303</v>
      </c>
      <c r="C333" s="73" t="s">
        <v>630</v>
      </c>
      <c r="D333" s="82" t="s">
        <v>305</v>
      </c>
      <c r="E333" s="69">
        <v>21</v>
      </c>
      <c r="F333" s="74">
        <v>96.827495881250002</v>
      </c>
      <c r="G333" s="74">
        <v>36.498209493750004</v>
      </c>
      <c r="H333" s="74">
        <v>2799.83</v>
      </c>
    </row>
    <row r="334" spans="1:8" x14ac:dyDescent="0.25">
      <c r="A334" s="83" t="s">
        <v>631</v>
      </c>
      <c r="B334" s="69" t="s">
        <v>303</v>
      </c>
      <c r="C334" s="73" t="s">
        <v>632</v>
      </c>
      <c r="D334" s="82" t="s">
        <v>305</v>
      </c>
      <c r="E334" s="69">
        <v>21</v>
      </c>
      <c r="F334" s="74">
        <v>38.730629177499999</v>
      </c>
      <c r="G334" s="74">
        <v>14.598545447499998</v>
      </c>
      <c r="H334" s="74">
        <v>1119.9100000000001</v>
      </c>
    </row>
    <row r="335" spans="1:8" x14ac:dyDescent="0.25">
      <c r="A335" s="83" t="s">
        <v>633</v>
      </c>
      <c r="B335" s="69" t="s">
        <v>303</v>
      </c>
      <c r="C335" s="73" t="s">
        <v>634</v>
      </c>
      <c r="D335" s="82" t="s">
        <v>305</v>
      </c>
      <c r="E335" s="69">
        <v>21</v>
      </c>
      <c r="F335" s="74">
        <v>129.10271255000001</v>
      </c>
      <c r="G335" s="74">
        <v>48.664279325000003</v>
      </c>
      <c r="H335" s="74">
        <v>3733.1</v>
      </c>
    </row>
    <row r="336" spans="1:8" x14ac:dyDescent="0.25">
      <c r="A336" s="83" t="s">
        <v>635</v>
      </c>
      <c r="B336" s="69" t="s">
        <v>303</v>
      </c>
      <c r="C336" s="73" t="s">
        <v>636</v>
      </c>
      <c r="D336" s="82" t="s">
        <v>305</v>
      </c>
      <c r="E336" s="69">
        <v>21</v>
      </c>
      <c r="F336" s="74">
        <v>258.20542510000001</v>
      </c>
      <c r="G336" s="74">
        <v>97.328558650000005</v>
      </c>
      <c r="H336" s="74">
        <v>7466.21</v>
      </c>
    </row>
    <row r="337" spans="1:8" x14ac:dyDescent="0.25">
      <c r="A337" s="83" t="s">
        <v>637</v>
      </c>
      <c r="B337" s="69" t="s">
        <v>303</v>
      </c>
      <c r="C337" s="73" t="s">
        <v>638</v>
      </c>
      <c r="D337" s="82" t="s">
        <v>305</v>
      </c>
      <c r="E337" s="69">
        <v>21</v>
      </c>
      <c r="F337" s="74">
        <v>387.30813764999994</v>
      </c>
      <c r="G337" s="74">
        <v>145.99283797500001</v>
      </c>
      <c r="H337" s="74">
        <v>11199.32</v>
      </c>
    </row>
    <row r="338" spans="1:8" x14ac:dyDescent="0.25">
      <c r="A338" s="83" t="s">
        <v>639</v>
      </c>
      <c r="B338" s="69" t="s">
        <v>303</v>
      </c>
      <c r="C338" s="73" t="s">
        <v>419</v>
      </c>
      <c r="D338" s="82" t="s">
        <v>305</v>
      </c>
      <c r="E338" s="69">
        <v>21</v>
      </c>
      <c r="F338" s="74">
        <v>129.10271255000001</v>
      </c>
      <c r="G338" s="74">
        <v>48.664279325000003</v>
      </c>
      <c r="H338" s="74">
        <v>3733.1</v>
      </c>
    </row>
    <row r="339" spans="1:8" x14ac:dyDescent="0.25">
      <c r="A339" s="83" t="s">
        <v>640</v>
      </c>
      <c r="B339" s="69" t="s">
        <v>303</v>
      </c>
      <c r="C339" s="73" t="s">
        <v>641</v>
      </c>
      <c r="D339" s="82" t="s">
        <v>305</v>
      </c>
      <c r="E339" s="69">
        <v>21</v>
      </c>
      <c r="F339" s="74">
        <v>258.20542510000001</v>
      </c>
      <c r="G339" s="74">
        <v>97.328558650000005</v>
      </c>
      <c r="H339" s="74">
        <v>7466.21</v>
      </c>
    </row>
    <row r="340" spans="1:8" x14ac:dyDescent="0.25">
      <c r="A340" s="83" t="s">
        <v>642</v>
      </c>
      <c r="B340" s="69" t="s">
        <v>303</v>
      </c>
      <c r="C340" s="73" t="s">
        <v>643</v>
      </c>
      <c r="D340" s="82" t="s">
        <v>305</v>
      </c>
      <c r="E340" s="69">
        <v>21</v>
      </c>
      <c r="F340" s="74">
        <v>258.20542510000001</v>
      </c>
      <c r="G340" s="74">
        <v>97.328558650000005</v>
      </c>
      <c r="H340" s="74">
        <v>7466.21</v>
      </c>
    </row>
    <row r="341" spans="1:8" x14ac:dyDescent="0.25">
      <c r="A341" s="83" t="s">
        <v>644</v>
      </c>
      <c r="B341" s="69" t="s">
        <v>303</v>
      </c>
      <c r="C341" s="73" t="s">
        <v>645</v>
      </c>
      <c r="D341" s="82" t="s">
        <v>305</v>
      </c>
      <c r="E341" s="69">
        <v>21</v>
      </c>
      <c r="F341" s="74">
        <v>129.10271255000001</v>
      </c>
      <c r="G341" s="74">
        <v>48.664279325000003</v>
      </c>
      <c r="H341" s="74">
        <v>3733.1</v>
      </c>
    </row>
    <row r="342" spans="1:8" x14ac:dyDescent="0.25">
      <c r="A342" s="76" t="s">
        <v>646</v>
      </c>
      <c r="B342" s="66"/>
      <c r="C342" s="78" t="s">
        <v>647</v>
      </c>
      <c r="D342" s="67"/>
      <c r="E342" s="67"/>
      <c r="F342" s="68"/>
      <c r="G342" s="68"/>
      <c r="H342" s="68">
        <v>135325.13</v>
      </c>
    </row>
    <row r="343" spans="1:8" ht="25.5" x14ac:dyDescent="0.25">
      <c r="A343" s="83" t="s">
        <v>648</v>
      </c>
      <c r="B343" s="69" t="s">
        <v>303</v>
      </c>
      <c r="C343" s="73" t="s">
        <v>649</v>
      </c>
      <c r="D343" s="82" t="s">
        <v>305</v>
      </c>
      <c r="E343" s="69">
        <v>21</v>
      </c>
      <c r="F343" s="74">
        <v>516.41085020000003</v>
      </c>
      <c r="G343" s="74">
        <v>194.65711730000001</v>
      </c>
      <c r="H343" s="74">
        <v>14932.42</v>
      </c>
    </row>
    <row r="344" spans="1:8" x14ac:dyDescent="0.25">
      <c r="A344" s="83" t="s">
        <v>650</v>
      </c>
      <c r="B344" s="69" t="s">
        <v>303</v>
      </c>
      <c r="C344" s="73" t="s">
        <v>651</v>
      </c>
      <c r="D344" s="82" t="s">
        <v>305</v>
      </c>
      <c r="E344" s="69">
        <v>21</v>
      </c>
      <c r="F344" s="74">
        <v>193.6549917625</v>
      </c>
      <c r="G344" s="74">
        <v>72.996418987500007</v>
      </c>
      <c r="H344" s="74">
        <v>5599.67</v>
      </c>
    </row>
    <row r="345" spans="1:8" x14ac:dyDescent="0.25">
      <c r="A345" s="83" t="s">
        <v>652</v>
      </c>
      <c r="B345" s="69" t="s">
        <v>303</v>
      </c>
      <c r="C345" s="73" t="s">
        <v>653</v>
      </c>
      <c r="D345" s="82" t="s">
        <v>305</v>
      </c>
      <c r="E345" s="69">
        <v>21</v>
      </c>
      <c r="F345" s="74">
        <v>387.30813764999994</v>
      </c>
      <c r="G345" s="74">
        <v>145.99283797500001</v>
      </c>
      <c r="H345" s="74">
        <v>11199.32</v>
      </c>
    </row>
    <row r="346" spans="1:8" x14ac:dyDescent="0.25">
      <c r="A346" s="83" t="s">
        <v>654</v>
      </c>
      <c r="B346" s="69" t="s">
        <v>303</v>
      </c>
      <c r="C346" s="91" t="s">
        <v>655</v>
      </c>
      <c r="D346" s="82" t="s">
        <v>305</v>
      </c>
      <c r="E346" s="69">
        <v>21</v>
      </c>
      <c r="F346" s="74">
        <v>1032.8235462750001</v>
      </c>
      <c r="G346" s="74">
        <v>389.31238872500001</v>
      </c>
      <c r="H346" s="74">
        <v>29864.85</v>
      </c>
    </row>
    <row r="347" spans="1:8" x14ac:dyDescent="0.25">
      <c r="A347" s="83" t="s">
        <v>656</v>
      </c>
      <c r="B347" s="69" t="s">
        <v>303</v>
      </c>
      <c r="C347" s="91" t="s">
        <v>657</v>
      </c>
      <c r="D347" s="69" t="s">
        <v>305</v>
      </c>
      <c r="E347" s="69">
        <v>21</v>
      </c>
      <c r="F347" s="74">
        <v>129.10271255000001</v>
      </c>
      <c r="G347" s="74">
        <v>48.664279325000003</v>
      </c>
      <c r="H347" s="74">
        <v>3733.1</v>
      </c>
    </row>
    <row r="348" spans="1:8" x14ac:dyDescent="0.25">
      <c r="A348" s="83" t="s">
        <v>658</v>
      </c>
      <c r="B348" s="69" t="s">
        <v>303</v>
      </c>
      <c r="C348" s="73" t="s">
        <v>659</v>
      </c>
      <c r="D348" s="69" t="s">
        <v>305</v>
      </c>
      <c r="E348" s="69">
        <v>21</v>
      </c>
      <c r="F348" s="74">
        <v>129.10271255000001</v>
      </c>
      <c r="G348" s="74">
        <v>48.664279325000003</v>
      </c>
      <c r="H348" s="74">
        <v>3733.1</v>
      </c>
    </row>
    <row r="349" spans="1:8" x14ac:dyDescent="0.25">
      <c r="A349" s="83" t="s">
        <v>660</v>
      </c>
      <c r="B349" s="69" t="s">
        <v>303</v>
      </c>
      <c r="C349" s="73" t="s">
        <v>661</v>
      </c>
      <c r="D349" s="69" t="s">
        <v>305</v>
      </c>
      <c r="E349" s="69">
        <v>21</v>
      </c>
      <c r="F349" s="74">
        <v>96.827495881250002</v>
      </c>
      <c r="G349" s="74">
        <v>36.498209493750004</v>
      </c>
      <c r="H349" s="74">
        <v>2799.83</v>
      </c>
    </row>
    <row r="350" spans="1:8" x14ac:dyDescent="0.25">
      <c r="A350" s="83" t="s">
        <v>662</v>
      </c>
      <c r="B350" s="69" t="s">
        <v>303</v>
      </c>
      <c r="C350" s="73" t="s">
        <v>663</v>
      </c>
      <c r="D350" s="69" t="s">
        <v>305</v>
      </c>
      <c r="E350" s="69">
        <v>21</v>
      </c>
      <c r="F350" s="74">
        <v>193.6549917625</v>
      </c>
      <c r="G350" s="74">
        <v>72.996418987500007</v>
      </c>
      <c r="H350" s="74">
        <v>5599.67</v>
      </c>
    </row>
    <row r="351" spans="1:8" x14ac:dyDescent="0.25">
      <c r="A351" s="83" t="s">
        <v>664</v>
      </c>
      <c r="B351" s="69" t="s">
        <v>303</v>
      </c>
      <c r="C351" s="91" t="s">
        <v>665</v>
      </c>
      <c r="D351" s="69" t="s">
        <v>305</v>
      </c>
      <c r="E351" s="69">
        <v>21</v>
      </c>
      <c r="F351" s="74">
        <v>129.10271255000001</v>
      </c>
      <c r="G351" s="74">
        <v>48.664279325000003</v>
      </c>
      <c r="H351" s="74">
        <v>3733.1</v>
      </c>
    </row>
    <row r="352" spans="1:8" x14ac:dyDescent="0.25">
      <c r="A352" s="83" t="s">
        <v>666</v>
      </c>
      <c r="B352" s="69" t="s">
        <v>303</v>
      </c>
      <c r="C352" s="91" t="s">
        <v>667</v>
      </c>
      <c r="D352" s="69" t="s">
        <v>305</v>
      </c>
      <c r="E352" s="69">
        <v>21</v>
      </c>
      <c r="F352" s="74">
        <v>903.72083372499981</v>
      </c>
      <c r="G352" s="74">
        <v>340.64810939999995</v>
      </c>
      <c r="H352" s="74">
        <v>26131.74</v>
      </c>
    </row>
    <row r="353" spans="1:8" x14ac:dyDescent="0.25">
      <c r="A353" s="83" t="s">
        <v>668</v>
      </c>
      <c r="B353" s="69" t="s">
        <v>303</v>
      </c>
      <c r="C353" s="91" t="s">
        <v>479</v>
      </c>
      <c r="D353" s="82" t="s">
        <v>305</v>
      </c>
      <c r="E353" s="69">
        <v>21</v>
      </c>
      <c r="F353" s="74">
        <v>193.6549917625</v>
      </c>
      <c r="G353" s="74">
        <v>72.996418987500007</v>
      </c>
      <c r="H353" s="74">
        <v>5599.67</v>
      </c>
    </row>
    <row r="354" spans="1:8" x14ac:dyDescent="0.25">
      <c r="A354" s="83" t="s">
        <v>669</v>
      </c>
      <c r="B354" s="69" t="s">
        <v>303</v>
      </c>
      <c r="C354" s="73" t="s">
        <v>670</v>
      </c>
      <c r="D354" s="82" t="s">
        <v>305</v>
      </c>
      <c r="E354" s="69">
        <v>21</v>
      </c>
      <c r="F354" s="74">
        <v>193.6549917625</v>
      </c>
      <c r="G354" s="74">
        <v>72.996418987500007</v>
      </c>
      <c r="H354" s="74">
        <v>5599.67</v>
      </c>
    </row>
    <row r="355" spans="1:8" x14ac:dyDescent="0.25">
      <c r="A355" s="83" t="s">
        <v>671</v>
      </c>
      <c r="B355" s="69" t="s">
        <v>303</v>
      </c>
      <c r="C355" s="73" t="s">
        <v>584</v>
      </c>
      <c r="D355" s="82" t="s">
        <v>305</v>
      </c>
      <c r="E355" s="69">
        <v>21</v>
      </c>
      <c r="F355" s="74">
        <v>387.30813764999994</v>
      </c>
      <c r="G355" s="74">
        <v>145.99283797500001</v>
      </c>
      <c r="H355" s="74">
        <v>11199.32</v>
      </c>
    </row>
    <row r="356" spans="1:8" x14ac:dyDescent="0.25">
      <c r="A356" s="83" t="s">
        <v>672</v>
      </c>
      <c r="B356" s="69" t="s">
        <v>303</v>
      </c>
      <c r="C356" s="73" t="s">
        <v>673</v>
      </c>
      <c r="D356" s="82" t="s">
        <v>305</v>
      </c>
      <c r="E356" s="69">
        <v>21</v>
      </c>
      <c r="F356" s="74">
        <v>193.6549917625</v>
      </c>
      <c r="G356" s="74">
        <v>72.996418987500007</v>
      </c>
      <c r="H356" s="74">
        <v>5599.67</v>
      </c>
    </row>
    <row r="357" spans="1:8" x14ac:dyDescent="0.25">
      <c r="A357" s="76" t="s">
        <v>674</v>
      </c>
      <c r="B357" s="66"/>
      <c r="C357" s="78" t="s">
        <v>675</v>
      </c>
      <c r="D357" s="67"/>
      <c r="E357" s="67"/>
      <c r="F357" s="68"/>
      <c r="G357" s="68"/>
      <c r="H357" s="68">
        <v>155018.85999999999</v>
      </c>
    </row>
    <row r="358" spans="1:8" x14ac:dyDescent="0.25">
      <c r="A358" s="83" t="s">
        <v>676</v>
      </c>
      <c r="B358" s="69" t="s">
        <v>303</v>
      </c>
      <c r="C358" s="73" t="s">
        <v>677</v>
      </c>
      <c r="D358" s="82" t="s">
        <v>305</v>
      </c>
      <c r="E358" s="69">
        <v>12</v>
      </c>
      <c r="F358" s="74">
        <v>516.41085019999991</v>
      </c>
      <c r="G358" s="74">
        <v>194.65711730000001</v>
      </c>
      <c r="H358" s="74">
        <v>8532.81</v>
      </c>
    </row>
    <row r="359" spans="1:8" x14ac:dyDescent="0.25">
      <c r="A359" s="83" t="s">
        <v>678</v>
      </c>
      <c r="B359" s="69" t="s">
        <v>303</v>
      </c>
      <c r="C359" s="73" t="s">
        <v>590</v>
      </c>
      <c r="D359" s="82" t="s">
        <v>305</v>
      </c>
      <c r="E359" s="69">
        <v>12</v>
      </c>
      <c r="F359" s="74">
        <v>64.552279212499997</v>
      </c>
      <c r="G359" s="74">
        <v>24.332139662500001</v>
      </c>
      <c r="H359" s="74">
        <v>1066.6099999999999</v>
      </c>
    </row>
    <row r="360" spans="1:8" x14ac:dyDescent="0.25">
      <c r="A360" s="83" t="s">
        <v>679</v>
      </c>
      <c r="B360" s="69" t="s">
        <v>303</v>
      </c>
      <c r="C360" s="73" t="s">
        <v>592</v>
      </c>
      <c r="D360" s="82" t="s">
        <v>305</v>
      </c>
      <c r="E360" s="69">
        <v>12</v>
      </c>
      <c r="F360" s="74">
        <v>64.552279212499997</v>
      </c>
      <c r="G360" s="74">
        <v>24.332139662500001</v>
      </c>
      <c r="H360" s="74">
        <v>1066.6099999999999</v>
      </c>
    </row>
    <row r="361" spans="1:8" x14ac:dyDescent="0.25">
      <c r="A361" s="83" t="s">
        <v>680</v>
      </c>
      <c r="B361" s="69" t="s">
        <v>303</v>
      </c>
      <c r="C361" s="73" t="s">
        <v>681</v>
      </c>
      <c r="D361" s="82" t="s">
        <v>305</v>
      </c>
      <c r="E361" s="69">
        <v>12</v>
      </c>
      <c r="F361" s="74">
        <v>64.552279212499997</v>
      </c>
      <c r="G361" s="74">
        <v>24.332139662500001</v>
      </c>
      <c r="H361" s="74">
        <v>1066.6099999999999</v>
      </c>
    </row>
    <row r="362" spans="1:8" x14ac:dyDescent="0.25">
      <c r="A362" s="83" t="s">
        <v>682</v>
      </c>
      <c r="B362" s="69" t="s">
        <v>303</v>
      </c>
      <c r="C362" s="73" t="s">
        <v>595</v>
      </c>
      <c r="D362" s="82" t="s">
        <v>305</v>
      </c>
      <c r="E362" s="69">
        <v>12</v>
      </c>
      <c r="F362" s="74">
        <v>897.31262762349991</v>
      </c>
      <c r="G362" s="74">
        <v>232.06937825149998</v>
      </c>
      <c r="H362" s="74">
        <v>13552.58</v>
      </c>
    </row>
    <row r="363" spans="1:8" x14ac:dyDescent="0.25">
      <c r="A363" s="83" t="s">
        <v>683</v>
      </c>
      <c r="B363" s="69" t="s">
        <v>303</v>
      </c>
      <c r="C363" s="73" t="s">
        <v>597</v>
      </c>
      <c r="D363" s="82" t="s">
        <v>305</v>
      </c>
      <c r="E363" s="69">
        <v>12</v>
      </c>
      <c r="F363" s="74">
        <v>879.91282657699981</v>
      </c>
      <c r="G363" s="74">
        <v>550.76766379799994</v>
      </c>
      <c r="H363" s="74">
        <v>17168.16</v>
      </c>
    </row>
    <row r="364" spans="1:8" x14ac:dyDescent="0.25">
      <c r="A364" s="83" t="s">
        <v>684</v>
      </c>
      <c r="B364" s="69" t="s">
        <v>303</v>
      </c>
      <c r="C364" s="73" t="s">
        <v>597</v>
      </c>
      <c r="D364" s="82" t="s">
        <v>305</v>
      </c>
      <c r="E364" s="69">
        <v>12</v>
      </c>
      <c r="F364" s="74">
        <v>821.31367882699988</v>
      </c>
      <c r="G364" s="74">
        <v>444.08716404799998</v>
      </c>
      <c r="H364" s="74">
        <v>15184.81</v>
      </c>
    </row>
    <row r="365" spans="1:8" x14ac:dyDescent="0.25">
      <c r="A365" s="83" t="s">
        <v>685</v>
      </c>
      <c r="B365" s="69" t="s">
        <v>303</v>
      </c>
      <c r="C365" s="73" t="s">
        <v>599</v>
      </c>
      <c r="D365" s="82" t="s">
        <v>305</v>
      </c>
      <c r="E365" s="69">
        <v>12</v>
      </c>
      <c r="F365" s="74">
        <v>258.20542509999996</v>
      </c>
      <c r="G365" s="74">
        <v>97.328558650000005</v>
      </c>
      <c r="H365" s="74">
        <v>4266.3999999999996</v>
      </c>
    </row>
    <row r="366" spans="1:8" x14ac:dyDescent="0.25">
      <c r="A366" s="83" t="s">
        <v>686</v>
      </c>
      <c r="B366" s="69" t="s">
        <v>303</v>
      </c>
      <c r="C366" s="73" t="s">
        <v>601</v>
      </c>
      <c r="D366" s="82" t="s">
        <v>305</v>
      </c>
      <c r="E366" s="69">
        <v>12</v>
      </c>
      <c r="F366" s="74">
        <v>96.827495881250002</v>
      </c>
      <c r="G366" s="74">
        <v>36.498209493750004</v>
      </c>
      <c r="H366" s="74">
        <v>1599.9</v>
      </c>
    </row>
    <row r="367" spans="1:8" x14ac:dyDescent="0.25">
      <c r="A367" s="83" t="s">
        <v>687</v>
      </c>
      <c r="B367" s="69" t="s">
        <v>303</v>
      </c>
      <c r="C367" s="73" t="s">
        <v>532</v>
      </c>
      <c r="D367" s="82" t="s">
        <v>305</v>
      </c>
      <c r="E367" s="69">
        <v>12</v>
      </c>
      <c r="F367" s="74">
        <v>96.827495881250002</v>
      </c>
      <c r="G367" s="74">
        <v>36.498209493750004</v>
      </c>
      <c r="H367" s="74">
        <v>1599.9</v>
      </c>
    </row>
    <row r="368" spans="1:8" x14ac:dyDescent="0.25">
      <c r="A368" s="83" t="s">
        <v>688</v>
      </c>
      <c r="B368" s="69" t="s">
        <v>303</v>
      </c>
      <c r="C368" s="73" t="s">
        <v>605</v>
      </c>
      <c r="D368" s="82" t="s">
        <v>305</v>
      </c>
      <c r="E368" s="69">
        <v>12</v>
      </c>
      <c r="F368" s="74">
        <v>516.41085019999991</v>
      </c>
      <c r="G368" s="74">
        <v>194.65711730000001</v>
      </c>
      <c r="H368" s="74">
        <v>8532.81</v>
      </c>
    </row>
    <row r="369" spans="1:8" x14ac:dyDescent="0.25">
      <c r="A369" s="83" t="s">
        <v>689</v>
      </c>
      <c r="B369" s="69" t="s">
        <v>303</v>
      </c>
      <c r="C369" s="73" t="s">
        <v>339</v>
      </c>
      <c r="D369" s="82" t="s">
        <v>305</v>
      </c>
      <c r="E369" s="69">
        <v>12</v>
      </c>
      <c r="F369" s="74">
        <v>516.41085019999991</v>
      </c>
      <c r="G369" s="74">
        <v>194.65711730000001</v>
      </c>
      <c r="H369" s="74">
        <v>8532.81</v>
      </c>
    </row>
    <row r="370" spans="1:8" x14ac:dyDescent="0.25">
      <c r="A370" s="83" t="s">
        <v>690</v>
      </c>
      <c r="B370" s="69" t="s">
        <v>303</v>
      </c>
      <c r="C370" s="73" t="s">
        <v>379</v>
      </c>
      <c r="D370" s="82" t="s">
        <v>305</v>
      </c>
      <c r="E370" s="69">
        <v>12</v>
      </c>
      <c r="F370" s="74">
        <v>129.10271254999998</v>
      </c>
      <c r="G370" s="74">
        <v>48.664279325000003</v>
      </c>
      <c r="H370" s="74">
        <v>2133.1999999999998</v>
      </c>
    </row>
    <row r="371" spans="1:8" x14ac:dyDescent="0.25">
      <c r="A371" s="83" t="s">
        <v>691</v>
      </c>
      <c r="B371" s="69" t="s">
        <v>303</v>
      </c>
      <c r="C371" s="73" t="s">
        <v>590</v>
      </c>
      <c r="D371" s="82" t="s">
        <v>305</v>
      </c>
      <c r="E371" s="69">
        <v>12</v>
      </c>
      <c r="F371" s="74">
        <v>129.10271254999998</v>
      </c>
      <c r="G371" s="74">
        <v>48.664279325000003</v>
      </c>
      <c r="H371" s="74">
        <v>2133.1999999999998</v>
      </c>
    </row>
    <row r="372" spans="1:8" x14ac:dyDescent="0.25">
      <c r="A372" s="83" t="s">
        <v>692</v>
      </c>
      <c r="B372" s="69" t="s">
        <v>303</v>
      </c>
      <c r="C372" s="73" t="s">
        <v>693</v>
      </c>
      <c r="D372" s="82" t="s">
        <v>305</v>
      </c>
      <c r="E372" s="69">
        <v>12</v>
      </c>
      <c r="F372" s="74">
        <v>129.10271254999998</v>
      </c>
      <c r="G372" s="74">
        <v>48.664279325000003</v>
      </c>
      <c r="H372" s="74">
        <v>2133.1999999999998</v>
      </c>
    </row>
    <row r="373" spans="1:8" x14ac:dyDescent="0.25">
      <c r="A373" s="83" t="s">
        <v>694</v>
      </c>
      <c r="B373" s="69" t="s">
        <v>303</v>
      </c>
      <c r="C373" s="73" t="s">
        <v>599</v>
      </c>
      <c r="D373" s="82" t="s">
        <v>305</v>
      </c>
      <c r="E373" s="69">
        <v>12</v>
      </c>
      <c r="F373" s="74">
        <v>516.41085019999991</v>
      </c>
      <c r="G373" s="74">
        <v>194.65711730000001</v>
      </c>
      <c r="H373" s="74">
        <v>8532.81</v>
      </c>
    </row>
    <row r="374" spans="1:8" x14ac:dyDescent="0.25">
      <c r="A374" s="83" t="s">
        <v>695</v>
      </c>
      <c r="B374" s="69" t="s">
        <v>303</v>
      </c>
      <c r="C374" s="73" t="s">
        <v>615</v>
      </c>
      <c r="D374" s="82" t="s">
        <v>305</v>
      </c>
      <c r="E374" s="69">
        <v>12</v>
      </c>
      <c r="F374" s="74">
        <v>129.10271254999998</v>
      </c>
      <c r="G374" s="74">
        <v>48.664279325000003</v>
      </c>
      <c r="H374" s="74">
        <v>2133.1999999999998</v>
      </c>
    </row>
    <row r="375" spans="1:8" x14ac:dyDescent="0.25">
      <c r="A375" s="83" t="s">
        <v>696</v>
      </c>
      <c r="B375" s="69" t="s">
        <v>303</v>
      </c>
      <c r="C375" s="73" t="s">
        <v>697</v>
      </c>
      <c r="D375" s="82" t="s">
        <v>305</v>
      </c>
      <c r="E375" s="69">
        <v>12</v>
      </c>
      <c r="F375" s="74">
        <v>516.41085019999991</v>
      </c>
      <c r="G375" s="74">
        <v>194.65711730000001</v>
      </c>
      <c r="H375" s="74">
        <v>8532.81</v>
      </c>
    </row>
    <row r="376" spans="1:8" x14ac:dyDescent="0.25">
      <c r="A376" s="83" t="s">
        <v>698</v>
      </c>
      <c r="B376" s="69" t="s">
        <v>303</v>
      </c>
      <c r="C376" s="73" t="s">
        <v>699</v>
      </c>
      <c r="D376" s="82" t="s">
        <v>305</v>
      </c>
      <c r="E376" s="69">
        <v>12</v>
      </c>
      <c r="F376" s="74">
        <v>322.75770431249998</v>
      </c>
      <c r="G376" s="74">
        <v>121.6606983125</v>
      </c>
      <c r="H376" s="74">
        <v>5333.02</v>
      </c>
    </row>
    <row r="377" spans="1:8" x14ac:dyDescent="0.25">
      <c r="A377" s="83" t="s">
        <v>700</v>
      </c>
      <c r="B377" s="69" t="s">
        <v>303</v>
      </c>
      <c r="C377" s="73" t="s">
        <v>701</v>
      </c>
      <c r="D377" s="82" t="s">
        <v>305</v>
      </c>
      <c r="E377" s="69">
        <v>12</v>
      </c>
      <c r="F377" s="74">
        <v>77.461258354999998</v>
      </c>
      <c r="G377" s="74">
        <v>29.198936769999992</v>
      </c>
      <c r="H377" s="74">
        <v>1279.92</v>
      </c>
    </row>
    <row r="378" spans="1:8" x14ac:dyDescent="0.25">
      <c r="A378" s="83" t="s">
        <v>702</v>
      </c>
      <c r="B378" s="69" t="s">
        <v>303</v>
      </c>
      <c r="C378" s="73" t="s">
        <v>703</v>
      </c>
      <c r="D378" s="82" t="s">
        <v>305</v>
      </c>
      <c r="E378" s="69">
        <v>12</v>
      </c>
      <c r="F378" s="74">
        <v>516.41085019999991</v>
      </c>
      <c r="G378" s="74">
        <v>194.65711730000001</v>
      </c>
      <c r="H378" s="74">
        <v>8532.81</v>
      </c>
    </row>
    <row r="379" spans="1:8" x14ac:dyDescent="0.25">
      <c r="A379" s="83" t="s">
        <v>704</v>
      </c>
      <c r="B379" s="69" t="s">
        <v>303</v>
      </c>
      <c r="C379" s="73" t="s">
        <v>550</v>
      </c>
      <c r="D379" s="82" t="s">
        <v>305</v>
      </c>
      <c r="E379" s="69">
        <v>12</v>
      </c>
      <c r="F379" s="74">
        <v>64.552279212499997</v>
      </c>
      <c r="G379" s="74">
        <v>24.332139662500001</v>
      </c>
      <c r="H379" s="74">
        <v>1066.6099999999999</v>
      </c>
    </row>
    <row r="380" spans="1:8" x14ac:dyDescent="0.25">
      <c r="A380" s="83" t="s">
        <v>705</v>
      </c>
      <c r="B380" s="69" t="s">
        <v>303</v>
      </c>
      <c r="C380" s="73" t="s">
        <v>706</v>
      </c>
      <c r="D380" s="82" t="s">
        <v>305</v>
      </c>
      <c r="E380" s="69">
        <v>12</v>
      </c>
      <c r="F380" s="74">
        <v>64.552279212499997</v>
      </c>
      <c r="G380" s="74">
        <v>24.332139662500001</v>
      </c>
      <c r="H380" s="74">
        <v>1066.6099999999999</v>
      </c>
    </row>
    <row r="381" spans="1:8" x14ac:dyDescent="0.25">
      <c r="A381" s="83" t="s">
        <v>707</v>
      </c>
      <c r="B381" s="69" t="s">
        <v>303</v>
      </c>
      <c r="C381" s="73" t="s">
        <v>708</v>
      </c>
      <c r="D381" s="82" t="s">
        <v>305</v>
      </c>
      <c r="E381" s="69">
        <v>12</v>
      </c>
      <c r="F381" s="74">
        <v>96.827495881250002</v>
      </c>
      <c r="G381" s="74">
        <v>36.498209493750004</v>
      </c>
      <c r="H381" s="74">
        <v>1599.9</v>
      </c>
    </row>
    <row r="382" spans="1:8" x14ac:dyDescent="0.25">
      <c r="A382" s="83" t="s">
        <v>709</v>
      </c>
      <c r="B382" s="69" t="s">
        <v>303</v>
      </c>
      <c r="C382" s="73" t="s">
        <v>710</v>
      </c>
      <c r="D382" s="82" t="s">
        <v>305</v>
      </c>
      <c r="E382" s="69">
        <v>12</v>
      </c>
      <c r="F382" s="74">
        <v>38.730629177499999</v>
      </c>
      <c r="G382" s="74">
        <v>14.598545447499998</v>
      </c>
      <c r="H382" s="74">
        <v>639.95000000000005</v>
      </c>
    </row>
    <row r="383" spans="1:8" x14ac:dyDescent="0.25">
      <c r="A383" s="83" t="s">
        <v>711</v>
      </c>
      <c r="B383" s="69" t="s">
        <v>303</v>
      </c>
      <c r="C383" s="73" t="s">
        <v>712</v>
      </c>
      <c r="D383" s="82" t="s">
        <v>305</v>
      </c>
      <c r="E383" s="69">
        <v>12</v>
      </c>
      <c r="F383" s="74">
        <v>129.10271254999998</v>
      </c>
      <c r="G383" s="74">
        <v>48.664279325000003</v>
      </c>
      <c r="H383" s="74">
        <v>2133.1999999999998</v>
      </c>
    </row>
    <row r="384" spans="1:8" x14ac:dyDescent="0.25">
      <c r="A384" s="83" t="s">
        <v>713</v>
      </c>
      <c r="B384" s="69" t="s">
        <v>303</v>
      </c>
      <c r="C384" s="73" t="s">
        <v>714</v>
      </c>
      <c r="D384" s="82" t="s">
        <v>305</v>
      </c>
      <c r="E384" s="69">
        <v>12</v>
      </c>
      <c r="F384" s="74">
        <v>258.20542509999996</v>
      </c>
      <c r="G384" s="74">
        <v>97.328558650000005</v>
      </c>
      <c r="H384" s="74">
        <v>4266.3999999999996</v>
      </c>
    </row>
    <row r="385" spans="1:8" x14ac:dyDescent="0.25">
      <c r="A385" s="83" t="s">
        <v>715</v>
      </c>
      <c r="B385" s="69" t="s">
        <v>303</v>
      </c>
      <c r="C385" s="73" t="s">
        <v>417</v>
      </c>
      <c r="D385" s="82" t="s">
        <v>305</v>
      </c>
      <c r="E385" s="69">
        <v>12</v>
      </c>
      <c r="F385" s="74">
        <v>387.30813764999994</v>
      </c>
      <c r="G385" s="74">
        <v>145.99283797500001</v>
      </c>
      <c r="H385" s="74">
        <v>6399.61</v>
      </c>
    </row>
    <row r="386" spans="1:8" x14ac:dyDescent="0.25">
      <c r="A386" s="83" t="s">
        <v>716</v>
      </c>
      <c r="B386" s="69" t="s">
        <v>303</v>
      </c>
      <c r="C386" s="73" t="s">
        <v>638</v>
      </c>
      <c r="D386" s="82" t="s">
        <v>305</v>
      </c>
      <c r="E386" s="69">
        <v>12</v>
      </c>
      <c r="F386" s="74">
        <v>129.10271254999998</v>
      </c>
      <c r="G386" s="74">
        <v>48.664279325000003</v>
      </c>
      <c r="H386" s="74">
        <v>2133.1999999999998</v>
      </c>
    </row>
    <row r="387" spans="1:8" x14ac:dyDescent="0.25">
      <c r="A387" s="83" t="s">
        <v>717</v>
      </c>
      <c r="B387" s="69" t="s">
        <v>303</v>
      </c>
      <c r="C387" s="73" t="s">
        <v>718</v>
      </c>
      <c r="D387" s="82" t="s">
        <v>305</v>
      </c>
      <c r="E387" s="69">
        <v>12</v>
      </c>
      <c r="F387" s="74">
        <v>258.20542509999996</v>
      </c>
      <c r="G387" s="74">
        <v>97.328558650000005</v>
      </c>
      <c r="H387" s="74">
        <v>4266.3999999999996</v>
      </c>
    </row>
    <row r="388" spans="1:8" x14ac:dyDescent="0.25">
      <c r="A388" s="83" t="s">
        <v>719</v>
      </c>
      <c r="B388" s="69" t="s">
        <v>303</v>
      </c>
      <c r="C388" s="73" t="s">
        <v>720</v>
      </c>
      <c r="D388" s="82" t="s">
        <v>305</v>
      </c>
      <c r="E388" s="69">
        <v>12</v>
      </c>
      <c r="F388" s="74">
        <v>258.20542509999996</v>
      </c>
      <c r="G388" s="74">
        <v>97.328558650000005</v>
      </c>
      <c r="H388" s="74">
        <v>4266.3999999999996</v>
      </c>
    </row>
    <row r="389" spans="1:8" x14ac:dyDescent="0.25">
      <c r="A389" s="83" t="s">
        <v>721</v>
      </c>
      <c r="B389" s="69" t="s">
        <v>303</v>
      </c>
      <c r="C389" s="73" t="s">
        <v>722</v>
      </c>
      <c r="D389" s="82" t="s">
        <v>305</v>
      </c>
      <c r="E389" s="69">
        <v>12</v>
      </c>
      <c r="F389" s="74">
        <v>129.10271254999998</v>
      </c>
      <c r="G389" s="74">
        <v>48.664279325000003</v>
      </c>
      <c r="H389" s="74">
        <v>2133.1999999999998</v>
      </c>
    </row>
    <row r="390" spans="1:8" x14ac:dyDescent="0.25">
      <c r="A390" s="83" t="s">
        <v>723</v>
      </c>
      <c r="B390" s="69" t="s">
        <v>303</v>
      </c>
      <c r="C390" s="73" t="s">
        <v>645</v>
      </c>
      <c r="D390" s="82" t="s">
        <v>305</v>
      </c>
      <c r="E390" s="69">
        <v>12</v>
      </c>
      <c r="F390" s="74">
        <v>129.10271254999998</v>
      </c>
      <c r="G390" s="74">
        <v>48.664279325000003</v>
      </c>
      <c r="H390" s="74">
        <v>2133.1999999999998</v>
      </c>
    </row>
    <row r="391" spans="1:8" x14ac:dyDescent="0.25">
      <c r="A391" s="76" t="s">
        <v>724</v>
      </c>
      <c r="B391" s="66"/>
      <c r="C391" s="78" t="s">
        <v>725</v>
      </c>
      <c r="D391" s="67"/>
      <c r="E391" s="67"/>
      <c r="F391" s="68"/>
      <c r="G391" s="68"/>
      <c r="H391" s="68">
        <v>80443.359999999986</v>
      </c>
    </row>
    <row r="392" spans="1:8" x14ac:dyDescent="0.25">
      <c r="A392" s="83" t="s">
        <v>726</v>
      </c>
      <c r="B392" s="69" t="s">
        <v>303</v>
      </c>
      <c r="C392" s="73" t="s">
        <v>727</v>
      </c>
      <c r="D392" s="69" t="s">
        <v>305</v>
      </c>
      <c r="E392" s="69">
        <v>12</v>
      </c>
      <c r="F392" s="74">
        <v>516.41085019999991</v>
      </c>
      <c r="G392" s="74">
        <v>194.65711730000001</v>
      </c>
      <c r="H392" s="74">
        <v>8532.81</v>
      </c>
    </row>
    <row r="393" spans="1:8" x14ac:dyDescent="0.25">
      <c r="A393" s="83" t="s">
        <v>728</v>
      </c>
      <c r="B393" s="69" t="s">
        <v>303</v>
      </c>
      <c r="C393" s="73" t="s">
        <v>651</v>
      </c>
      <c r="D393" s="69" t="s">
        <v>305</v>
      </c>
      <c r="E393" s="69">
        <v>12</v>
      </c>
      <c r="F393" s="74">
        <v>193.6549917625</v>
      </c>
      <c r="G393" s="74">
        <v>72.996418987500007</v>
      </c>
      <c r="H393" s="74">
        <v>3199.81</v>
      </c>
    </row>
    <row r="394" spans="1:8" x14ac:dyDescent="0.25">
      <c r="A394" s="83" t="s">
        <v>729</v>
      </c>
      <c r="B394" s="69" t="s">
        <v>303</v>
      </c>
      <c r="C394" s="73" t="s">
        <v>653</v>
      </c>
      <c r="D394" s="69" t="s">
        <v>305</v>
      </c>
      <c r="E394" s="69">
        <v>12</v>
      </c>
      <c r="F394" s="74">
        <v>387.30813764999994</v>
      </c>
      <c r="G394" s="74">
        <v>145.99283797500001</v>
      </c>
      <c r="H394" s="74">
        <v>6399.61</v>
      </c>
    </row>
    <row r="395" spans="1:8" x14ac:dyDescent="0.25">
      <c r="A395" s="83" t="s">
        <v>730</v>
      </c>
      <c r="B395" s="69" t="s">
        <v>303</v>
      </c>
      <c r="C395" s="91" t="s">
        <v>731</v>
      </c>
      <c r="D395" s="69" t="s">
        <v>305</v>
      </c>
      <c r="E395" s="69">
        <v>12</v>
      </c>
      <c r="F395" s="74">
        <v>1032.8235462749999</v>
      </c>
      <c r="G395" s="74">
        <v>389.31238872500001</v>
      </c>
      <c r="H395" s="74">
        <v>17065.63</v>
      </c>
    </row>
    <row r="396" spans="1:8" x14ac:dyDescent="0.25">
      <c r="A396" s="83" t="s">
        <v>732</v>
      </c>
      <c r="B396" s="69" t="s">
        <v>303</v>
      </c>
      <c r="C396" s="91" t="s">
        <v>657</v>
      </c>
      <c r="D396" s="82" t="s">
        <v>305</v>
      </c>
      <c r="E396" s="69">
        <v>12</v>
      </c>
      <c r="F396" s="74">
        <v>129.10271254999998</v>
      </c>
      <c r="G396" s="74">
        <v>48.664279325000003</v>
      </c>
      <c r="H396" s="74">
        <v>2133.1999999999998</v>
      </c>
    </row>
    <row r="397" spans="1:8" x14ac:dyDescent="0.25">
      <c r="A397" s="83" t="s">
        <v>733</v>
      </c>
      <c r="B397" s="69" t="s">
        <v>303</v>
      </c>
      <c r="C397" s="73" t="s">
        <v>734</v>
      </c>
      <c r="D397" s="82" t="s">
        <v>305</v>
      </c>
      <c r="E397" s="69">
        <v>12</v>
      </c>
      <c r="F397" s="74">
        <v>129.10271254999998</v>
      </c>
      <c r="G397" s="74">
        <v>48.664279325000003</v>
      </c>
      <c r="H397" s="74">
        <v>2133.1999999999998</v>
      </c>
    </row>
    <row r="398" spans="1:8" x14ac:dyDescent="0.25">
      <c r="A398" s="83" t="s">
        <v>735</v>
      </c>
      <c r="B398" s="69" t="s">
        <v>303</v>
      </c>
      <c r="C398" s="73" t="s">
        <v>736</v>
      </c>
      <c r="D398" s="82" t="s">
        <v>305</v>
      </c>
      <c r="E398" s="69">
        <v>12</v>
      </c>
      <c r="F398" s="74">
        <v>96.827495881250002</v>
      </c>
      <c r="G398" s="74">
        <v>36.498209493750004</v>
      </c>
      <c r="H398" s="74">
        <v>1599.9</v>
      </c>
    </row>
    <row r="399" spans="1:8" x14ac:dyDescent="0.25">
      <c r="A399" s="83" t="s">
        <v>737</v>
      </c>
      <c r="B399" s="69" t="s">
        <v>303</v>
      </c>
      <c r="C399" s="91" t="s">
        <v>663</v>
      </c>
      <c r="D399" s="82" t="s">
        <v>305</v>
      </c>
      <c r="E399" s="69">
        <v>12</v>
      </c>
      <c r="F399" s="74">
        <v>193.6549917625</v>
      </c>
      <c r="G399" s="74">
        <v>72.996418987500007</v>
      </c>
      <c r="H399" s="74">
        <v>3199.81</v>
      </c>
    </row>
    <row r="400" spans="1:8" x14ac:dyDescent="0.25">
      <c r="A400" s="83" t="s">
        <v>738</v>
      </c>
      <c r="B400" s="69" t="s">
        <v>303</v>
      </c>
      <c r="C400" s="91" t="s">
        <v>665</v>
      </c>
      <c r="D400" s="82" t="s">
        <v>305</v>
      </c>
      <c r="E400" s="69">
        <v>12</v>
      </c>
      <c r="F400" s="74">
        <v>129.10271254999998</v>
      </c>
      <c r="G400" s="74">
        <v>48.664279325000003</v>
      </c>
      <c r="H400" s="74">
        <v>2133.1999999999998</v>
      </c>
    </row>
    <row r="401" spans="1:8" x14ac:dyDescent="0.25">
      <c r="A401" s="83" t="s">
        <v>739</v>
      </c>
      <c r="B401" s="69" t="s">
        <v>303</v>
      </c>
      <c r="C401" s="91" t="s">
        <v>740</v>
      </c>
      <c r="D401" s="82" t="s">
        <v>305</v>
      </c>
      <c r="E401" s="69">
        <v>12</v>
      </c>
      <c r="F401" s="74">
        <v>903.72083372500003</v>
      </c>
      <c r="G401" s="74">
        <v>340.64810939999995</v>
      </c>
      <c r="H401" s="74">
        <v>14932.42</v>
      </c>
    </row>
    <row r="402" spans="1:8" x14ac:dyDescent="0.25">
      <c r="A402" s="83" t="s">
        <v>741</v>
      </c>
      <c r="B402" s="69" t="s">
        <v>303</v>
      </c>
      <c r="C402" s="91" t="s">
        <v>479</v>
      </c>
      <c r="D402" s="82" t="s">
        <v>305</v>
      </c>
      <c r="E402" s="69">
        <v>12</v>
      </c>
      <c r="F402" s="74">
        <v>193.6549917625</v>
      </c>
      <c r="G402" s="74">
        <v>72.996418987500007</v>
      </c>
      <c r="H402" s="74">
        <v>3199.81</v>
      </c>
    </row>
    <row r="403" spans="1:8" x14ac:dyDescent="0.25">
      <c r="A403" s="83" t="s">
        <v>742</v>
      </c>
      <c r="B403" s="69" t="s">
        <v>303</v>
      </c>
      <c r="C403" s="73" t="s">
        <v>743</v>
      </c>
      <c r="D403" s="82" t="s">
        <v>305</v>
      </c>
      <c r="E403" s="69">
        <v>12</v>
      </c>
      <c r="F403" s="74">
        <v>193.6549917625</v>
      </c>
      <c r="G403" s="74">
        <v>72.996418987500007</v>
      </c>
      <c r="H403" s="74">
        <v>3199.81</v>
      </c>
    </row>
    <row r="404" spans="1:8" x14ac:dyDescent="0.25">
      <c r="A404" s="83" t="s">
        <v>744</v>
      </c>
      <c r="B404" s="69" t="s">
        <v>303</v>
      </c>
      <c r="C404" s="73" t="s">
        <v>745</v>
      </c>
      <c r="D404" s="82" t="s">
        <v>305</v>
      </c>
      <c r="E404" s="69">
        <v>12</v>
      </c>
      <c r="F404" s="74">
        <v>62.789653174999991</v>
      </c>
      <c r="G404" s="74">
        <v>19.004759824999997</v>
      </c>
      <c r="H404" s="74">
        <v>981.53</v>
      </c>
    </row>
    <row r="405" spans="1:8" x14ac:dyDescent="0.25">
      <c r="A405" s="83" t="s">
        <v>746</v>
      </c>
      <c r="B405" s="69" t="s">
        <v>303</v>
      </c>
      <c r="C405" s="73" t="s">
        <v>673</v>
      </c>
      <c r="D405" s="82" t="s">
        <v>305</v>
      </c>
      <c r="E405" s="69">
        <v>12</v>
      </c>
      <c r="F405" s="74">
        <v>193.6549917625</v>
      </c>
      <c r="G405" s="74">
        <v>72.996418987500007</v>
      </c>
      <c r="H405" s="74">
        <v>3199.81</v>
      </c>
    </row>
    <row r="406" spans="1:8" x14ac:dyDescent="0.25">
      <c r="A406" s="83" t="s">
        <v>747</v>
      </c>
      <c r="B406" s="69" t="s">
        <v>303</v>
      </c>
      <c r="C406" s="73" t="s">
        <v>748</v>
      </c>
      <c r="D406" s="82" t="s">
        <v>305</v>
      </c>
      <c r="E406" s="69">
        <v>12</v>
      </c>
      <c r="F406" s="74">
        <v>516.41085019999991</v>
      </c>
      <c r="G406" s="74">
        <v>194.65711730000001</v>
      </c>
      <c r="H406" s="74">
        <v>8532.81</v>
      </c>
    </row>
    <row r="407" spans="1:8" x14ac:dyDescent="0.25">
      <c r="A407" s="76" t="s">
        <v>749</v>
      </c>
      <c r="B407" s="66"/>
      <c r="C407" s="67" t="s">
        <v>750</v>
      </c>
      <c r="D407" s="67"/>
      <c r="E407" s="67"/>
      <c r="F407" s="68"/>
      <c r="G407" s="68"/>
      <c r="H407" s="68">
        <v>136554.90999999995</v>
      </c>
    </row>
    <row r="408" spans="1:8" x14ac:dyDescent="0.25">
      <c r="A408" s="83" t="s">
        <v>751</v>
      </c>
      <c r="B408" s="69" t="s">
        <v>303</v>
      </c>
      <c r="C408" s="73" t="s">
        <v>588</v>
      </c>
      <c r="D408" s="82" t="s">
        <v>305</v>
      </c>
      <c r="E408" s="77">
        <v>11</v>
      </c>
      <c r="F408" s="74">
        <v>516.41085020000003</v>
      </c>
      <c r="G408" s="74">
        <v>194.65711730000001</v>
      </c>
      <c r="H408" s="74">
        <v>7821.74</v>
      </c>
    </row>
    <row r="409" spans="1:8" x14ac:dyDescent="0.25">
      <c r="A409" s="83" t="s">
        <v>752</v>
      </c>
      <c r="B409" s="69" t="s">
        <v>303</v>
      </c>
      <c r="C409" s="73" t="s">
        <v>590</v>
      </c>
      <c r="D409" s="82" t="s">
        <v>305</v>
      </c>
      <c r="E409" s="77">
        <v>11</v>
      </c>
      <c r="F409" s="74">
        <v>64.552279212499997</v>
      </c>
      <c r="G409" s="74">
        <v>24.332139662500001</v>
      </c>
      <c r="H409" s="74">
        <v>977.72</v>
      </c>
    </row>
    <row r="410" spans="1:8" x14ac:dyDescent="0.25">
      <c r="A410" s="83" t="s">
        <v>753</v>
      </c>
      <c r="B410" s="69" t="s">
        <v>303</v>
      </c>
      <c r="C410" s="73" t="s">
        <v>592</v>
      </c>
      <c r="D410" s="82" t="s">
        <v>305</v>
      </c>
      <c r="E410" s="77">
        <v>11</v>
      </c>
      <c r="F410" s="74">
        <v>64.552279212499997</v>
      </c>
      <c r="G410" s="74">
        <v>24.332139662500001</v>
      </c>
      <c r="H410" s="74">
        <v>977.72</v>
      </c>
    </row>
    <row r="411" spans="1:8" x14ac:dyDescent="0.25">
      <c r="A411" s="83" t="s">
        <v>754</v>
      </c>
      <c r="B411" s="69" t="s">
        <v>303</v>
      </c>
      <c r="C411" s="73" t="s">
        <v>681</v>
      </c>
      <c r="D411" s="82" t="s">
        <v>305</v>
      </c>
      <c r="E411" s="77">
        <v>11</v>
      </c>
      <c r="F411" s="74">
        <v>64.552279212499997</v>
      </c>
      <c r="G411" s="74">
        <v>24.332139662500001</v>
      </c>
      <c r="H411" s="74">
        <v>977.72</v>
      </c>
    </row>
    <row r="412" spans="1:8" x14ac:dyDescent="0.25">
      <c r="A412" s="83" t="s">
        <v>755</v>
      </c>
      <c r="B412" s="69" t="s">
        <v>303</v>
      </c>
      <c r="C412" s="73" t="s">
        <v>756</v>
      </c>
      <c r="D412" s="82" t="s">
        <v>305</v>
      </c>
      <c r="E412" s="77">
        <v>11</v>
      </c>
      <c r="F412" s="74">
        <v>1112.4840908575</v>
      </c>
      <c r="G412" s="74">
        <v>273.41916376749998</v>
      </c>
      <c r="H412" s="74">
        <v>15244.93</v>
      </c>
    </row>
    <row r="413" spans="1:8" x14ac:dyDescent="0.25">
      <c r="A413" s="83" t="s">
        <v>757</v>
      </c>
      <c r="B413" s="69" t="s">
        <v>303</v>
      </c>
      <c r="C413" s="73" t="s">
        <v>758</v>
      </c>
      <c r="D413" s="82" t="s">
        <v>305</v>
      </c>
      <c r="E413" s="77">
        <v>11</v>
      </c>
      <c r="F413" s="74">
        <v>879.91282657699981</v>
      </c>
      <c r="G413" s="74">
        <v>550.76766379799994</v>
      </c>
      <c r="H413" s="74">
        <v>15737.48</v>
      </c>
    </row>
    <row r="414" spans="1:8" x14ac:dyDescent="0.25">
      <c r="A414" s="83" t="s">
        <v>759</v>
      </c>
      <c r="B414" s="69" t="s">
        <v>303</v>
      </c>
      <c r="C414" s="73" t="s">
        <v>760</v>
      </c>
      <c r="D414" s="82" t="s">
        <v>305</v>
      </c>
      <c r="E414" s="77">
        <v>11</v>
      </c>
      <c r="F414" s="74">
        <v>283.38317486699998</v>
      </c>
      <c r="G414" s="74">
        <v>340.71639200799996</v>
      </c>
      <c r="H414" s="74">
        <v>6865.09</v>
      </c>
    </row>
    <row r="415" spans="1:8" x14ac:dyDescent="0.25">
      <c r="A415" s="92" t="s">
        <v>761</v>
      </c>
      <c r="B415" s="69" t="s">
        <v>303</v>
      </c>
      <c r="C415" s="73" t="s">
        <v>601</v>
      </c>
      <c r="D415" s="82" t="s">
        <v>305</v>
      </c>
      <c r="E415" s="77">
        <v>11</v>
      </c>
      <c r="F415" s="74">
        <v>258.20542510000001</v>
      </c>
      <c r="G415" s="74">
        <v>97.328558650000005</v>
      </c>
      <c r="H415" s="74">
        <v>3910.87</v>
      </c>
    </row>
    <row r="416" spans="1:8" x14ac:dyDescent="0.25">
      <c r="A416" s="83" t="s">
        <v>762</v>
      </c>
      <c r="B416" s="69" t="s">
        <v>303</v>
      </c>
      <c r="C416" s="73" t="s">
        <v>763</v>
      </c>
      <c r="D416" s="82" t="s">
        <v>305</v>
      </c>
      <c r="E416" s="77">
        <v>11</v>
      </c>
      <c r="F416" s="74">
        <v>96.827495881250002</v>
      </c>
      <c r="G416" s="74">
        <v>36.498209493750004</v>
      </c>
      <c r="H416" s="74">
        <v>1466.58</v>
      </c>
    </row>
    <row r="417" spans="1:8" x14ac:dyDescent="0.25">
      <c r="A417" s="83" t="s">
        <v>764</v>
      </c>
      <c r="B417" s="69" t="s">
        <v>303</v>
      </c>
      <c r="C417" s="73" t="s">
        <v>765</v>
      </c>
      <c r="D417" s="82" t="s">
        <v>305</v>
      </c>
      <c r="E417" s="77">
        <v>11</v>
      </c>
      <c r="F417" s="74">
        <v>129.10271255000001</v>
      </c>
      <c r="G417" s="74">
        <v>48.664279325000003</v>
      </c>
      <c r="H417" s="74">
        <v>1955.43</v>
      </c>
    </row>
    <row r="418" spans="1:8" x14ac:dyDescent="0.25">
      <c r="A418" s="83" t="s">
        <v>766</v>
      </c>
      <c r="B418" s="69" t="s">
        <v>303</v>
      </c>
      <c r="C418" s="73" t="s">
        <v>588</v>
      </c>
      <c r="D418" s="82" t="s">
        <v>305</v>
      </c>
      <c r="E418" s="77">
        <v>11</v>
      </c>
      <c r="F418" s="74">
        <v>516.41085020000003</v>
      </c>
      <c r="G418" s="74">
        <v>194.65711730000001</v>
      </c>
      <c r="H418" s="74">
        <v>7821.74</v>
      </c>
    </row>
    <row r="419" spans="1:8" x14ac:dyDescent="0.25">
      <c r="A419" s="83" t="s">
        <v>767</v>
      </c>
      <c r="B419" s="69" t="s">
        <v>303</v>
      </c>
      <c r="C419" s="73" t="s">
        <v>608</v>
      </c>
      <c r="D419" s="82" t="s">
        <v>305</v>
      </c>
      <c r="E419" s="77">
        <v>11</v>
      </c>
      <c r="F419" s="74">
        <v>516.41085020000003</v>
      </c>
      <c r="G419" s="74">
        <v>194.65711730000001</v>
      </c>
      <c r="H419" s="74">
        <v>7821.74</v>
      </c>
    </row>
    <row r="420" spans="1:8" x14ac:dyDescent="0.25">
      <c r="A420" s="83" t="s">
        <v>768</v>
      </c>
      <c r="B420" s="69" t="s">
        <v>303</v>
      </c>
      <c r="C420" s="73" t="s">
        <v>590</v>
      </c>
      <c r="D420" s="82" t="s">
        <v>305</v>
      </c>
      <c r="E420" s="77">
        <v>11</v>
      </c>
      <c r="F420" s="74">
        <v>129.10271255000001</v>
      </c>
      <c r="G420" s="74">
        <v>48.664279325000003</v>
      </c>
      <c r="H420" s="74">
        <v>1955.43</v>
      </c>
    </row>
    <row r="421" spans="1:8" x14ac:dyDescent="0.25">
      <c r="A421" s="83" t="s">
        <v>769</v>
      </c>
      <c r="B421" s="69" t="s">
        <v>303</v>
      </c>
      <c r="C421" s="73" t="s">
        <v>611</v>
      </c>
      <c r="D421" s="82" t="s">
        <v>305</v>
      </c>
      <c r="E421" s="77">
        <v>11</v>
      </c>
      <c r="F421" s="74">
        <v>129.10271255000001</v>
      </c>
      <c r="G421" s="74">
        <v>48.664279325000003</v>
      </c>
      <c r="H421" s="74">
        <v>1955.43</v>
      </c>
    </row>
    <row r="422" spans="1:8" x14ac:dyDescent="0.25">
      <c r="A422" s="83" t="s">
        <v>770</v>
      </c>
      <c r="B422" s="69" t="s">
        <v>303</v>
      </c>
      <c r="C422" s="73" t="s">
        <v>613</v>
      </c>
      <c r="D422" s="82" t="s">
        <v>305</v>
      </c>
      <c r="E422" s="77">
        <v>11</v>
      </c>
      <c r="F422" s="74">
        <v>129.10271255000001</v>
      </c>
      <c r="G422" s="74">
        <v>48.664279325000003</v>
      </c>
      <c r="H422" s="74">
        <v>1955.43</v>
      </c>
    </row>
    <row r="423" spans="1:8" x14ac:dyDescent="0.25">
      <c r="A423" s="92" t="s">
        <v>771</v>
      </c>
      <c r="B423" s="69" t="s">
        <v>303</v>
      </c>
      <c r="C423" s="73" t="s">
        <v>772</v>
      </c>
      <c r="D423" s="82" t="s">
        <v>305</v>
      </c>
      <c r="E423" s="77">
        <v>11</v>
      </c>
      <c r="F423" s="74">
        <v>516.41085020000003</v>
      </c>
      <c r="G423" s="74">
        <v>194.65711730000001</v>
      </c>
      <c r="H423" s="74">
        <v>7821.74</v>
      </c>
    </row>
    <row r="424" spans="1:8" x14ac:dyDescent="0.25">
      <c r="A424" s="83" t="s">
        <v>773</v>
      </c>
      <c r="B424" s="69" t="s">
        <v>303</v>
      </c>
      <c r="C424" s="73" t="s">
        <v>617</v>
      </c>
      <c r="D424" s="82" t="s">
        <v>305</v>
      </c>
      <c r="E424" s="77">
        <v>11</v>
      </c>
      <c r="F424" s="74">
        <v>129.10271255000001</v>
      </c>
      <c r="G424" s="74">
        <v>48.664279325000003</v>
      </c>
      <c r="H424" s="74">
        <v>1955.43</v>
      </c>
    </row>
    <row r="425" spans="1:8" x14ac:dyDescent="0.25">
      <c r="A425" s="83" t="s">
        <v>774</v>
      </c>
      <c r="B425" s="69" t="s">
        <v>303</v>
      </c>
      <c r="C425" s="73" t="s">
        <v>775</v>
      </c>
      <c r="D425" s="82" t="s">
        <v>305</v>
      </c>
      <c r="E425" s="77">
        <v>11</v>
      </c>
      <c r="F425" s="74">
        <v>516.41085020000003</v>
      </c>
      <c r="G425" s="74">
        <v>194.65711730000001</v>
      </c>
      <c r="H425" s="74">
        <v>7821.74</v>
      </c>
    </row>
    <row r="426" spans="1:8" x14ac:dyDescent="0.25">
      <c r="A426" s="83" t="s">
        <v>776</v>
      </c>
      <c r="B426" s="69" t="s">
        <v>303</v>
      </c>
      <c r="C426" s="73" t="s">
        <v>621</v>
      </c>
      <c r="D426" s="82" t="s">
        <v>305</v>
      </c>
      <c r="E426" s="77">
        <v>11</v>
      </c>
      <c r="F426" s="74">
        <v>322.75770431249998</v>
      </c>
      <c r="G426" s="74">
        <v>121.6606983125</v>
      </c>
      <c r="H426" s="74">
        <v>4888.6000000000004</v>
      </c>
    </row>
    <row r="427" spans="1:8" x14ac:dyDescent="0.25">
      <c r="A427" s="83" t="s">
        <v>777</v>
      </c>
      <c r="B427" s="69" t="s">
        <v>303</v>
      </c>
      <c r="C427" s="73" t="s">
        <v>623</v>
      </c>
      <c r="D427" s="82" t="s">
        <v>305</v>
      </c>
      <c r="E427" s="77">
        <v>11</v>
      </c>
      <c r="F427" s="74">
        <v>77.461258354999998</v>
      </c>
      <c r="G427" s="74">
        <v>29.198936769999996</v>
      </c>
      <c r="H427" s="74">
        <v>1173.26</v>
      </c>
    </row>
    <row r="428" spans="1:8" x14ac:dyDescent="0.25">
      <c r="A428" s="83" t="s">
        <v>778</v>
      </c>
      <c r="B428" s="69" t="s">
        <v>303</v>
      </c>
      <c r="C428" s="73" t="s">
        <v>550</v>
      </c>
      <c r="D428" s="82" t="s">
        <v>305</v>
      </c>
      <c r="E428" s="77">
        <v>11</v>
      </c>
      <c r="F428" s="74">
        <v>516.41085020000003</v>
      </c>
      <c r="G428" s="74">
        <v>194.65711730000001</v>
      </c>
      <c r="H428" s="74">
        <v>7821.74</v>
      </c>
    </row>
    <row r="429" spans="1:8" x14ac:dyDescent="0.25">
      <c r="A429" s="83" t="s">
        <v>779</v>
      </c>
      <c r="B429" s="69" t="s">
        <v>303</v>
      </c>
      <c r="C429" s="73" t="s">
        <v>626</v>
      </c>
      <c r="D429" s="82" t="s">
        <v>305</v>
      </c>
      <c r="E429" s="77">
        <v>11</v>
      </c>
      <c r="F429" s="74">
        <v>64.552279212499997</v>
      </c>
      <c r="G429" s="74">
        <v>24.332139662500001</v>
      </c>
      <c r="H429" s="74">
        <v>977.72</v>
      </c>
    </row>
    <row r="430" spans="1:8" x14ac:dyDescent="0.25">
      <c r="A430" s="83" t="s">
        <v>780</v>
      </c>
      <c r="B430" s="69" t="s">
        <v>303</v>
      </c>
      <c r="C430" s="73" t="s">
        <v>628</v>
      </c>
      <c r="D430" s="82" t="s">
        <v>305</v>
      </c>
      <c r="E430" s="77">
        <v>11</v>
      </c>
      <c r="F430" s="74">
        <v>64.552279212499997</v>
      </c>
      <c r="G430" s="74">
        <v>24.332139662500001</v>
      </c>
      <c r="H430" s="74">
        <v>977.72</v>
      </c>
    </row>
    <row r="431" spans="1:8" x14ac:dyDescent="0.25">
      <c r="A431" s="92" t="s">
        <v>781</v>
      </c>
      <c r="B431" s="69" t="s">
        <v>303</v>
      </c>
      <c r="C431" s="73" t="s">
        <v>630</v>
      </c>
      <c r="D431" s="82" t="s">
        <v>305</v>
      </c>
      <c r="E431" s="77">
        <v>11</v>
      </c>
      <c r="F431" s="74">
        <v>108.53329678124999</v>
      </c>
      <c r="G431" s="74">
        <v>38.747223593749993</v>
      </c>
      <c r="H431" s="74">
        <v>1620.08</v>
      </c>
    </row>
    <row r="432" spans="1:8" x14ac:dyDescent="0.25">
      <c r="A432" s="83" t="s">
        <v>782</v>
      </c>
      <c r="B432" s="69" t="s">
        <v>303</v>
      </c>
      <c r="C432" s="73" t="s">
        <v>632</v>
      </c>
      <c r="D432" s="82" t="s">
        <v>305</v>
      </c>
      <c r="E432" s="77">
        <v>11</v>
      </c>
      <c r="F432" s="74">
        <v>38.730629177499999</v>
      </c>
      <c r="G432" s="74">
        <v>14.598545447499999</v>
      </c>
      <c r="H432" s="74">
        <v>586.62</v>
      </c>
    </row>
    <row r="433" spans="1:8" x14ac:dyDescent="0.25">
      <c r="A433" s="83" t="s">
        <v>783</v>
      </c>
      <c r="B433" s="69" t="s">
        <v>303</v>
      </c>
      <c r="C433" s="73" t="s">
        <v>634</v>
      </c>
      <c r="D433" s="82" t="s">
        <v>305</v>
      </c>
      <c r="E433" s="77">
        <v>11</v>
      </c>
      <c r="F433" s="74">
        <v>129.10271255000001</v>
      </c>
      <c r="G433" s="74">
        <v>48.664279325000003</v>
      </c>
      <c r="H433" s="74">
        <v>1955.43</v>
      </c>
    </row>
    <row r="434" spans="1:8" x14ac:dyDescent="0.25">
      <c r="A434" s="83" t="s">
        <v>784</v>
      </c>
      <c r="B434" s="69" t="s">
        <v>303</v>
      </c>
      <c r="C434" s="73" t="s">
        <v>636</v>
      </c>
      <c r="D434" s="82" t="s">
        <v>305</v>
      </c>
      <c r="E434" s="77">
        <v>11</v>
      </c>
      <c r="F434" s="74">
        <v>258.20542510000001</v>
      </c>
      <c r="G434" s="74">
        <v>97.328558650000005</v>
      </c>
      <c r="H434" s="74">
        <v>3910.87</v>
      </c>
    </row>
    <row r="435" spans="1:8" x14ac:dyDescent="0.25">
      <c r="A435" s="83" t="s">
        <v>785</v>
      </c>
      <c r="B435" s="69" t="s">
        <v>303</v>
      </c>
      <c r="C435" s="73" t="s">
        <v>638</v>
      </c>
      <c r="D435" s="82" t="s">
        <v>305</v>
      </c>
      <c r="E435" s="77">
        <v>11</v>
      </c>
      <c r="F435" s="74">
        <v>387.30813764999994</v>
      </c>
      <c r="G435" s="74">
        <v>145.99283797500001</v>
      </c>
      <c r="H435" s="74">
        <v>5866.31</v>
      </c>
    </row>
    <row r="436" spans="1:8" x14ac:dyDescent="0.25">
      <c r="A436" s="83" t="s">
        <v>786</v>
      </c>
      <c r="B436" s="69" t="s">
        <v>303</v>
      </c>
      <c r="C436" s="73" t="s">
        <v>787</v>
      </c>
      <c r="D436" s="82" t="s">
        <v>305</v>
      </c>
      <c r="E436" s="77">
        <v>11</v>
      </c>
      <c r="F436" s="74">
        <v>129.10271255000001</v>
      </c>
      <c r="G436" s="74">
        <v>48.664279325000003</v>
      </c>
      <c r="H436" s="74">
        <v>1955.43</v>
      </c>
    </row>
    <row r="437" spans="1:8" x14ac:dyDescent="0.25">
      <c r="A437" s="83" t="s">
        <v>788</v>
      </c>
      <c r="B437" s="69" t="s">
        <v>303</v>
      </c>
      <c r="C437" s="73" t="s">
        <v>641</v>
      </c>
      <c r="D437" s="82" t="s">
        <v>305</v>
      </c>
      <c r="E437" s="77">
        <v>11</v>
      </c>
      <c r="F437" s="74">
        <v>258.20542510000001</v>
      </c>
      <c r="G437" s="74">
        <v>97.328558650000005</v>
      </c>
      <c r="H437" s="74">
        <v>3910.87</v>
      </c>
    </row>
    <row r="438" spans="1:8" x14ac:dyDescent="0.25">
      <c r="A438" s="83" t="s">
        <v>789</v>
      </c>
      <c r="B438" s="69" t="s">
        <v>303</v>
      </c>
      <c r="C438" s="73" t="s">
        <v>643</v>
      </c>
      <c r="D438" s="82" t="s">
        <v>305</v>
      </c>
      <c r="E438" s="77">
        <v>11</v>
      </c>
      <c r="F438" s="74">
        <v>258.20542510000001</v>
      </c>
      <c r="G438" s="74">
        <v>97.328558650000005</v>
      </c>
      <c r="H438" s="74">
        <v>3910.87</v>
      </c>
    </row>
    <row r="439" spans="1:8" x14ac:dyDescent="0.25">
      <c r="A439" s="83" t="s">
        <v>790</v>
      </c>
      <c r="B439" s="69" t="s">
        <v>303</v>
      </c>
      <c r="C439" s="73" t="s">
        <v>645</v>
      </c>
      <c r="D439" s="82" t="s">
        <v>305</v>
      </c>
      <c r="E439" s="77">
        <v>11</v>
      </c>
      <c r="F439" s="74">
        <v>129.10271255000001</v>
      </c>
      <c r="G439" s="74">
        <v>48.664279325000003</v>
      </c>
      <c r="H439" s="74">
        <v>1955.43</v>
      </c>
    </row>
    <row r="440" spans="1:8" x14ac:dyDescent="0.25">
      <c r="A440" s="76" t="s">
        <v>791</v>
      </c>
      <c r="B440" s="66"/>
      <c r="C440" s="67" t="s">
        <v>792</v>
      </c>
      <c r="D440" s="67"/>
      <c r="E440" s="67"/>
      <c r="F440" s="68"/>
      <c r="G440" s="68"/>
      <c r="H440" s="68">
        <v>74377.710000000006</v>
      </c>
    </row>
    <row r="441" spans="1:8" x14ac:dyDescent="0.25">
      <c r="A441" s="83" t="s">
        <v>793</v>
      </c>
      <c r="B441" s="69" t="s">
        <v>303</v>
      </c>
      <c r="C441" s="73" t="s">
        <v>727</v>
      </c>
      <c r="D441" s="82" t="s">
        <v>305</v>
      </c>
      <c r="E441" s="77">
        <v>11</v>
      </c>
      <c r="F441" s="74">
        <v>516.41085020000003</v>
      </c>
      <c r="G441" s="74">
        <v>194.65711730000001</v>
      </c>
      <c r="H441" s="74">
        <v>7821.74</v>
      </c>
    </row>
    <row r="442" spans="1:8" x14ac:dyDescent="0.25">
      <c r="A442" s="83" t="s">
        <v>794</v>
      </c>
      <c r="B442" s="69" t="s">
        <v>303</v>
      </c>
      <c r="C442" s="91" t="s">
        <v>651</v>
      </c>
      <c r="D442" s="82" t="s">
        <v>305</v>
      </c>
      <c r="E442" s="77">
        <v>11</v>
      </c>
      <c r="F442" s="74">
        <v>193.6549917625</v>
      </c>
      <c r="G442" s="74">
        <v>72.996418987500007</v>
      </c>
      <c r="H442" s="74">
        <v>2933.16</v>
      </c>
    </row>
    <row r="443" spans="1:8" x14ac:dyDescent="0.25">
      <c r="A443" s="83" t="s">
        <v>795</v>
      </c>
      <c r="B443" s="69" t="s">
        <v>303</v>
      </c>
      <c r="C443" s="91" t="s">
        <v>796</v>
      </c>
      <c r="D443" s="82" t="s">
        <v>305</v>
      </c>
      <c r="E443" s="77">
        <v>11</v>
      </c>
      <c r="F443" s="74">
        <v>387.30813764999994</v>
      </c>
      <c r="G443" s="74">
        <v>145.99283797500001</v>
      </c>
      <c r="H443" s="74">
        <v>5866.31</v>
      </c>
    </row>
    <row r="444" spans="1:8" x14ac:dyDescent="0.25">
      <c r="A444" s="83" t="s">
        <v>797</v>
      </c>
      <c r="B444" s="69" t="s">
        <v>303</v>
      </c>
      <c r="C444" s="91" t="s">
        <v>798</v>
      </c>
      <c r="D444" s="82" t="s">
        <v>305</v>
      </c>
      <c r="E444" s="77">
        <v>11</v>
      </c>
      <c r="F444" s="74">
        <v>1677.9225255000001</v>
      </c>
      <c r="G444" s="74">
        <v>513.27876949999995</v>
      </c>
      <c r="H444" s="74">
        <v>24103.21</v>
      </c>
    </row>
    <row r="445" spans="1:8" x14ac:dyDescent="0.25">
      <c r="A445" s="83" t="s">
        <v>799</v>
      </c>
      <c r="B445" s="69" t="s">
        <v>303</v>
      </c>
      <c r="C445" s="91" t="s">
        <v>800</v>
      </c>
      <c r="D445" s="82" t="s">
        <v>305</v>
      </c>
      <c r="E445" s="77">
        <v>11</v>
      </c>
      <c r="F445" s="74">
        <v>129.10271255000001</v>
      </c>
      <c r="G445" s="74">
        <v>48.664279325000003</v>
      </c>
      <c r="H445" s="74">
        <v>1955.43</v>
      </c>
    </row>
    <row r="446" spans="1:8" x14ac:dyDescent="0.25">
      <c r="A446" s="83" t="s">
        <v>801</v>
      </c>
      <c r="B446" s="69" t="s">
        <v>303</v>
      </c>
      <c r="C446" s="73" t="s">
        <v>802</v>
      </c>
      <c r="D446" s="82" t="s">
        <v>305</v>
      </c>
      <c r="E446" s="77">
        <v>11</v>
      </c>
      <c r="F446" s="74">
        <v>129.10271255000001</v>
      </c>
      <c r="G446" s="74">
        <v>48.664279325000003</v>
      </c>
      <c r="H446" s="74">
        <v>1955.43</v>
      </c>
    </row>
    <row r="447" spans="1:8" x14ac:dyDescent="0.25">
      <c r="A447" s="83" t="s">
        <v>803</v>
      </c>
      <c r="B447" s="69" t="s">
        <v>303</v>
      </c>
      <c r="C447" s="73" t="s">
        <v>804</v>
      </c>
      <c r="D447" s="82" t="s">
        <v>305</v>
      </c>
      <c r="E447" s="77">
        <v>11</v>
      </c>
      <c r="F447" s="74">
        <v>96.827495881250002</v>
      </c>
      <c r="G447" s="74">
        <v>36.498209493750004</v>
      </c>
      <c r="H447" s="74">
        <v>1466.58</v>
      </c>
    </row>
    <row r="448" spans="1:8" x14ac:dyDescent="0.25">
      <c r="A448" s="83" t="s">
        <v>805</v>
      </c>
      <c r="B448" s="69" t="s">
        <v>303</v>
      </c>
      <c r="C448" s="73" t="s">
        <v>806</v>
      </c>
      <c r="D448" s="82" t="s">
        <v>305</v>
      </c>
      <c r="E448" s="77">
        <v>11</v>
      </c>
      <c r="F448" s="74">
        <v>193.6549917625</v>
      </c>
      <c r="G448" s="74">
        <v>72.996418987500007</v>
      </c>
      <c r="H448" s="74">
        <v>2933.16</v>
      </c>
    </row>
    <row r="449" spans="1:8" x14ac:dyDescent="0.25">
      <c r="A449" s="83" t="s">
        <v>807</v>
      </c>
      <c r="B449" s="69" t="s">
        <v>303</v>
      </c>
      <c r="C449" s="73" t="s">
        <v>808</v>
      </c>
      <c r="D449" s="82" t="s">
        <v>305</v>
      </c>
      <c r="E449" s="77">
        <v>11</v>
      </c>
      <c r="F449" s="74">
        <v>129.10271255000001</v>
      </c>
      <c r="G449" s="74">
        <v>48.664279325000003</v>
      </c>
      <c r="H449" s="74">
        <v>1955.43</v>
      </c>
    </row>
    <row r="450" spans="1:8" x14ac:dyDescent="0.25">
      <c r="A450" s="83" t="s">
        <v>809</v>
      </c>
      <c r="B450" s="69" t="s">
        <v>303</v>
      </c>
      <c r="C450" s="73" t="s">
        <v>810</v>
      </c>
      <c r="D450" s="82" t="s">
        <v>305</v>
      </c>
      <c r="E450" s="77">
        <v>11</v>
      </c>
      <c r="F450" s="74">
        <v>903.72083372499981</v>
      </c>
      <c r="G450" s="74">
        <v>340.64810939999995</v>
      </c>
      <c r="H450" s="74">
        <v>13688.05</v>
      </c>
    </row>
    <row r="451" spans="1:8" x14ac:dyDescent="0.25">
      <c r="A451" s="83" t="s">
        <v>811</v>
      </c>
      <c r="B451" s="69" t="s">
        <v>303</v>
      </c>
      <c r="C451" s="73" t="s">
        <v>812</v>
      </c>
      <c r="D451" s="82" t="s">
        <v>305</v>
      </c>
      <c r="E451" s="77">
        <v>11</v>
      </c>
      <c r="F451" s="74">
        <v>193.6549917625</v>
      </c>
      <c r="G451" s="74">
        <v>72.996418987500007</v>
      </c>
      <c r="H451" s="74">
        <v>2933.16</v>
      </c>
    </row>
    <row r="452" spans="1:8" x14ac:dyDescent="0.25">
      <c r="A452" s="83" t="s">
        <v>813</v>
      </c>
      <c r="B452" s="69" t="s">
        <v>303</v>
      </c>
      <c r="C452" s="73" t="s">
        <v>670</v>
      </c>
      <c r="D452" s="82" t="s">
        <v>305</v>
      </c>
      <c r="E452" s="77">
        <v>11</v>
      </c>
      <c r="F452" s="74">
        <v>193.6549917625</v>
      </c>
      <c r="G452" s="74">
        <v>72.996418987500007</v>
      </c>
      <c r="H452" s="74">
        <v>2933.16</v>
      </c>
    </row>
    <row r="453" spans="1:8" x14ac:dyDescent="0.25">
      <c r="A453" s="83" t="s">
        <v>814</v>
      </c>
      <c r="B453" s="69" t="s">
        <v>303</v>
      </c>
      <c r="C453" s="73" t="s">
        <v>745</v>
      </c>
      <c r="D453" s="82" t="s">
        <v>305</v>
      </c>
      <c r="E453" s="77">
        <v>11</v>
      </c>
      <c r="F453" s="74">
        <v>62.789653174999991</v>
      </c>
      <c r="G453" s="74">
        <v>19.004759824999997</v>
      </c>
      <c r="H453" s="74">
        <v>899.73</v>
      </c>
    </row>
    <row r="454" spans="1:8" x14ac:dyDescent="0.25">
      <c r="A454" s="83" t="s">
        <v>815</v>
      </c>
      <c r="B454" s="69" t="s">
        <v>303</v>
      </c>
      <c r="C454" s="73" t="s">
        <v>673</v>
      </c>
      <c r="D454" s="82" t="s">
        <v>305</v>
      </c>
      <c r="E454" s="77">
        <v>11</v>
      </c>
      <c r="F454" s="74">
        <v>193.6549917625</v>
      </c>
      <c r="G454" s="74">
        <v>72.996418987500007</v>
      </c>
      <c r="H454" s="74">
        <v>2933.16</v>
      </c>
    </row>
    <row r="455" spans="1:8" x14ac:dyDescent="0.25">
      <c r="A455" s="76" t="s">
        <v>816</v>
      </c>
      <c r="B455" s="66"/>
      <c r="C455" s="67" t="s">
        <v>817</v>
      </c>
      <c r="D455" s="67"/>
      <c r="E455" s="67"/>
      <c r="F455" s="68"/>
      <c r="G455" s="68"/>
      <c r="H455" s="68">
        <v>133165.14000000001</v>
      </c>
    </row>
    <row r="456" spans="1:8" x14ac:dyDescent="0.25">
      <c r="A456" s="83" t="s">
        <v>818</v>
      </c>
      <c r="B456" s="69" t="s">
        <v>303</v>
      </c>
      <c r="C456" s="73" t="s">
        <v>819</v>
      </c>
      <c r="D456" s="82" t="s">
        <v>305</v>
      </c>
      <c r="E456" s="77">
        <v>22</v>
      </c>
      <c r="F456" s="74">
        <v>516.41085020000003</v>
      </c>
      <c r="G456" s="74">
        <v>194.65711730000001</v>
      </c>
      <c r="H456" s="74">
        <v>15643.49</v>
      </c>
    </row>
    <row r="457" spans="1:8" x14ac:dyDescent="0.25">
      <c r="A457" s="83" t="s">
        <v>820</v>
      </c>
      <c r="B457" s="69" t="s">
        <v>303</v>
      </c>
      <c r="C457" s="73" t="s">
        <v>821</v>
      </c>
      <c r="D457" s="82" t="s">
        <v>305</v>
      </c>
      <c r="E457" s="77">
        <v>22</v>
      </c>
      <c r="F457" s="74">
        <v>64.552279212499997</v>
      </c>
      <c r="G457" s="74">
        <v>24.332139662500001</v>
      </c>
      <c r="H457" s="74">
        <v>1955.45</v>
      </c>
    </row>
    <row r="458" spans="1:8" x14ac:dyDescent="0.25">
      <c r="A458" s="83" t="s">
        <v>822</v>
      </c>
      <c r="B458" s="69" t="s">
        <v>303</v>
      </c>
      <c r="C458" s="73" t="s">
        <v>823</v>
      </c>
      <c r="D458" s="82" t="s">
        <v>305</v>
      </c>
      <c r="E458" s="77">
        <v>22</v>
      </c>
      <c r="F458" s="74">
        <v>1032.8235462750001</v>
      </c>
      <c r="G458" s="74">
        <v>389.31238872500001</v>
      </c>
      <c r="H458" s="74">
        <v>31286.99</v>
      </c>
    </row>
    <row r="459" spans="1:8" x14ac:dyDescent="0.25">
      <c r="A459" s="83" t="s">
        <v>824</v>
      </c>
      <c r="B459" s="69" t="s">
        <v>303</v>
      </c>
      <c r="C459" s="73" t="s">
        <v>825</v>
      </c>
      <c r="D459" s="82" t="s">
        <v>305</v>
      </c>
      <c r="E459" s="77">
        <v>22</v>
      </c>
      <c r="F459" s="74">
        <v>516.41085020000003</v>
      </c>
      <c r="G459" s="74">
        <v>194.65711730000001</v>
      </c>
      <c r="H459" s="74">
        <v>15643.49</v>
      </c>
    </row>
    <row r="460" spans="1:8" x14ac:dyDescent="0.25">
      <c r="A460" s="83" t="s">
        <v>826</v>
      </c>
      <c r="B460" s="69" t="s">
        <v>303</v>
      </c>
      <c r="C460" s="73" t="s">
        <v>638</v>
      </c>
      <c r="D460" s="82" t="s">
        <v>305</v>
      </c>
      <c r="E460" s="77">
        <v>22</v>
      </c>
      <c r="F460" s="74">
        <v>193.6549917625</v>
      </c>
      <c r="G460" s="74">
        <v>72.996418987500007</v>
      </c>
      <c r="H460" s="74">
        <v>5866.33</v>
      </c>
    </row>
    <row r="461" spans="1:8" x14ac:dyDescent="0.25">
      <c r="A461" s="83" t="s">
        <v>827</v>
      </c>
      <c r="B461" s="69" t="s">
        <v>303</v>
      </c>
      <c r="C461" s="73" t="s">
        <v>479</v>
      </c>
      <c r="D461" s="82" t="s">
        <v>305</v>
      </c>
      <c r="E461" s="77">
        <v>22</v>
      </c>
      <c r="F461" s="74">
        <v>129.10271255000001</v>
      </c>
      <c r="G461" s="74">
        <v>48.664279325000003</v>
      </c>
      <c r="H461" s="74">
        <v>3910.87</v>
      </c>
    </row>
    <row r="462" spans="1:8" x14ac:dyDescent="0.25">
      <c r="A462" s="83" t="s">
        <v>828</v>
      </c>
      <c r="B462" s="69" t="s">
        <v>303</v>
      </c>
      <c r="C462" s="73" t="s">
        <v>829</v>
      </c>
      <c r="D462" s="82" t="s">
        <v>305</v>
      </c>
      <c r="E462" s="77">
        <v>22</v>
      </c>
      <c r="F462" s="74">
        <v>258.20542510000001</v>
      </c>
      <c r="G462" s="74">
        <v>97.328558650000005</v>
      </c>
      <c r="H462" s="74">
        <v>7821.74</v>
      </c>
    </row>
    <row r="463" spans="1:8" x14ac:dyDescent="0.25">
      <c r="A463" s="83" t="s">
        <v>830</v>
      </c>
      <c r="B463" s="69" t="s">
        <v>303</v>
      </c>
      <c r="C463" s="73" t="s">
        <v>831</v>
      </c>
      <c r="D463" s="82" t="s">
        <v>305</v>
      </c>
      <c r="E463" s="77">
        <v>22</v>
      </c>
      <c r="F463" s="74">
        <v>258.20542510000001</v>
      </c>
      <c r="G463" s="74">
        <v>97.328558650000005</v>
      </c>
      <c r="H463" s="74">
        <v>7821.74</v>
      </c>
    </row>
    <row r="464" spans="1:8" x14ac:dyDescent="0.25">
      <c r="A464" s="83" t="s">
        <v>832</v>
      </c>
      <c r="B464" s="69" t="s">
        <v>303</v>
      </c>
      <c r="C464" s="73" t="s">
        <v>638</v>
      </c>
      <c r="D464" s="82" t="s">
        <v>305</v>
      </c>
      <c r="E464" s="77">
        <v>22</v>
      </c>
      <c r="F464" s="74">
        <v>96.827495881250002</v>
      </c>
      <c r="G464" s="74">
        <v>36.498209493750004</v>
      </c>
      <c r="H464" s="74">
        <v>2933.16</v>
      </c>
    </row>
    <row r="465" spans="1:8" x14ac:dyDescent="0.25">
      <c r="A465" s="83" t="s">
        <v>833</v>
      </c>
      <c r="B465" s="69" t="s">
        <v>303</v>
      </c>
      <c r="C465" s="73" t="s">
        <v>834</v>
      </c>
      <c r="D465" s="82" t="s">
        <v>305</v>
      </c>
      <c r="E465" s="77">
        <v>22</v>
      </c>
      <c r="F465" s="74">
        <v>154.92436258499998</v>
      </c>
      <c r="G465" s="74">
        <v>58.396027664999998</v>
      </c>
      <c r="H465" s="74">
        <v>4693.04</v>
      </c>
    </row>
    <row r="466" spans="1:8" x14ac:dyDescent="0.25">
      <c r="A466" s="83" t="s">
        <v>835</v>
      </c>
      <c r="B466" s="69" t="s">
        <v>303</v>
      </c>
      <c r="C466" s="73" t="s">
        <v>836</v>
      </c>
      <c r="D466" s="82" t="s">
        <v>305</v>
      </c>
      <c r="E466" s="77">
        <v>22</v>
      </c>
      <c r="F466" s="74">
        <v>38.730629177499999</v>
      </c>
      <c r="G466" s="74">
        <v>14.598545447499999</v>
      </c>
      <c r="H466" s="74">
        <v>1173.24</v>
      </c>
    </row>
    <row r="467" spans="1:8" x14ac:dyDescent="0.25">
      <c r="A467" s="83" t="s">
        <v>837</v>
      </c>
      <c r="B467" s="69" t="s">
        <v>303</v>
      </c>
      <c r="C467" s="73" t="s">
        <v>838</v>
      </c>
      <c r="D467" s="82" t="s">
        <v>305</v>
      </c>
      <c r="E467" s="77">
        <v>22</v>
      </c>
      <c r="F467" s="74">
        <v>129.10271255000001</v>
      </c>
      <c r="G467" s="74">
        <v>48.664279325000003</v>
      </c>
      <c r="H467" s="74">
        <v>3910.87</v>
      </c>
    </row>
    <row r="468" spans="1:8" x14ac:dyDescent="0.25">
      <c r="A468" s="83" t="s">
        <v>839</v>
      </c>
      <c r="B468" s="69" t="s">
        <v>303</v>
      </c>
      <c r="C468" s="73" t="s">
        <v>840</v>
      </c>
      <c r="D468" s="82" t="s">
        <v>305</v>
      </c>
      <c r="E468" s="77">
        <v>22</v>
      </c>
      <c r="F468" s="74">
        <v>129.10271255000001</v>
      </c>
      <c r="G468" s="74">
        <v>48.664279325000003</v>
      </c>
      <c r="H468" s="74">
        <v>3910.87</v>
      </c>
    </row>
    <row r="469" spans="1:8" x14ac:dyDescent="0.25">
      <c r="A469" s="83" t="s">
        <v>841</v>
      </c>
      <c r="B469" s="69" t="s">
        <v>303</v>
      </c>
      <c r="C469" s="73" t="s">
        <v>842</v>
      </c>
      <c r="D469" s="82" t="s">
        <v>305</v>
      </c>
      <c r="E469" s="77">
        <v>22</v>
      </c>
      <c r="F469" s="74">
        <v>51.641454194999994</v>
      </c>
      <c r="G469" s="74">
        <v>19.465342554999999</v>
      </c>
      <c r="H469" s="74">
        <v>1564.34</v>
      </c>
    </row>
    <row r="470" spans="1:8" x14ac:dyDescent="0.25">
      <c r="A470" s="83" t="s">
        <v>843</v>
      </c>
      <c r="B470" s="69" t="s">
        <v>303</v>
      </c>
      <c r="C470" s="73" t="s">
        <v>844</v>
      </c>
      <c r="D470" s="82" t="s">
        <v>305</v>
      </c>
      <c r="E470" s="77">
        <v>22</v>
      </c>
      <c r="F470" s="74">
        <v>103.28290838999999</v>
      </c>
      <c r="G470" s="74">
        <v>38.930685109999999</v>
      </c>
      <c r="H470" s="74">
        <v>3128.69</v>
      </c>
    </row>
    <row r="471" spans="1:8" x14ac:dyDescent="0.25">
      <c r="A471" s="83" t="s">
        <v>845</v>
      </c>
      <c r="B471" s="69" t="s">
        <v>303</v>
      </c>
      <c r="C471" s="73" t="s">
        <v>846</v>
      </c>
      <c r="D471" s="82" t="s">
        <v>305</v>
      </c>
      <c r="E471" s="77">
        <v>22</v>
      </c>
      <c r="F471" s="74">
        <v>38.730629177499999</v>
      </c>
      <c r="G471" s="74">
        <v>14.598545447499999</v>
      </c>
      <c r="H471" s="74">
        <v>1173.24</v>
      </c>
    </row>
    <row r="472" spans="1:8" x14ac:dyDescent="0.25">
      <c r="A472" s="83" t="s">
        <v>847</v>
      </c>
      <c r="B472" s="69" t="s">
        <v>303</v>
      </c>
      <c r="C472" s="73" t="s">
        <v>848</v>
      </c>
      <c r="D472" s="82" t="s">
        <v>305</v>
      </c>
      <c r="E472" s="77">
        <v>22</v>
      </c>
      <c r="F472" s="74">
        <v>38.730629177499999</v>
      </c>
      <c r="G472" s="74">
        <v>14.598545447499999</v>
      </c>
      <c r="H472" s="74">
        <v>1173.24</v>
      </c>
    </row>
    <row r="473" spans="1:8" x14ac:dyDescent="0.25">
      <c r="A473" s="83" t="s">
        <v>849</v>
      </c>
      <c r="B473" s="69" t="s">
        <v>303</v>
      </c>
      <c r="C473" s="73" t="s">
        <v>850</v>
      </c>
      <c r="D473" s="82" t="s">
        <v>305</v>
      </c>
      <c r="E473" s="77">
        <v>22</v>
      </c>
      <c r="F473" s="74">
        <v>129.10271255000001</v>
      </c>
      <c r="G473" s="74">
        <v>48.664279325000003</v>
      </c>
      <c r="H473" s="74">
        <v>3910.87</v>
      </c>
    </row>
    <row r="474" spans="1:8" x14ac:dyDescent="0.25">
      <c r="A474" s="83" t="s">
        <v>851</v>
      </c>
      <c r="B474" s="69" t="s">
        <v>303</v>
      </c>
      <c r="C474" s="73" t="s">
        <v>852</v>
      </c>
      <c r="D474" s="82" t="s">
        <v>305</v>
      </c>
      <c r="E474" s="77">
        <v>22</v>
      </c>
      <c r="F474" s="74">
        <v>129.10271255000001</v>
      </c>
      <c r="G474" s="74">
        <v>48.664279325000003</v>
      </c>
      <c r="H474" s="74">
        <v>3910.87</v>
      </c>
    </row>
    <row r="475" spans="1:8" x14ac:dyDescent="0.25">
      <c r="A475" s="83" t="s">
        <v>853</v>
      </c>
      <c r="B475" s="69" t="s">
        <v>303</v>
      </c>
      <c r="C475" s="73" t="s">
        <v>854</v>
      </c>
      <c r="D475" s="82" t="s">
        <v>305</v>
      </c>
      <c r="E475" s="77">
        <v>22</v>
      </c>
      <c r="F475" s="74">
        <v>258.20542510000001</v>
      </c>
      <c r="G475" s="74">
        <v>97.328558650000005</v>
      </c>
      <c r="H475" s="74">
        <v>7821.74</v>
      </c>
    </row>
    <row r="476" spans="1:8" x14ac:dyDescent="0.25">
      <c r="A476" s="83" t="s">
        <v>855</v>
      </c>
      <c r="B476" s="69" t="s">
        <v>303</v>
      </c>
      <c r="C476" s="73" t="s">
        <v>856</v>
      </c>
      <c r="D476" s="82" t="s">
        <v>305</v>
      </c>
      <c r="E476" s="77">
        <v>22</v>
      </c>
      <c r="F476" s="74">
        <v>129.10271255000001</v>
      </c>
      <c r="G476" s="74">
        <v>48.664279325000003</v>
      </c>
      <c r="H476" s="74">
        <v>3910.87</v>
      </c>
    </row>
    <row r="477" spans="1:8" x14ac:dyDescent="0.25">
      <c r="A477" s="66" t="s">
        <v>857</v>
      </c>
      <c r="B477" s="66"/>
      <c r="C477" s="67" t="s">
        <v>858</v>
      </c>
      <c r="D477" s="67"/>
      <c r="E477" s="67"/>
      <c r="F477" s="68"/>
      <c r="G477" s="68"/>
      <c r="H477" s="68">
        <v>50841.42</v>
      </c>
    </row>
    <row r="478" spans="1:8" x14ac:dyDescent="0.25">
      <c r="A478" s="81" t="s">
        <v>859</v>
      </c>
      <c r="B478" s="69" t="s">
        <v>303</v>
      </c>
      <c r="C478" s="73" t="s">
        <v>651</v>
      </c>
      <c r="D478" s="82" t="s">
        <v>305</v>
      </c>
      <c r="E478" s="77">
        <v>22</v>
      </c>
      <c r="F478" s="74">
        <v>193.6549917625</v>
      </c>
      <c r="G478" s="74">
        <v>72.996418987500007</v>
      </c>
      <c r="H478" s="74">
        <v>5866.33</v>
      </c>
    </row>
    <row r="479" spans="1:8" x14ac:dyDescent="0.25">
      <c r="A479" s="81" t="s">
        <v>860</v>
      </c>
      <c r="B479" s="69" t="s">
        <v>303</v>
      </c>
      <c r="C479" s="73" t="s">
        <v>861</v>
      </c>
      <c r="D479" s="82" t="s">
        <v>305</v>
      </c>
      <c r="E479" s="77">
        <v>22</v>
      </c>
      <c r="F479" s="74">
        <v>193.6549917625</v>
      </c>
      <c r="G479" s="74">
        <v>72.996418987500007</v>
      </c>
      <c r="H479" s="74">
        <v>5866.33</v>
      </c>
    </row>
    <row r="480" spans="1:8" x14ac:dyDescent="0.25">
      <c r="A480" s="81" t="s">
        <v>862</v>
      </c>
      <c r="B480" s="69" t="s">
        <v>303</v>
      </c>
      <c r="C480" s="73" t="s">
        <v>863</v>
      </c>
      <c r="D480" s="82" t="s">
        <v>305</v>
      </c>
      <c r="E480" s="77">
        <v>22</v>
      </c>
      <c r="F480" s="74">
        <v>387.30813764999994</v>
      </c>
      <c r="G480" s="74">
        <v>145.99283797500001</v>
      </c>
      <c r="H480" s="74">
        <v>11732.62</v>
      </c>
    </row>
    <row r="481" spans="1:8" x14ac:dyDescent="0.25">
      <c r="A481" s="81" t="s">
        <v>864</v>
      </c>
      <c r="B481" s="69" t="s">
        <v>303</v>
      </c>
      <c r="C481" s="73" t="s">
        <v>865</v>
      </c>
      <c r="D481" s="82" t="s">
        <v>305</v>
      </c>
      <c r="E481" s="77">
        <v>22</v>
      </c>
      <c r="F481" s="74">
        <v>516.41085020000003</v>
      </c>
      <c r="G481" s="74">
        <v>194.65711730000001</v>
      </c>
      <c r="H481" s="74">
        <v>15643.49</v>
      </c>
    </row>
    <row r="482" spans="1:8" x14ac:dyDescent="0.25">
      <c r="A482" s="81" t="s">
        <v>866</v>
      </c>
      <c r="B482" s="69" t="s">
        <v>303</v>
      </c>
      <c r="C482" s="73" t="s">
        <v>867</v>
      </c>
      <c r="D482" s="82" t="s">
        <v>305</v>
      </c>
      <c r="E482" s="77">
        <v>22</v>
      </c>
      <c r="F482" s="74">
        <v>193.6549917625</v>
      </c>
      <c r="G482" s="74">
        <v>72.996418987500007</v>
      </c>
      <c r="H482" s="74">
        <v>5866.33</v>
      </c>
    </row>
    <row r="483" spans="1:8" x14ac:dyDescent="0.25">
      <c r="A483" s="81" t="s">
        <v>868</v>
      </c>
      <c r="B483" s="69" t="s">
        <v>303</v>
      </c>
      <c r="C483" s="73" t="s">
        <v>869</v>
      </c>
      <c r="D483" s="82" t="s">
        <v>305</v>
      </c>
      <c r="E483" s="77">
        <v>22</v>
      </c>
      <c r="F483" s="74">
        <v>129.10271255000001</v>
      </c>
      <c r="G483" s="74">
        <v>48.664279325000003</v>
      </c>
      <c r="H483" s="74">
        <v>3910.87</v>
      </c>
    </row>
    <row r="484" spans="1:8" x14ac:dyDescent="0.25">
      <c r="A484" s="81" t="s">
        <v>870</v>
      </c>
      <c r="B484" s="69" t="s">
        <v>303</v>
      </c>
      <c r="C484" s="73" t="s">
        <v>871</v>
      </c>
      <c r="D484" s="82" t="s">
        <v>305</v>
      </c>
      <c r="E484" s="77">
        <v>22</v>
      </c>
      <c r="F484" s="74">
        <v>64.552279212499997</v>
      </c>
      <c r="G484" s="74">
        <v>24.332139662500001</v>
      </c>
      <c r="H484" s="74">
        <v>1955.45</v>
      </c>
    </row>
    <row r="485" spans="1:8" x14ac:dyDescent="0.25">
      <c r="A485" s="66" t="s">
        <v>872</v>
      </c>
      <c r="B485" s="66"/>
      <c r="C485" s="78" t="s">
        <v>873</v>
      </c>
      <c r="D485" s="67"/>
      <c r="E485" s="67"/>
      <c r="F485" s="68"/>
      <c r="G485" s="68"/>
      <c r="H485" s="68">
        <v>150608.1</v>
      </c>
    </row>
    <row r="486" spans="1:8" x14ac:dyDescent="0.25">
      <c r="A486" s="81" t="s">
        <v>874</v>
      </c>
      <c r="B486" s="69" t="s">
        <v>303</v>
      </c>
      <c r="C486" s="73" t="s">
        <v>819</v>
      </c>
      <c r="D486" s="82" t="s">
        <v>305</v>
      </c>
      <c r="E486" s="77">
        <v>22</v>
      </c>
      <c r="F486" s="74">
        <v>516.41085020000003</v>
      </c>
      <c r="G486" s="74">
        <v>194.65711730000001</v>
      </c>
      <c r="H486" s="74">
        <v>15643.49</v>
      </c>
    </row>
    <row r="487" spans="1:8" x14ac:dyDescent="0.25">
      <c r="A487" s="81" t="s">
        <v>875</v>
      </c>
      <c r="B487" s="69" t="s">
        <v>303</v>
      </c>
      <c r="C487" s="73" t="s">
        <v>821</v>
      </c>
      <c r="D487" s="82" t="s">
        <v>305</v>
      </c>
      <c r="E487" s="77">
        <v>22</v>
      </c>
      <c r="F487" s="74">
        <v>64.552279212499997</v>
      </c>
      <c r="G487" s="74">
        <v>24.332139662500001</v>
      </c>
      <c r="H487" s="74">
        <v>1955.45</v>
      </c>
    </row>
    <row r="488" spans="1:8" x14ac:dyDescent="0.25">
      <c r="A488" s="81" t="s">
        <v>876</v>
      </c>
      <c r="B488" s="69" t="s">
        <v>303</v>
      </c>
      <c r="C488" s="73" t="s">
        <v>823</v>
      </c>
      <c r="D488" s="82" t="s">
        <v>305</v>
      </c>
      <c r="E488" s="77">
        <v>22</v>
      </c>
      <c r="F488" s="74">
        <v>1032.8235462750001</v>
      </c>
      <c r="G488" s="74">
        <v>389.31238872500001</v>
      </c>
      <c r="H488" s="74">
        <v>31286.99</v>
      </c>
    </row>
    <row r="489" spans="1:8" x14ac:dyDescent="0.25">
      <c r="A489" s="81" t="s">
        <v>877</v>
      </c>
      <c r="B489" s="69" t="s">
        <v>303</v>
      </c>
      <c r="C489" s="73" t="s">
        <v>825</v>
      </c>
      <c r="D489" s="82" t="s">
        <v>305</v>
      </c>
      <c r="E489" s="77">
        <v>22</v>
      </c>
      <c r="F489" s="74">
        <v>516.41085020000003</v>
      </c>
      <c r="G489" s="74">
        <v>194.65711730000001</v>
      </c>
      <c r="H489" s="74">
        <v>15643.49</v>
      </c>
    </row>
    <row r="490" spans="1:8" x14ac:dyDescent="0.25">
      <c r="A490" s="81" t="s">
        <v>878</v>
      </c>
      <c r="B490" s="69" t="s">
        <v>303</v>
      </c>
      <c r="C490" s="73" t="s">
        <v>638</v>
      </c>
      <c r="D490" s="82" t="s">
        <v>305</v>
      </c>
      <c r="E490" s="77">
        <v>22</v>
      </c>
      <c r="F490" s="74">
        <v>193.6549917625</v>
      </c>
      <c r="G490" s="74">
        <v>72.996418987500007</v>
      </c>
      <c r="H490" s="74">
        <v>5866.33</v>
      </c>
    </row>
    <row r="491" spans="1:8" x14ac:dyDescent="0.25">
      <c r="A491" s="81" t="s">
        <v>879</v>
      </c>
      <c r="B491" s="69" t="s">
        <v>303</v>
      </c>
      <c r="C491" s="73" t="s">
        <v>479</v>
      </c>
      <c r="D491" s="82" t="s">
        <v>305</v>
      </c>
      <c r="E491" s="77">
        <v>22</v>
      </c>
      <c r="F491" s="74">
        <v>129.10271255000001</v>
      </c>
      <c r="G491" s="74">
        <v>48.664279325000003</v>
      </c>
      <c r="H491" s="74">
        <v>3910.87</v>
      </c>
    </row>
    <row r="492" spans="1:8" x14ac:dyDescent="0.25">
      <c r="A492" s="81" t="s">
        <v>880</v>
      </c>
      <c r="B492" s="69" t="s">
        <v>303</v>
      </c>
      <c r="C492" s="73" t="s">
        <v>829</v>
      </c>
      <c r="D492" s="82" t="s">
        <v>305</v>
      </c>
      <c r="E492" s="77">
        <v>22</v>
      </c>
      <c r="F492" s="74">
        <v>258.20542510000001</v>
      </c>
      <c r="G492" s="74">
        <v>97.328558650000005</v>
      </c>
      <c r="H492" s="74">
        <v>7821.74</v>
      </c>
    </row>
    <row r="493" spans="1:8" x14ac:dyDescent="0.25">
      <c r="A493" s="81" t="s">
        <v>881</v>
      </c>
      <c r="B493" s="69" t="s">
        <v>303</v>
      </c>
      <c r="C493" s="73" t="s">
        <v>831</v>
      </c>
      <c r="D493" s="82" t="s">
        <v>305</v>
      </c>
      <c r="E493" s="77">
        <v>22</v>
      </c>
      <c r="F493" s="74">
        <v>258.20542510000001</v>
      </c>
      <c r="G493" s="74">
        <v>97.328558650000005</v>
      </c>
      <c r="H493" s="74">
        <v>7821.74</v>
      </c>
    </row>
    <row r="494" spans="1:8" x14ac:dyDescent="0.25">
      <c r="A494" s="81" t="s">
        <v>882</v>
      </c>
      <c r="B494" s="69" t="s">
        <v>303</v>
      </c>
      <c r="C494" s="73" t="s">
        <v>638</v>
      </c>
      <c r="D494" s="82" t="s">
        <v>305</v>
      </c>
      <c r="E494" s="77">
        <v>22</v>
      </c>
      <c r="F494" s="74">
        <v>96.827495881250002</v>
      </c>
      <c r="G494" s="74">
        <v>36.498209493750004</v>
      </c>
      <c r="H494" s="74">
        <v>2933.16</v>
      </c>
    </row>
    <row r="495" spans="1:8" x14ac:dyDescent="0.25">
      <c r="A495" s="81" t="s">
        <v>883</v>
      </c>
      <c r="B495" s="69" t="s">
        <v>303</v>
      </c>
      <c r="C495" s="73" t="s">
        <v>834</v>
      </c>
      <c r="D495" s="82" t="s">
        <v>305</v>
      </c>
      <c r="E495" s="77">
        <v>22</v>
      </c>
      <c r="F495" s="74">
        <v>154.92436258499998</v>
      </c>
      <c r="G495" s="74">
        <v>58.396027664999998</v>
      </c>
      <c r="H495" s="74">
        <v>4693.04</v>
      </c>
    </row>
    <row r="496" spans="1:8" x14ac:dyDescent="0.25">
      <c r="A496" s="81" t="s">
        <v>884</v>
      </c>
      <c r="B496" s="69" t="s">
        <v>303</v>
      </c>
      <c r="C496" s="73" t="s">
        <v>836</v>
      </c>
      <c r="D496" s="82" t="s">
        <v>305</v>
      </c>
      <c r="E496" s="77">
        <v>22</v>
      </c>
      <c r="F496" s="74">
        <v>38.730629177499999</v>
      </c>
      <c r="G496" s="74">
        <v>14.598545447499999</v>
      </c>
      <c r="H496" s="74">
        <v>1173.24</v>
      </c>
    </row>
    <row r="497" spans="1:8" x14ac:dyDescent="0.25">
      <c r="A497" s="81" t="s">
        <v>885</v>
      </c>
      <c r="B497" s="69" t="s">
        <v>303</v>
      </c>
      <c r="C497" s="73" t="s">
        <v>838</v>
      </c>
      <c r="D497" s="82" t="s">
        <v>305</v>
      </c>
      <c r="E497" s="77">
        <v>22</v>
      </c>
      <c r="F497" s="74">
        <v>258.20542510000001</v>
      </c>
      <c r="G497" s="74">
        <v>97.328558650000005</v>
      </c>
      <c r="H497" s="74">
        <v>7821.74</v>
      </c>
    </row>
    <row r="498" spans="1:8" x14ac:dyDescent="0.25">
      <c r="A498" s="81" t="s">
        <v>886</v>
      </c>
      <c r="B498" s="69" t="s">
        <v>303</v>
      </c>
      <c r="C498" s="73" t="s">
        <v>840</v>
      </c>
      <c r="D498" s="82" t="s">
        <v>305</v>
      </c>
      <c r="E498" s="77">
        <v>22</v>
      </c>
      <c r="F498" s="74">
        <v>129.10271255000001</v>
      </c>
      <c r="G498" s="74">
        <v>48.664279325000003</v>
      </c>
      <c r="H498" s="74">
        <v>3910.87</v>
      </c>
    </row>
    <row r="499" spans="1:8" x14ac:dyDescent="0.25">
      <c r="A499" s="81" t="s">
        <v>887</v>
      </c>
      <c r="B499" s="69" t="s">
        <v>303</v>
      </c>
      <c r="C499" s="73" t="s">
        <v>842</v>
      </c>
      <c r="D499" s="82" t="s">
        <v>305</v>
      </c>
      <c r="E499" s="77">
        <v>22</v>
      </c>
      <c r="F499" s="74">
        <v>51.641454194999994</v>
      </c>
      <c r="G499" s="74">
        <v>19.465342554999999</v>
      </c>
      <c r="H499" s="74">
        <v>1564.34</v>
      </c>
    </row>
    <row r="500" spans="1:8" x14ac:dyDescent="0.25">
      <c r="A500" s="81" t="s">
        <v>888</v>
      </c>
      <c r="B500" s="69" t="s">
        <v>303</v>
      </c>
      <c r="C500" s="73" t="s">
        <v>844</v>
      </c>
      <c r="D500" s="82" t="s">
        <v>305</v>
      </c>
      <c r="E500" s="77">
        <v>22</v>
      </c>
      <c r="F500" s="74">
        <v>103.28290838999999</v>
      </c>
      <c r="G500" s="74">
        <v>38.930685109999999</v>
      </c>
      <c r="H500" s="74">
        <v>3128.69</v>
      </c>
    </row>
    <row r="501" spans="1:8" x14ac:dyDescent="0.25">
      <c r="A501" s="81" t="s">
        <v>889</v>
      </c>
      <c r="B501" s="69" t="s">
        <v>303</v>
      </c>
      <c r="C501" s="73" t="s">
        <v>846</v>
      </c>
      <c r="D501" s="82" t="s">
        <v>305</v>
      </c>
      <c r="E501" s="77">
        <v>22</v>
      </c>
      <c r="F501" s="74">
        <v>38.730629177499999</v>
      </c>
      <c r="G501" s="74">
        <v>14.598545447499999</v>
      </c>
      <c r="H501" s="74">
        <v>1173.24</v>
      </c>
    </row>
    <row r="502" spans="1:8" x14ac:dyDescent="0.25">
      <c r="A502" s="81" t="s">
        <v>890</v>
      </c>
      <c r="B502" s="69" t="s">
        <v>303</v>
      </c>
      <c r="C502" s="73" t="s">
        <v>848</v>
      </c>
      <c r="D502" s="82" t="s">
        <v>305</v>
      </c>
      <c r="E502" s="77">
        <v>22</v>
      </c>
      <c r="F502" s="74">
        <v>38.730629177499999</v>
      </c>
      <c r="G502" s="74">
        <v>14.598545447499999</v>
      </c>
      <c r="H502" s="74">
        <v>1173.24</v>
      </c>
    </row>
    <row r="503" spans="1:8" x14ac:dyDescent="0.25">
      <c r="A503" s="81" t="s">
        <v>891</v>
      </c>
      <c r="B503" s="69" t="s">
        <v>303</v>
      </c>
      <c r="C503" s="73" t="s">
        <v>850</v>
      </c>
      <c r="D503" s="82" t="s">
        <v>305</v>
      </c>
      <c r="E503" s="77">
        <v>22</v>
      </c>
      <c r="F503" s="74">
        <v>129.10271255000001</v>
      </c>
      <c r="G503" s="74">
        <v>48.664279325000003</v>
      </c>
      <c r="H503" s="74">
        <v>3910.87</v>
      </c>
    </row>
    <row r="504" spans="1:8" x14ac:dyDescent="0.25">
      <c r="A504" s="81" t="s">
        <v>892</v>
      </c>
      <c r="B504" s="69" t="s">
        <v>303</v>
      </c>
      <c r="C504" s="73" t="s">
        <v>852</v>
      </c>
      <c r="D504" s="82" t="s">
        <v>305</v>
      </c>
      <c r="E504" s="77">
        <v>22</v>
      </c>
      <c r="F504" s="74">
        <v>129.10271255000001</v>
      </c>
      <c r="G504" s="74">
        <v>48.664279325000003</v>
      </c>
      <c r="H504" s="74">
        <v>3910.87</v>
      </c>
    </row>
    <row r="505" spans="1:8" x14ac:dyDescent="0.25">
      <c r="A505" s="81" t="s">
        <v>893</v>
      </c>
      <c r="B505" s="69" t="s">
        <v>303</v>
      </c>
      <c r="C505" s="73" t="s">
        <v>854</v>
      </c>
      <c r="D505" s="82" t="s">
        <v>305</v>
      </c>
      <c r="E505" s="77">
        <v>22</v>
      </c>
      <c r="F505" s="74">
        <v>258.20542510000001</v>
      </c>
      <c r="G505" s="74">
        <v>97.328558650000005</v>
      </c>
      <c r="H505" s="74">
        <v>7821.74</v>
      </c>
    </row>
    <row r="506" spans="1:8" x14ac:dyDescent="0.25">
      <c r="A506" s="81" t="s">
        <v>894</v>
      </c>
      <c r="B506" s="69" t="s">
        <v>303</v>
      </c>
      <c r="C506" s="73" t="s">
        <v>856</v>
      </c>
      <c r="D506" s="82" t="s">
        <v>305</v>
      </c>
      <c r="E506" s="77">
        <v>22</v>
      </c>
      <c r="F506" s="74">
        <v>129.10271255000001</v>
      </c>
      <c r="G506" s="74">
        <v>48.664279325000003</v>
      </c>
      <c r="H506" s="74">
        <v>3910.87</v>
      </c>
    </row>
    <row r="507" spans="1:8" x14ac:dyDescent="0.25">
      <c r="A507" s="81" t="s">
        <v>895</v>
      </c>
      <c r="B507" s="69" t="s">
        <v>303</v>
      </c>
      <c r="C507" s="73" t="s">
        <v>896</v>
      </c>
      <c r="D507" s="69" t="s">
        <v>305</v>
      </c>
      <c r="E507" s="77">
        <v>22</v>
      </c>
      <c r="F507" s="74">
        <v>387.30813764999994</v>
      </c>
      <c r="G507" s="74">
        <v>145.99283797500001</v>
      </c>
      <c r="H507" s="74">
        <v>11732.62</v>
      </c>
    </row>
    <row r="508" spans="1:8" x14ac:dyDescent="0.25">
      <c r="A508" s="81" t="s">
        <v>897</v>
      </c>
      <c r="B508" s="69" t="s">
        <v>303</v>
      </c>
      <c r="C508" s="73" t="s">
        <v>898</v>
      </c>
      <c r="D508" s="69" t="s">
        <v>305</v>
      </c>
      <c r="E508" s="77">
        <v>22</v>
      </c>
      <c r="F508" s="74">
        <v>62.789653174999991</v>
      </c>
      <c r="G508" s="74">
        <v>19.004759824999997</v>
      </c>
      <c r="H508" s="74">
        <v>1799.47</v>
      </c>
    </row>
    <row r="509" spans="1:8" x14ac:dyDescent="0.25">
      <c r="A509" s="66" t="s">
        <v>899</v>
      </c>
      <c r="B509" s="66"/>
      <c r="C509" s="78" t="s">
        <v>900</v>
      </c>
      <c r="D509" s="67"/>
      <c r="E509" s="67"/>
      <c r="F509" s="68"/>
      <c r="G509" s="68"/>
      <c r="H509" s="68">
        <v>50841.42</v>
      </c>
    </row>
    <row r="510" spans="1:8" x14ac:dyDescent="0.25">
      <c r="A510" s="81" t="s">
        <v>901</v>
      </c>
      <c r="B510" s="69" t="s">
        <v>303</v>
      </c>
      <c r="C510" s="73" t="s">
        <v>651</v>
      </c>
      <c r="D510" s="82" t="s">
        <v>305</v>
      </c>
      <c r="E510" s="77">
        <v>22</v>
      </c>
      <c r="F510" s="74">
        <v>193.6549917625</v>
      </c>
      <c r="G510" s="74">
        <v>72.996418987500007</v>
      </c>
      <c r="H510" s="74">
        <v>5866.33</v>
      </c>
    </row>
    <row r="511" spans="1:8" x14ac:dyDescent="0.25">
      <c r="A511" s="81" t="s">
        <v>902</v>
      </c>
      <c r="B511" s="69" t="s">
        <v>303</v>
      </c>
      <c r="C511" s="73" t="s">
        <v>903</v>
      </c>
      <c r="D511" s="69" t="s">
        <v>305</v>
      </c>
      <c r="E511" s="77">
        <v>22</v>
      </c>
      <c r="F511" s="74">
        <v>193.6549917625</v>
      </c>
      <c r="G511" s="74">
        <v>72.996418987500007</v>
      </c>
      <c r="H511" s="74">
        <v>5866.33</v>
      </c>
    </row>
    <row r="512" spans="1:8" x14ac:dyDescent="0.25">
      <c r="A512" s="81" t="s">
        <v>904</v>
      </c>
      <c r="B512" s="69" t="s">
        <v>303</v>
      </c>
      <c r="C512" s="73" t="s">
        <v>905</v>
      </c>
      <c r="D512" s="82" t="s">
        <v>305</v>
      </c>
      <c r="E512" s="77">
        <v>22</v>
      </c>
      <c r="F512" s="74">
        <v>387.30813764999994</v>
      </c>
      <c r="G512" s="74">
        <v>145.99283797500001</v>
      </c>
      <c r="H512" s="74">
        <v>11732.62</v>
      </c>
    </row>
    <row r="513" spans="1:8" x14ac:dyDescent="0.25">
      <c r="A513" s="81" t="s">
        <v>906</v>
      </c>
      <c r="B513" s="69" t="s">
        <v>303</v>
      </c>
      <c r="C513" s="73" t="s">
        <v>865</v>
      </c>
      <c r="D513" s="82" t="s">
        <v>305</v>
      </c>
      <c r="E513" s="77">
        <v>22</v>
      </c>
      <c r="F513" s="74">
        <v>516.41085020000003</v>
      </c>
      <c r="G513" s="74">
        <v>194.65711730000001</v>
      </c>
      <c r="H513" s="74">
        <v>15643.49</v>
      </c>
    </row>
    <row r="514" spans="1:8" x14ac:dyDescent="0.25">
      <c r="A514" s="81" t="s">
        <v>907</v>
      </c>
      <c r="B514" s="69" t="s">
        <v>303</v>
      </c>
      <c r="C514" s="73" t="s">
        <v>867</v>
      </c>
      <c r="D514" s="82" t="s">
        <v>305</v>
      </c>
      <c r="E514" s="77">
        <v>22</v>
      </c>
      <c r="F514" s="74">
        <v>193.6549917625</v>
      </c>
      <c r="G514" s="74">
        <v>72.996418987500007</v>
      </c>
      <c r="H514" s="74">
        <v>5866.33</v>
      </c>
    </row>
    <row r="515" spans="1:8" x14ac:dyDescent="0.25">
      <c r="A515" s="81" t="s">
        <v>908</v>
      </c>
      <c r="B515" s="69" t="s">
        <v>303</v>
      </c>
      <c r="C515" s="73" t="s">
        <v>869</v>
      </c>
      <c r="D515" s="82" t="s">
        <v>305</v>
      </c>
      <c r="E515" s="77">
        <v>22</v>
      </c>
      <c r="F515" s="74">
        <v>129.10271255000001</v>
      </c>
      <c r="G515" s="74">
        <v>48.664279325000003</v>
      </c>
      <c r="H515" s="74">
        <v>3910.87</v>
      </c>
    </row>
    <row r="516" spans="1:8" x14ac:dyDescent="0.25">
      <c r="A516" s="81" t="s">
        <v>909</v>
      </c>
      <c r="B516" s="69" t="s">
        <v>303</v>
      </c>
      <c r="C516" s="73" t="s">
        <v>910</v>
      </c>
      <c r="D516" s="82" t="s">
        <v>305</v>
      </c>
      <c r="E516" s="77">
        <v>22</v>
      </c>
      <c r="F516" s="74">
        <v>64.552279212499997</v>
      </c>
      <c r="G516" s="74">
        <v>24.332139662500001</v>
      </c>
      <c r="H516" s="74">
        <v>1955.45</v>
      </c>
    </row>
    <row r="517" spans="1:8" x14ac:dyDescent="0.25">
      <c r="A517" s="66" t="s">
        <v>911</v>
      </c>
      <c r="B517" s="66"/>
      <c r="C517" s="67" t="s">
        <v>912</v>
      </c>
      <c r="D517" s="67"/>
      <c r="E517" s="67"/>
      <c r="F517" s="68"/>
      <c r="G517" s="68"/>
      <c r="H517" s="68">
        <v>137076.01</v>
      </c>
    </row>
    <row r="518" spans="1:8" x14ac:dyDescent="0.25">
      <c r="A518" s="81" t="s">
        <v>913</v>
      </c>
      <c r="B518" s="69" t="s">
        <v>303</v>
      </c>
      <c r="C518" s="73" t="s">
        <v>914</v>
      </c>
      <c r="D518" s="82" t="s">
        <v>305</v>
      </c>
      <c r="E518" s="77">
        <v>22</v>
      </c>
      <c r="F518" s="74">
        <v>516.41085020000003</v>
      </c>
      <c r="G518" s="74">
        <v>194.65711730000001</v>
      </c>
      <c r="H518" s="74">
        <v>15643.49</v>
      </c>
    </row>
    <row r="519" spans="1:8" x14ac:dyDescent="0.25">
      <c r="A519" s="81" t="s">
        <v>915</v>
      </c>
      <c r="B519" s="69" t="s">
        <v>303</v>
      </c>
      <c r="C519" s="73" t="s">
        <v>821</v>
      </c>
      <c r="D519" s="82" t="s">
        <v>305</v>
      </c>
      <c r="E519" s="77">
        <v>22</v>
      </c>
      <c r="F519" s="74">
        <v>64.552279212499997</v>
      </c>
      <c r="G519" s="74">
        <v>24.332139662500001</v>
      </c>
      <c r="H519" s="74">
        <v>1955.45</v>
      </c>
    </row>
    <row r="520" spans="1:8" x14ac:dyDescent="0.25">
      <c r="A520" s="81" t="s">
        <v>916</v>
      </c>
      <c r="B520" s="69" t="s">
        <v>303</v>
      </c>
      <c r="C520" s="73" t="s">
        <v>823</v>
      </c>
      <c r="D520" s="82" t="s">
        <v>305</v>
      </c>
      <c r="E520" s="77">
        <v>22</v>
      </c>
      <c r="F520" s="74">
        <v>1032.8235462750001</v>
      </c>
      <c r="G520" s="74">
        <v>389.31238872500001</v>
      </c>
      <c r="H520" s="74">
        <v>31286.99</v>
      </c>
    </row>
    <row r="521" spans="1:8" x14ac:dyDescent="0.25">
      <c r="A521" s="81" t="s">
        <v>917</v>
      </c>
      <c r="B521" s="69" t="s">
        <v>303</v>
      </c>
      <c r="C521" s="73" t="s">
        <v>825</v>
      </c>
      <c r="D521" s="82" t="s">
        <v>305</v>
      </c>
      <c r="E521" s="77">
        <v>22</v>
      </c>
      <c r="F521" s="74">
        <v>516.41085020000003</v>
      </c>
      <c r="G521" s="74">
        <v>194.65711730000001</v>
      </c>
      <c r="H521" s="74">
        <v>15643.49</v>
      </c>
    </row>
    <row r="522" spans="1:8" x14ac:dyDescent="0.25">
      <c r="A522" s="81" t="s">
        <v>918</v>
      </c>
      <c r="B522" s="69" t="s">
        <v>303</v>
      </c>
      <c r="C522" s="73" t="s">
        <v>638</v>
      </c>
      <c r="D522" s="82" t="s">
        <v>305</v>
      </c>
      <c r="E522" s="77">
        <v>22</v>
      </c>
      <c r="F522" s="74">
        <v>193.6549917625</v>
      </c>
      <c r="G522" s="74">
        <v>72.996418987500007</v>
      </c>
      <c r="H522" s="74">
        <v>5866.33</v>
      </c>
    </row>
    <row r="523" spans="1:8" x14ac:dyDescent="0.25">
      <c r="A523" s="81" t="s">
        <v>919</v>
      </c>
      <c r="B523" s="69" t="s">
        <v>303</v>
      </c>
      <c r="C523" s="73" t="s">
        <v>479</v>
      </c>
      <c r="D523" s="82" t="s">
        <v>305</v>
      </c>
      <c r="E523" s="77">
        <v>22</v>
      </c>
      <c r="F523" s="74">
        <v>129.10271255000001</v>
      </c>
      <c r="G523" s="74">
        <v>48.664279325000003</v>
      </c>
      <c r="H523" s="74">
        <v>3910.87</v>
      </c>
    </row>
    <row r="524" spans="1:8" x14ac:dyDescent="0.25">
      <c r="A524" s="81" t="s">
        <v>920</v>
      </c>
      <c r="B524" s="69" t="s">
        <v>303</v>
      </c>
      <c r="C524" s="73" t="s">
        <v>829</v>
      </c>
      <c r="D524" s="82" t="s">
        <v>305</v>
      </c>
      <c r="E524" s="77">
        <v>22</v>
      </c>
      <c r="F524" s="74">
        <v>258.20542510000001</v>
      </c>
      <c r="G524" s="74">
        <v>97.328558650000005</v>
      </c>
      <c r="H524" s="74">
        <v>7821.74</v>
      </c>
    </row>
    <row r="525" spans="1:8" x14ac:dyDescent="0.25">
      <c r="A525" s="81" t="s">
        <v>921</v>
      </c>
      <c r="B525" s="69" t="s">
        <v>303</v>
      </c>
      <c r="C525" s="73" t="s">
        <v>831</v>
      </c>
      <c r="D525" s="82" t="s">
        <v>305</v>
      </c>
      <c r="E525" s="77">
        <v>22</v>
      </c>
      <c r="F525" s="74">
        <v>258.20542510000001</v>
      </c>
      <c r="G525" s="74">
        <v>97.328558650000005</v>
      </c>
      <c r="H525" s="74">
        <v>7821.74</v>
      </c>
    </row>
    <row r="526" spans="1:8" x14ac:dyDescent="0.25">
      <c r="A526" s="81" t="s">
        <v>922</v>
      </c>
      <c r="B526" s="69" t="s">
        <v>303</v>
      </c>
      <c r="C526" s="73" t="s">
        <v>638</v>
      </c>
      <c r="D526" s="82" t="s">
        <v>305</v>
      </c>
      <c r="E526" s="77">
        <v>22</v>
      </c>
      <c r="F526" s="74">
        <v>96.827495881250002</v>
      </c>
      <c r="G526" s="74">
        <v>36.498209493750004</v>
      </c>
      <c r="H526" s="74">
        <v>2933.16</v>
      </c>
    </row>
    <row r="527" spans="1:8" x14ac:dyDescent="0.25">
      <c r="A527" s="81" t="s">
        <v>923</v>
      </c>
      <c r="B527" s="69" t="s">
        <v>303</v>
      </c>
      <c r="C527" s="73" t="s">
        <v>834</v>
      </c>
      <c r="D527" s="82" t="s">
        <v>305</v>
      </c>
      <c r="E527" s="77">
        <v>22</v>
      </c>
      <c r="F527" s="74">
        <v>154.92436258499998</v>
      </c>
      <c r="G527" s="74">
        <v>58.396027664999998</v>
      </c>
      <c r="H527" s="74">
        <v>4693.04</v>
      </c>
    </row>
    <row r="528" spans="1:8" x14ac:dyDescent="0.25">
      <c r="A528" s="81" t="s">
        <v>924</v>
      </c>
      <c r="B528" s="69" t="s">
        <v>303</v>
      </c>
      <c r="C528" s="73" t="s">
        <v>836</v>
      </c>
      <c r="D528" s="82" t="s">
        <v>305</v>
      </c>
      <c r="E528" s="77">
        <v>22</v>
      </c>
      <c r="F528" s="74">
        <v>38.730629177499999</v>
      </c>
      <c r="G528" s="74">
        <v>14.598545447499999</v>
      </c>
      <c r="H528" s="74">
        <v>1173.24</v>
      </c>
    </row>
    <row r="529" spans="1:8" x14ac:dyDescent="0.25">
      <c r="A529" s="81" t="s">
        <v>925</v>
      </c>
      <c r="B529" s="69" t="s">
        <v>303</v>
      </c>
      <c r="C529" s="73" t="s">
        <v>838</v>
      </c>
      <c r="D529" s="82" t="s">
        <v>305</v>
      </c>
      <c r="E529" s="77">
        <v>22</v>
      </c>
      <c r="F529" s="74">
        <v>258.20542510000001</v>
      </c>
      <c r="G529" s="74">
        <v>97.328558650000005</v>
      </c>
      <c r="H529" s="74">
        <v>7821.74</v>
      </c>
    </row>
    <row r="530" spans="1:8" x14ac:dyDescent="0.25">
      <c r="A530" s="81" t="s">
        <v>926</v>
      </c>
      <c r="B530" s="69" t="s">
        <v>303</v>
      </c>
      <c r="C530" s="73" t="s">
        <v>840</v>
      </c>
      <c r="D530" s="82" t="s">
        <v>305</v>
      </c>
      <c r="E530" s="77">
        <v>22</v>
      </c>
      <c r="F530" s="74">
        <v>129.10271255000001</v>
      </c>
      <c r="G530" s="74">
        <v>48.664279325000003</v>
      </c>
      <c r="H530" s="74">
        <v>3910.87</v>
      </c>
    </row>
    <row r="531" spans="1:8" x14ac:dyDescent="0.25">
      <c r="A531" s="81" t="s">
        <v>927</v>
      </c>
      <c r="B531" s="69" t="s">
        <v>303</v>
      </c>
      <c r="C531" s="73" t="s">
        <v>842</v>
      </c>
      <c r="D531" s="82" t="s">
        <v>305</v>
      </c>
      <c r="E531" s="77">
        <v>22</v>
      </c>
      <c r="F531" s="74">
        <v>51.641454194999994</v>
      </c>
      <c r="G531" s="74">
        <v>19.465342554999999</v>
      </c>
      <c r="H531" s="74">
        <v>1564.34</v>
      </c>
    </row>
    <row r="532" spans="1:8" x14ac:dyDescent="0.25">
      <c r="A532" s="81" t="s">
        <v>928</v>
      </c>
      <c r="B532" s="69" t="s">
        <v>303</v>
      </c>
      <c r="C532" s="73" t="s">
        <v>844</v>
      </c>
      <c r="D532" s="82" t="s">
        <v>305</v>
      </c>
      <c r="E532" s="77">
        <v>22</v>
      </c>
      <c r="F532" s="74">
        <v>103.28290838999999</v>
      </c>
      <c r="G532" s="74">
        <v>38.930685109999999</v>
      </c>
      <c r="H532" s="74">
        <v>3128.69</v>
      </c>
    </row>
    <row r="533" spans="1:8" x14ac:dyDescent="0.25">
      <c r="A533" s="81" t="s">
        <v>929</v>
      </c>
      <c r="B533" s="69" t="s">
        <v>303</v>
      </c>
      <c r="C533" s="73" t="s">
        <v>846</v>
      </c>
      <c r="D533" s="82" t="s">
        <v>305</v>
      </c>
      <c r="E533" s="77">
        <v>22</v>
      </c>
      <c r="F533" s="74">
        <v>38.730629177499999</v>
      </c>
      <c r="G533" s="74">
        <v>14.598545447499999</v>
      </c>
      <c r="H533" s="74">
        <v>1173.24</v>
      </c>
    </row>
    <row r="534" spans="1:8" x14ac:dyDescent="0.25">
      <c r="A534" s="81" t="s">
        <v>930</v>
      </c>
      <c r="B534" s="69" t="s">
        <v>303</v>
      </c>
      <c r="C534" s="73" t="s">
        <v>848</v>
      </c>
      <c r="D534" s="82" t="s">
        <v>305</v>
      </c>
      <c r="E534" s="77">
        <v>22</v>
      </c>
      <c r="F534" s="74">
        <v>38.730629177499999</v>
      </c>
      <c r="G534" s="74">
        <v>14.598545447499999</v>
      </c>
      <c r="H534" s="74">
        <v>1173.24</v>
      </c>
    </row>
    <row r="535" spans="1:8" x14ac:dyDescent="0.25">
      <c r="A535" s="81" t="s">
        <v>931</v>
      </c>
      <c r="B535" s="69" t="s">
        <v>303</v>
      </c>
      <c r="C535" s="73" t="s">
        <v>850</v>
      </c>
      <c r="D535" s="82" t="s">
        <v>305</v>
      </c>
      <c r="E535" s="77">
        <v>22</v>
      </c>
      <c r="F535" s="74">
        <v>129.10271255000001</v>
      </c>
      <c r="G535" s="74">
        <v>48.664279325000003</v>
      </c>
      <c r="H535" s="74">
        <v>3910.87</v>
      </c>
    </row>
    <row r="536" spans="1:8" x14ac:dyDescent="0.25">
      <c r="A536" s="81" t="s">
        <v>932</v>
      </c>
      <c r="B536" s="69" t="s">
        <v>303</v>
      </c>
      <c r="C536" s="73" t="s">
        <v>852</v>
      </c>
      <c r="D536" s="82" t="s">
        <v>305</v>
      </c>
      <c r="E536" s="77">
        <v>22</v>
      </c>
      <c r="F536" s="74">
        <v>129.10271255000001</v>
      </c>
      <c r="G536" s="74">
        <v>48.664279325000003</v>
      </c>
      <c r="H536" s="74">
        <v>3910.87</v>
      </c>
    </row>
    <row r="537" spans="1:8" x14ac:dyDescent="0.25">
      <c r="A537" s="81" t="s">
        <v>933</v>
      </c>
      <c r="B537" s="69" t="s">
        <v>303</v>
      </c>
      <c r="C537" s="73" t="s">
        <v>854</v>
      </c>
      <c r="D537" s="82" t="s">
        <v>305</v>
      </c>
      <c r="E537" s="77">
        <v>22</v>
      </c>
      <c r="F537" s="74">
        <v>258.20542510000001</v>
      </c>
      <c r="G537" s="74">
        <v>97.328558650000005</v>
      </c>
      <c r="H537" s="74">
        <v>7821.74</v>
      </c>
    </row>
    <row r="538" spans="1:8" x14ac:dyDescent="0.25">
      <c r="A538" s="81" t="s">
        <v>934</v>
      </c>
      <c r="B538" s="69" t="s">
        <v>303</v>
      </c>
      <c r="C538" s="73" t="s">
        <v>856</v>
      </c>
      <c r="D538" s="82" t="s">
        <v>305</v>
      </c>
      <c r="E538" s="77">
        <v>22</v>
      </c>
      <c r="F538" s="74">
        <v>129.10271255000001</v>
      </c>
      <c r="G538" s="74">
        <v>48.664279325000003</v>
      </c>
      <c r="H538" s="74">
        <v>3910.87</v>
      </c>
    </row>
    <row r="539" spans="1:8" x14ac:dyDescent="0.25">
      <c r="A539" s="66" t="s">
        <v>935</v>
      </c>
      <c r="B539" s="66"/>
      <c r="C539" s="78" t="s">
        <v>936</v>
      </c>
      <c r="D539" s="67"/>
      <c r="E539" s="67"/>
      <c r="F539" s="68"/>
      <c r="G539" s="68"/>
      <c r="H539" s="68">
        <v>70395.760000000009</v>
      </c>
    </row>
    <row r="540" spans="1:8" x14ac:dyDescent="0.25">
      <c r="A540" s="81" t="s">
        <v>937</v>
      </c>
      <c r="B540" s="69" t="s">
        <v>303</v>
      </c>
      <c r="C540" s="73" t="s">
        <v>651</v>
      </c>
      <c r="D540" s="82" t="s">
        <v>305</v>
      </c>
      <c r="E540" s="77">
        <v>22</v>
      </c>
      <c r="F540" s="74">
        <v>387.30813764999994</v>
      </c>
      <c r="G540" s="74">
        <v>145.99283797500001</v>
      </c>
      <c r="H540" s="74">
        <v>11732.62</v>
      </c>
    </row>
    <row r="541" spans="1:8" x14ac:dyDescent="0.25">
      <c r="A541" s="81" t="s">
        <v>938</v>
      </c>
      <c r="B541" s="69" t="s">
        <v>303</v>
      </c>
      <c r="C541" s="73" t="s">
        <v>861</v>
      </c>
      <c r="D541" s="82" t="s">
        <v>305</v>
      </c>
      <c r="E541" s="77">
        <v>22</v>
      </c>
      <c r="F541" s="74">
        <v>387.30813764999994</v>
      </c>
      <c r="G541" s="74">
        <v>145.99283797500001</v>
      </c>
      <c r="H541" s="74">
        <v>11732.62</v>
      </c>
    </row>
    <row r="542" spans="1:8" x14ac:dyDescent="0.25">
      <c r="A542" s="81" t="s">
        <v>939</v>
      </c>
      <c r="B542" s="69" t="s">
        <v>303</v>
      </c>
      <c r="C542" s="73" t="s">
        <v>940</v>
      </c>
      <c r="D542" s="82" t="s">
        <v>305</v>
      </c>
      <c r="E542" s="77">
        <v>22</v>
      </c>
      <c r="F542" s="74">
        <v>580.96312941249994</v>
      </c>
      <c r="G542" s="74">
        <v>218.98925696250001</v>
      </c>
      <c r="H542" s="74">
        <v>17598.95</v>
      </c>
    </row>
    <row r="543" spans="1:8" x14ac:dyDescent="0.25">
      <c r="A543" s="81" t="s">
        <v>941</v>
      </c>
      <c r="B543" s="69" t="s">
        <v>303</v>
      </c>
      <c r="C543" s="73" t="s">
        <v>865</v>
      </c>
      <c r="D543" s="82" t="s">
        <v>305</v>
      </c>
      <c r="E543" s="77">
        <v>22</v>
      </c>
      <c r="F543" s="74">
        <v>193.6549917625</v>
      </c>
      <c r="G543" s="74">
        <v>72.996418987500007</v>
      </c>
      <c r="H543" s="74">
        <v>5866.33</v>
      </c>
    </row>
    <row r="544" spans="1:8" x14ac:dyDescent="0.25">
      <c r="A544" s="81" t="s">
        <v>942</v>
      </c>
      <c r="B544" s="69" t="s">
        <v>303</v>
      </c>
      <c r="C544" s="73" t="s">
        <v>867</v>
      </c>
      <c r="D544" s="82" t="s">
        <v>305</v>
      </c>
      <c r="E544" s="77">
        <v>22</v>
      </c>
      <c r="F544" s="74">
        <v>387.30813764999994</v>
      </c>
      <c r="G544" s="74">
        <v>145.99283797500001</v>
      </c>
      <c r="H544" s="74">
        <v>11732.62</v>
      </c>
    </row>
    <row r="545" spans="1:8" x14ac:dyDescent="0.25">
      <c r="A545" s="81" t="s">
        <v>943</v>
      </c>
      <c r="B545" s="69" t="s">
        <v>303</v>
      </c>
      <c r="C545" s="73" t="s">
        <v>869</v>
      </c>
      <c r="D545" s="82" t="s">
        <v>305</v>
      </c>
      <c r="E545" s="77">
        <v>22</v>
      </c>
      <c r="F545" s="74">
        <v>387.30813764999994</v>
      </c>
      <c r="G545" s="74">
        <v>145.99283797500001</v>
      </c>
      <c r="H545" s="74">
        <v>11732.62</v>
      </c>
    </row>
    <row r="546" spans="1:8" x14ac:dyDescent="0.25">
      <c r="A546" s="66" t="s">
        <v>944</v>
      </c>
      <c r="B546" s="66"/>
      <c r="C546" s="78" t="s">
        <v>945</v>
      </c>
      <c r="D546" s="67"/>
      <c r="E546" s="67"/>
      <c r="F546" s="68"/>
      <c r="G546" s="68"/>
      <c r="H546" s="68">
        <v>22487.499999999996</v>
      </c>
    </row>
    <row r="547" spans="1:8" ht="25.5" x14ac:dyDescent="0.25">
      <c r="A547" s="81" t="s">
        <v>946</v>
      </c>
      <c r="B547" s="69" t="s">
        <v>303</v>
      </c>
      <c r="C547" s="73" t="s">
        <v>947</v>
      </c>
      <c r="D547" s="82" t="s">
        <v>305</v>
      </c>
      <c r="E547" s="77">
        <v>11</v>
      </c>
      <c r="F547" s="74">
        <v>516.41085020000003</v>
      </c>
      <c r="G547" s="74">
        <v>194.65711730000001</v>
      </c>
      <c r="H547" s="74">
        <v>7821.74</v>
      </c>
    </row>
    <row r="548" spans="1:8" x14ac:dyDescent="0.25">
      <c r="A548" s="81" t="s">
        <v>948</v>
      </c>
      <c r="B548" s="69" t="s">
        <v>303</v>
      </c>
      <c r="C548" s="73" t="s">
        <v>949</v>
      </c>
      <c r="D548" s="82" t="s">
        <v>305</v>
      </c>
      <c r="E548" s="77">
        <v>11</v>
      </c>
      <c r="F548" s="74">
        <v>516.41085020000003</v>
      </c>
      <c r="G548" s="74">
        <v>194.65711730000001</v>
      </c>
      <c r="H548" s="74">
        <v>7821.74</v>
      </c>
    </row>
    <row r="549" spans="1:8" x14ac:dyDescent="0.25">
      <c r="A549" s="81" t="s">
        <v>950</v>
      </c>
      <c r="B549" s="69" t="s">
        <v>303</v>
      </c>
      <c r="C549" s="73" t="s">
        <v>951</v>
      </c>
      <c r="D549" s="82" t="s">
        <v>305</v>
      </c>
      <c r="E549" s="77">
        <v>11</v>
      </c>
      <c r="F549" s="74">
        <v>258.20542510000001</v>
      </c>
      <c r="G549" s="74">
        <v>97.328558650000005</v>
      </c>
      <c r="H549" s="74">
        <v>3910.87</v>
      </c>
    </row>
    <row r="550" spans="1:8" x14ac:dyDescent="0.25">
      <c r="A550" s="81" t="s">
        <v>952</v>
      </c>
      <c r="B550" s="69" t="s">
        <v>303</v>
      </c>
      <c r="C550" s="73" t="s">
        <v>953</v>
      </c>
      <c r="D550" s="82" t="s">
        <v>305</v>
      </c>
      <c r="E550" s="77">
        <v>11</v>
      </c>
      <c r="F550" s="74">
        <v>51.641454194999994</v>
      </c>
      <c r="G550" s="74">
        <v>19.465342554999999</v>
      </c>
      <c r="H550" s="74">
        <v>782.17</v>
      </c>
    </row>
    <row r="551" spans="1:8" x14ac:dyDescent="0.25">
      <c r="A551" s="81" t="s">
        <v>954</v>
      </c>
      <c r="B551" s="69" t="s">
        <v>303</v>
      </c>
      <c r="C551" s="73" t="s">
        <v>955</v>
      </c>
      <c r="D551" s="82" t="s">
        <v>305</v>
      </c>
      <c r="E551" s="77">
        <v>11</v>
      </c>
      <c r="F551" s="74">
        <v>12.910825017500001</v>
      </c>
      <c r="G551" s="74">
        <v>4.8667971075000001</v>
      </c>
      <c r="H551" s="74">
        <v>195.55</v>
      </c>
    </row>
    <row r="552" spans="1:8" x14ac:dyDescent="0.25">
      <c r="A552" s="81" t="s">
        <v>956</v>
      </c>
      <c r="B552" s="69" t="s">
        <v>303</v>
      </c>
      <c r="C552" s="73" t="s">
        <v>957</v>
      </c>
      <c r="D552" s="82" t="s">
        <v>305</v>
      </c>
      <c r="E552" s="77">
        <v>11</v>
      </c>
      <c r="F552" s="74">
        <v>129.10271255000001</v>
      </c>
      <c r="G552" s="74">
        <v>48.664279325000003</v>
      </c>
      <c r="H552" s="74">
        <v>1955.43</v>
      </c>
    </row>
    <row r="553" spans="1:8" x14ac:dyDescent="0.25">
      <c r="A553" s="66" t="s">
        <v>958</v>
      </c>
      <c r="B553" s="66"/>
      <c r="C553" s="93" t="s">
        <v>959</v>
      </c>
      <c r="D553" s="67"/>
      <c r="E553" s="67"/>
      <c r="F553" s="68"/>
      <c r="G553" s="68"/>
      <c r="H553" s="68">
        <v>0</v>
      </c>
    </row>
    <row r="554" spans="1:8" x14ac:dyDescent="0.25">
      <c r="A554" s="81" t="s">
        <v>960</v>
      </c>
      <c r="B554" s="69" t="s">
        <v>303</v>
      </c>
      <c r="C554" s="94" t="s">
        <v>393</v>
      </c>
      <c r="D554" s="95" t="s">
        <v>305</v>
      </c>
      <c r="E554" s="89">
        <v>5</v>
      </c>
      <c r="F554" s="74"/>
      <c r="G554" s="74"/>
      <c r="H554" s="74">
        <v>0</v>
      </c>
    </row>
    <row r="555" spans="1:8" x14ac:dyDescent="0.25">
      <c r="A555" s="81" t="s">
        <v>961</v>
      </c>
      <c r="B555" s="69" t="s">
        <v>303</v>
      </c>
      <c r="C555" s="94" t="s">
        <v>821</v>
      </c>
      <c r="D555" s="95" t="s">
        <v>305</v>
      </c>
      <c r="E555" s="89">
        <v>5</v>
      </c>
      <c r="F555" s="74"/>
      <c r="G555" s="74"/>
      <c r="H555" s="74">
        <v>0</v>
      </c>
    </row>
    <row r="556" spans="1:8" x14ac:dyDescent="0.25">
      <c r="A556" s="81" t="s">
        <v>962</v>
      </c>
      <c r="B556" s="69" t="s">
        <v>303</v>
      </c>
      <c r="C556" s="94" t="s">
        <v>963</v>
      </c>
      <c r="D556" s="95" t="s">
        <v>305</v>
      </c>
      <c r="E556" s="89">
        <v>5</v>
      </c>
      <c r="F556" s="74"/>
      <c r="G556" s="74"/>
      <c r="H556" s="74">
        <v>0</v>
      </c>
    </row>
    <row r="557" spans="1:8" x14ac:dyDescent="0.25">
      <c r="A557" s="81" t="s">
        <v>964</v>
      </c>
      <c r="B557" s="69" t="s">
        <v>303</v>
      </c>
      <c r="C557" s="94" t="s">
        <v>825</v>
      </c>
      <c r="D557" s="95" t="s">
        <v>305</v>
      </c>
      <c r="E557" s="89">
        <v>5</v>
      </c>
      <c r="F557" s="74"/>
      <c r="G557" s="74"/>
      <c r="H557" s="74">
        <v>0</v>
      </c>
    </row>
    <row r="558" spans="1:8" x14ac:dyDescent="0.25">
      <c r="A558" s="81" t="s">
        <v>965</v>
      </c>
      <c r="B558" s="69" t="s">
        <v>303</v>
      </c>
      <c r="C558" s="94" t="s">
        <v>638</v>
      </c>
      <c r="D558" s="95" t="s">
        <v>305</v>
      </c>
      <c r="E558" s="89">
        <v>5</v>
      </c>
      <c r="F558" s="74"/>
      <c r="G558" s="74"/>
      <c r="H558" s="74">
        <v>0</v>
      </c>
    </row>
    <row r="559" spans="1:8" x14ac:dyDescent="0.25">
      <c r="A559" s="81" t="s">
        <v>966</v>
      </c>
      <c r="B559" s="69" t="s">
        <v>303</v>
      </c>
      <c r="C559" s="94" t="s">
        <v>479</v>
      </c>
      <c r="D559" s="95" t="s">
        <v>305</v>
      </c>
      <c r="E559" s="89">
        <v>5</v>
      </c>
      <c r="F559" s="74"/>
      <c r="G559" s="74"/>
      <c r="H559" s="74">
        <v>0</v>
      </c>
    </row>
    <row r="560" spans="1:8" x14ac:dyDescent="0.25">
      <c r="A560" s="81" t="s">
        <v>967</v>
      </c>
      <c r="B560" s="69" t="s">
        <v>303</v>
      </c>
      <c r="C560" s="94" t="s">
        <v>968</v>
      </c>
      <c r="D560" s="95" t="s">
        <v>305</v>
      </c>
      <c r="E560" s="89">
        <v>5</v>
      </c>
      <c r="F560" s="74"/>
      <c r="G560" s="74"/>
      <c r="H560" s="74">
        <v>0</v>
      </c>
    </row>
    <row r="561" spans="1:8" x14ac:dyDescent="0.25">
      <c r="A561" s="81" t="s">
        <v>969</v>
      </c>
      <c r="B561" s="69" t="s">
        <v>303</v>
      </c>
      <c r="C561" s="94" t="s">
        <v>831</v>
      </c>
      <c r="D561" s="95" t="s">
        <v>305</v>
      </c>
      <c r="E561" s="89">
        <v>5</v>
      </c>
      <c r="F561" s="74"/>
      <c r="G561" s="74"/>
      <c r="H561" s="74">
        <v>0</v>
      </c>
    </row>
    <row r="562" spans="1:8" x14ac:dyDescent="0.25">
      <c r="A562" s="81" t="s">
        <v>970</v>
      </c>
      <c r="B562" s="69" t="s">
        <v>303</v>
      </c>
      <c r="C562" s="94" t="s">
        <v>638</v>
      </c>
      <c r="D562" s="95" t="s">
        <v>305</v>
      </c>
      <c r="E562" s="89">
        <v>5</v>
      </c>
      <c r="F562" s="74"/>
      <c r="G562" s="74"/>
      <c r="H562" s="74">
        <v>0</v>
      </c>
    </row>
    <row r="563" spans="1:8" x14ac:dyDescent="0.25">
      <c r="A563" s="81" t="s">
        <v>971</v>
      </c>
      <c r="B563" s="69" t="s">
        <v>303</v>
      </c>
      <c r="C563" s="94" t="s">
        <v>834</v>
      </c>
      <c r="D563" s="95" t="s">
        <v>305</v>
      </c>
      <c r="E563" s="89">
        <v>5</v>
      </c>
      <c r="F563" s="74"/>
      <c r="G563" s="74"/>
      <c r="H563" s="74">
        <v>0</v>
      </c>
    </row>
    <row r="564" spans="1:8" x14ac:dyDescent="0.25">
      <c r="A564" s="81" t="s">
        <v>972</v>
      </c>
      <c r="B564" s="69" t="s">
        <v>303</v>
      </c>
      <c r="C564" s="94" t="s">
        <v>836</v>
      </c>
      <c r="D564" s="95" t="s">
        <v>305</v>
      </c>
      <c r="E564" s="89">
        <v>5</v>
      </c>
      <c r="F564" s="74"/>
      <c r="G564" s="74"/>
      <c r="H564" s="74">
        <v>0</v>
      </c>
    </row>
    <row r="565" spans="1:8" x14ac:dyDescent="0.25">
      <c r="A565" s="81" t="s">
        <v>973</v>
      </c>
      <c r="B565" s="69" t="s">
        <v>303</v>
      </c>
      <c r="C565" s="94" t="s">
        <v>974</v>
      </c>
      <c r="D565" s="95" t="s">
        <v>305</v>
      </c>
      <c r="E565" s="89">
        <v>5</v>
      </c>
      <c r="F565" s="74"/>
      <c r="G565" s="74"/>
      <c r="H565" s="74">
        <v>0</v>
      </c>
    </row>
    <row r="566" spans="1:8" x14ac:dyDescent="0.25">
      <c r="A566" s="81" t="s">
        <v>975</v>
      </c>
      <c r="B566" s="69" t="s">
        <v>303</v>
      </c>
      <c r="C566" s="94" t="s">
        <v>976</v>
      </c>
      <c r="D566" s="95" t="s">
        <v>305</v>
      </c>
      <c r="E566" s="89">
        <v>5</v>
      </c>
      <c r="F566" s="74"/>
      <c r="G566" s="74"/>
      <c r="H566" s="74">
        <v>0</v>
      </c>
    </row>
    <row r="567" spans="1:8" x14ac:dyDescent="0.25">
      <c r="A567" s="81" t="s">
        <v>977</v>
      </c>
      <c r="B567" s="69" t="s">
        <v>303</v>
      </c>
      <c r="C567" s="94" t="s">
        <v>842</v>
      </c>
      <c r="D567" s="95" t="s">
        <v>305</v>
      </c>
      <c r="E567" s="89">
        <v>5</v>
      </c>
      <c r="F567" s="74"/>
      <c r="G567" s="74"/>
      <c r="H567" s="74">
        <v>0</v>
      </c>
    </row>
    <row r="568" spans="1:8" x14ac:dyDescent="0.25">
      <c r="A568" s="81" t="s">
        <v>978</v>
      </c>
      <c r="B568" s="69" t="s">
        <v>303</v>
      </c>
      <c r="C568" s="94" t="s">
        <v>844</v>
      </c>
      <c r="D568" s="95" t="s">
        <v>305</v>
      </c>
      <c r="E568" s="89">
        <v>5</v>
      </c>
      <c r="F568" s="74"/>
      <c r="G568" s="74"/>
      <c r="H568" s="74">
        <v>0</v>
      </c>
    </row>
    <row r="569" spans="1:8" x14ac:dyDescent="0.25">
      <c r="A569" s="81" t="s">
        <v>979</v>
      </c>
      <c r="B569" s="69" t="s">
        <v>303</v>
      </c>
      <c r="C569" s="94" t="s">
        <v>980</v>
      </c>
      <c r="D569" s="95" t="s">
        <v>305</v>
      </c>
      <c r="E569" s="89">
        <v>5</v>
      </c>
      <c r="F569" s="74"/>
      <c r="G569" s="74"/>
      <c r="H569" s="74">
        <v>0</v>
      </c>
    </row>
    <row r="570" spans="1:8" x14ac:dyDescent="0.25">
      <c r="A570" s="81" t="s">
        <v>981</v>
      </c>
      <c r="B570" s="69" t="s">
        <v>303</v>
      </c>
      <c r="C570" s="94" t="s">
        <v>848</v>
      </c>
      <c r="D570" s="95" t="s">
        <v>305</v>
      </c>
      <c r="E570" s="89">
        <v>5</v>
      </c>
      <c r="F570" s="74"/>
      <c r="G570" s="74"/>
      <c r="H570" s="74">
        <v>0</v>
      </c>
    </row>
    <row r="571" spans="1:8" x14ac:dyDescent="0.25">
      <c r="A571" s="81" t="s">
        <v>982</v>
      </c>
      <c r="B571" s="69" t="s">
        <v>303</v>
      </c>
      <c r="C571" s="94" t="s">
        <v>983</v>
      </c>
      <c r="D571" s="95" t="s">
        <v>305</v>
      </c>
      <c r="E571" s="89">
        <v>5</v>
      </c>
      <c r="F571" s="74"/>
      <c r="G571" s="74"/>
      <c r="H571" s="74">
        <v>0</v>
      </c>
    </row>
    <row r="572" spans="1:8" x14ac:dyDescent="0.25">
      <c r="A572" s="81" t="s">
        <v>984</v>
      </c>
      <c r="B572" s="69" t="s">
        <v>303</v>
      </c>
      <c r="C572" s="94" t="s">
        <v>985</v>
      </c>
      <c r="D572" s="95" t="s">
        <v>305</v>
      </c>
      <c r="E572" s="89">
        <v>5</v>
      </c>
      <c r="F572" s="74"/>
      <c r="G572" s="74"/>
      <c r="H572" s="74">
        <v>0</v>
      </c>
    </row>
    <row r="573" spans="1:8" x14ac:dyDescent="0.25">
      <c r="A573" s="81" t="s">
        <v>986</v>
      </c>
      <c r="B573" s="69" t="s">
        <v>303</v>
      </c>
      <c r="C573" s="94" t="s">
        <v>987</v>
      </c>
      <c r="D573" s="95" t="s">
        <v>305</v>
      </c>
      <c r="E573" s="89">
        <v>5</v>
      </c>
      <c r="F573" s="74"/>
      <c r="G573" s="74"/>
      <c r="H573" s="74">
        <v>0</v>
      </c>
    </row>
    <row r="574" spans="1:8" x14ac:dyDescent="0.25">
      <c r="A574" s="81" t="s">
        <v>988</v>
      </c>
      <c r="B574" s="69" t="s">
        <v>303</v>
      </c>
      <c r="C574" s="94" t="s">
        <v>856</v>
      </c>
      <c r="D574" s="95" t="s">
        <v>305</v>
      </c>
      <c r="E574" s="89">
        <v>5</v>
      </c>
      <c r="F574" s="74"/>
      <c r="G574" s="74"/>
      <c r="H574" s="74">
        <v>0</v>
      </c>
    </row>
    <row r="575" spans="1:8" x14ac:dyDescent="0.25">
      <c r="A575" s="66" t="s">
        <v>989</v>
      </c>
      <c r="B575" s="66"/>
      <c r="C575" s="93" t="s">
        <v>990</v>
      </c>
      <c r="D575" s="93"/>
      <c r="E575" s="93"/>
      <c r="F575" s="96"/>
      <c r="G575" s="96"/>
      <c r="H575" s="97">
        <v>0</v>
      </c>
    </row>
    <row r="576" spans="1:8" x14ac:dyDescent="0.25">
      <c r="A576" s="81" t="s">
        <v>991</v>
      </c>
      <c r="B576" s="69" t="s">
        <v>303</v>
      </c>
      <c r="C576" s="98" t="s">
        <v>903</v>
      </c>
      <c r="D576" s="95" t="s">
        <v>305</v>
      </c>
      <c r="E576" s="89">
        <v>5</v>
      </c>
      <c r="F576" s="74"/>
      <c r="G576" s="74"/>
      <c r="H576" s="74">
        <v>0</v>
      </c>
    </row>
    <row r="577" spans="1:8" x14ac:dyDescent="0.25">
      <c r="A577" s="81" t="s">
        <v>992</v>
      </c>
      <c r="B577" s="69" t="s">
        <v>303</v>
      </c>
      <c r="C577" s="98" t="s">
        <v>905</v>
      </c>
      <c r="D577" s="95" t="s">
        <v>305</v>
      </c>
      <c r="E577" s="89">
        <v>5</v>
      </c>
      <c r="F577" s="74"/>
      <c r="G577" s="74"/>
      <c r="H577" s="74">
        <v>0</v>
      </c>
    </row>
    <row r="578" spans="1:8" x14ac:dyDescent="0.25">
      <c r="A578" s="81" t="s">
        <v>993</v>
      </c>
      <c r="B578" s="69" t="s">
        <v>303</v>
      </c>
      <c r="C578" s="98" t="s">
        <v>865</v>
      </c>
      <c r="D578" s="95" t="s">
        <v>305</v>
      </c>
      <c r="E578" s="89">
        <v>5</v>
      </c>
      <c r="F578" s="74"/>
      <c r="G578" s="74"/>
      <c r="H578" s="74">
        <v>0</v>
      </c>
    </row>
    <row r="579" spans="1:8" x14ac:dyDescent="0.25">
      <c r="A579" s="81" t="s">
        <v>994</v>
      </c>
      <c r="B579" s="69" t="s">
        <v>303</v>
      </c>
      <c r="C579" s="98" t="s">
        <v>867</v>
      </c>
      <c r="D579" s="95" t="s">
        <v>305</v>
      </c>
      <c r="E579" s="89">
        <v>5</v>
      </c>
      <c r="F579" s="74"/>
      <c r="G579" s="74"/>
      <c r="H579" s="74">
        <v>0</v>
      </c>
    </row>
    <row r="580" spans="1:8" x14ac:dyDescent="0.25">
      <c r="A580" s="81" t="s">
        <v>995</v>
      </c>
      <c r="B580" s="69" t="s">
        <v>303</v>
      </c>
      <c r="C580" s="98" t="s">
        <v>869</v>
      </c>
      <c r="D580" s="95" t="s">
        <v>305</v>
      </c>
      <c r="E580" s="89">
        <v>5</v>
      </c>
      <c r="F580" s="74"/>
      <c r="G580" s="74"/>
      <c r="H580" s="74">
        <v>0</v>
      </c>
    </row>
    <row r="581" spans="1:8" x14ac:dyDescent="0.25">
      <c r="A581" s="81" t="s">
        <v>996</v>
      </c>
      <c r="B581" s="69" t="s">
        <v>303</v>
      </c>
      <c r="C581" s="98" t="s">
        <v>997</v>
      </c>
      <c r="D581" s="95" t="s">
        <v>305</v>
      </c>
      <c r="E581" s="89">
        <v>5</v>
      </c>
      <c r="F581" s="74"/>
      <c r="G581" s="74"/>
      <c r="H581" s="74">
        <v>0</v>
      </c>
    </row>
    <row r="582" spans="1:8" x14ac:dyDescent="0.25">
      <c r="A582" s="81" t="s">
        <v>998</v>
      </c>
      <c r="B582" s="69" t="s">
        <v>303</v>
      </c>
      <c r="C582" s="98" t="s">
        <v>999</v>
      </c>
      <c r="D582" s="95" t="s">
        <v>305</v>
      </c>
      <c r="E582" s="89">
        <v>5</v>
      </c>
      <c r="F582" s="74"/>
      <c r="G582" s="74"/>
      <c r="H582" s="74">
        <v>0</v>
      </c>
    </row>
    <row r="583" spans="1:8" x14ac:dyDescent="0.25">
      <c r="A583" s="81" t="s">
        <v>1000</v>
      </c>
      <c r="B583" s="69" t="s">
        <v>303</v>
      </c>
      <c r="C583" s="98" t="s">
        <v>1001</v>
      </c>
      <c r="D583" s="95" t="s">
        <v>305</v>
      </c>
      <c r="E583" s="89">
        <v>5</v>
      </c>
      <c r="F583" s="74"/>
      <c r="G583" s="74"/>
      <c r="H583" s="74">
        <v>0</v>
      </c>
    </row>
    <row r="584" spans="1:8" x14ac:dyDescent="0.25">
      <c r="A584" s="81"/>
      <c r="B584" s="69"/>
      <c r="C584" s="98"/>
      <c r="D584" s="95"/>
      <c r="E584" s="89"/>
      <c r="F584" s="74"/>
      <c r="G584" s="74"/>
      <c r="H584" s="74"/>
    </row>
    <row r="585" spans="1:8" x14ac:dyDescent="0.25">
      <c r="A585" s="81"/>
      <c r="B585" s="69"/>
      <c r="C585" s="98"/>
      <c r="D585" s="95"/>
      <c r="E585" s="89"/>
      <c r="F585" s="74"/>
      <c r="G585" s="74"/>
      <c r="H585" s="74"/>
    </row>
    <row r="586" spans="1:8" x14ac:dyDescent="0.25">
      <c r="A586" s="81"/>
      <c r="B586" s="69"/>
      <c r="C586" s="98"/>
      <c r="D586" s="95"/>
      <c r="E586" s="89"/>
      <c r="F586" s="74"/>
      <c r="G586" s="74"/>
      <c r="H586" s="74"/>
    </row>
    <row r="587" spans="1:8" x14ac:dyDescent="0.25">
      <c r="A587" s="81"/>
      <c r="B587" s="69"/>
      <c r="C587" s="98"/>
      <c r="D587" s="95"/>
      <c r="E587" s="89"/>
      <c r="F587" s="74"/>
      <c r="G587" s="74"/>
      <c r="H587" s="74"/>
    </row>
    <row r="588" spans="1:8" x14ac:dyDescent="0.25">
      <c r="A588" s="235" t="s">
        <v>1002</v>
      </c>
      <c r="B588" s="235"/>
      <c r="C588" s="236" t="s">
        <v>5</v>
      </c>
      <c r="D588" s="236"/>
      <c r="E588" s="236"/>
      <c r="F588" s="237"/>
      <c r="G588" s="237"/>
      <c r="H588" s="237">
        <f>SUM(H589,H594,H599)</f>
        <v>1449119.0700000003</v>
      </c>
    </row>
    <row r="589" spans="1:8" x14ac:dyDescent="0.25">
      <c r="A589" s="63" t="s">
        <v>1003</v>
      </c>
      <c r="B589" s="63"/>
      <c r="C589" s="64" t="s">
        <v>1291</v>
      </c>
      <c r="D589" s="64"/>
      <c r="E589" s="64"/>
      <c r="F589" s="80">
        <v>3059.9312500000001</v>
      </c>
      <c r="G589" s="80">
        <v>1153.4112500000001</v>
      </c>
      <c r="H589" s="80">
        <v>483039.69000000006</v>
      </c>
    </row>
    <row r="590" spans="1:8" x14ac:dyDescent="0.25">
      <c r="A590" s="81" t="s">
        <v>1003</v>
      </c>
      <c r="B590" s="69" t="s">
        <v>303</v>
      </c>
      <c r="C590" s="73" t="s">
        <v>1004</v>
      </c>
      <c r="D590" s="82" t="s">
        <v>305</v>
      </c>
      <c r="E590" s="77">
        <v>21</v>
      </c>
      <c r="F590" s="74">
        <v>1437.52684075</v>
      </c>
      <c r="G590" s="74">
        <v>753.34219674999997</v>
      </c>
      <c r="H590" s="74">
        <v>46008.24</v>
      </c>
    </row>
    <row r="591" spans="1:8" x14ac:dyDescent="0.25">
      <c r="A591" s="81" t="s">
        <v>1005</v>
      </c>
      <c r="B591" s="69" t="s">
        <v>303</v>
      </c>
      <c r="C591" s="73" t="s">
        <v>1006</v>
      </c>
      <c r="D591" s="82" t="s">
        <v>305</v>
      </c>
      <c r="E591" s="77">
        <v>21</v>
      </c>
      <c r="F591" s="74">
        <v>3300.3589714374993</v>
      </c>
      <c r="G591" s="74">
        <v>1815.0350434374998</v>
      </c>
      <c r="H591" s="74">
        <v>107423.27</v>
      </c>
    </row>
    <row r="592" spans="1:8" x14ac:dyDescent="0.25">
      <c r="A592" s="81" t="s">
        <v>1007</v>
      </c>
      <c r="B592" s="69" t="s">
        <v>303</v>
      </c>
      <c r="C592" s="73" t="s">
        <v>1008</v>
      </c>
      <c r="D592" s="82" t="s">
        <v>305</v>
      </c>
      <c r="E592" s="77">
        <v>21</v>
      </c>
      <c r="F592" s="74">
        <v>7210.0708143749989</v>
      </c>
      <c r="G592" s="74">
        <v>3341.6336593749998</v>
      </c>
      <c r="H592" s="74">
        <v>221585.79</v>
      </c>
    </row>
    <row r="593" spans="1:8" ht="25.5" x14ac:dyDescent="0.25">
      <c r="A593" s="81" t="s">
        <v>1009</v>
      </c>
      <c r="B593" s="69" t="s">
        <v>303</v>
      </c>
      <c r="C593" s="73" t="s">
        <v>1010</v>
      </c>
      <c r="D593" s="82" t="s">
        <v>305</v>
      </c>
      <c r="E593" s="77">
        <v>13</v>
      </c>
      <c r="F593" s="74">
        <v>5919.5042346874989</v>
      </c>
      <c r="G593" s="74">
        <v>2389.9106616874997</v>
      </c>
      <c r="H593" s="74">
        <v>108022.39</v>
      </c>
    </row>
    <row r="594" spans="1:8" x14ac:dyDescent="0.25">
      <c r="A594" s="63" t="s">
        <v>1005</v>
      </c>
      <c r="B594" s="63"/>
      <c r="C594" s="64" t="s">
        <v>1292</v>
      </c>
      <c r="D594" s="64"/>
      <c r="E594" s="64"/>
      <c r="F594" s="80">
        <v>3059.9312500000001</v>
      </c>
      <c r="G594" s="80">
        <v>1153.4112500000001</v>
      </c>
      <c r="H594" s="80">
        <v>483039.69000000006</v>
      </c>
    </row>
    <row r="595" spans="1:8" x14ac:dyDescent="0.25">
      <c r="A595" s="81" t="s">
        <v>1003</v>
      </c>
      <c r="B595" s="69" t="s">
        <v>303</v>
      </c>
      <c r="C595" s="73" t="s">
        <v>1004</v>
      </c>
      <c r="D595" s="82" t="s">
        <v>305</v>
      </c>
      <c r="E595" s="77">
        <v>21</v>
      </c>
      <c r="F595" s="74">
        <v>1437.52684075</v>
      </c>
      <c r="G595" s="74">
        <v>753.34219674999997</v>
      </c>
      <c r="H595" s="74">
        <v>46008.24</v>
      </c>
    </row>
    <row r="596" spans="1:8" x14ac:dyDescent="0.25">
      <c r="A596" s="81" t="s">
        <v>1005</v>
      </c>
      <c r="B596" s="69" t="s">
        <v>303</v>
      </c>
      <c r="C596" s="73" t="s">
        <v>1006</v>
      </c>
      <c r="D596" s="82" t="s">
        <v>305</v>
      </c>
      <c r="E596" s="77">
        <v>21</v>
      </c>
      <c r="F596" s="74">
        <v>3300.3589714374993</v>
      </c>
      <c r="G596" s="74">
        <v>1815.0350434374998</v>
      </c>
      <c r="H596" s="74">
        <v>107423.27</v>
      </c>
    </row>
    <row r="597" spans="1:8" x14ac:dyDescent="0.25">
      <c r="A597" s="81" t="s">
        <v>1007</v>
      </c>
      <c r="B597" s="69" t="s">
        <v>303</v>
      </c>
      <c r="C597" s="73" t="s">
        <v>1008</v>
      </c>
      <c r="D597" s="82" t="s">
        <v>305</v>
      </c>
      <c r="E597" s="77">
        <v>21</v>
      </c>
      <c r="F597" s="74">
        <v>7210.0708143749989</v>
      </c>
      <c r="G597" s="74">
        <v>3341.6336593749998</v>
      </c>
      <c r="H597" s="74">
        <v>221585.79</v>
      </c>
    </row>
    <row r="598" spans="1:8" ht="25.5" x14ac:dyDescent="0.25">
      <c r="A598" s="81" t="s">
        <v>1009</v>
      </c>
      <c r="B598" s="69" t="s">
        <v>303</v>
      </c>
      <c r="C598" s="73" t="s">
        <v>1010</v>
      </c>
      <c r="D598" s="82" t="s">
        <v>305</v>
      </c>
      <c r="E598" s="77">
        <v>13</v>
      </c>
      <c r="F598" s="74">
        <v>5919.5042346874989</v>
      </c>
      <c r="G598" s="74">
        <v>2389.9106616874997</v>
      </c>
      <c r="H598" s="74">
        <v>108022.39</v>
      </c>
    </row>
    <row r="599" spans="1:8" x14ac:dyDescent="0.25">
      <c r="A599" s="63" t="s">
        <v>1007</v>
      </c>
      <c r="B599" s="63"/>
      <c r="C599" s="64" t="s">
        <v>1293</v>
      </c>
      <c r="D599" s="64"/>
      <c r="E599" s="64"/>
      <c r="F599" s="80">
        <v>3059.9312500000001</v>
      </c>
      <c r="G599" s="80">
        <v>1153.4112500000001</v>
      </c>
      <c r="H599" s="80">
        <v>483039.69000000006</v>
      </c>
    </row>
    <row r="600" spans="1:8" x14ac:dyDescent="0.25">
      <c r="A600" s="81" t="s">
        <v>1003</v>
      </c>
      <c r="B600" s="69" t="s">
        <v>303</v>
      </c>
      <c r="C600" s="73" t="s">
        <v>1004</v>
      </c>
      <c r="D600" s="82" t="s">
        <v>305</v>
      </c>
      <c r="E600" s="77">
        <v>21</v>
      </c>
      <c r="F600" s="74">
        <v>1437.52684075</v>
      </c>
      <c r="G600" s="74">
        <v>753.34219674999997</v>
      </c>
      <c r="H600" s="74">
        <v>46008.24</v>
      </c>
    </row>
    <row r="601" spans="1:8" x14ac:dyDescent="0.25">
      <c r="A601" s="81" t="s">
        <v>1005</v>
      </c>
      <c r="B601" s="69" t="s">
        <v>303</v>
      </c>
      <c r="C601" s="73" t="s">
        <v>1006</v>
      </c>
      <c r="D601" s="82" t="s">
        <v>305</v>
      </c>
      <c r="E601" s="77">
        <v>21</v>
      </c>
      <c r="F601" s="74">
        <v>3300.3589714374993</v>
      </c>
      <c r="G601" s="74">
        <v>1815.0350434374998</v>
      </c>
      <c r="H601" s="74">
        <v>107423.27</v>
      </c>
    </row>
    <row r="602" spans="1:8" x14ac:dyDescent="0.25">
      <c r="A602" s="81" t="s">
        <v>1007</v>
      </c>
      <c r="B602" s="69" t="s">
        <v>303</v>
      </c>
      <c r="C602" s="73" t="s">
        <v>1008</v>
      </c>
      <c r="D602" s="82" t="s">
        <v>305</v>
      </c>
      <c r="E602" s="77">
        <v>21</v>
      </c>
      <c r="F602" s="74">
        <v>7210.0708143749989</v>
      </c>
      <c r="G602" s="74">
        <v>3341.6336593749998</v>
      </c>
      <c r="H602" s="74">
        <v>221585.79</v>
      </c>
    </row>
    <row r="603" spans="1:8" ht="25.5" x14ac:dyDescent="0.25">
      <c r="A603" s="81" t="s">
        <v>1009</v>
      </c>
      <c r="B603" s="69" t="s">
        <v>303</v>
      </c>
      <c r="C603" s="73" t="s">
        <v>1010</v>
      </c>
      <c r="D603" s="82" t="s">
        <v>305</v>
      </c>
      <c r="E603" s="77">
        <v>13</v>
      </c>
      <c r="F603" s="74">
        <v>5919.5042346874989</v>
      </c>
      <c r="G603" s="74">
        <v>2389.9106616874997</v>
      </c>
      <c r="H603" s="74">
        <v>108022.39</v>
      </c>
    </row>
    <row r="604" spans="1:8" x14ac:dyDescent="0.25">
      <c r="A604" s="81"/>
      <c r="B604" s="69"/>
      <c r="C604" s="73"/>
      <c r="D604" s="82"/>
      <c r="E604" s="77"/>
      <c r="F604" s="74"/>
      <c r="G604" s="74"/>
      <c r="H604" s="74"/>
    </row>
    <row r="605" spans="1:8" x14ac:dyDescent="0.25">
      <c r="A605" s="81"/>
      <c r="B605" s="69"/>
      <c r="C605" s="73"/>
      <c r="D605" s="82"/>
      <c r="E605" s="77"/>
      <c r="F605" s="74"/>
      <c r="G605" s="74"/>
      <c r="H605" s="74"/>
    </row>
    <row r="606" spans="1:8" x14ac:dyDescent="0.25">
      <c r="A606" s="81"/>
      <c r="B606" s="69"/>
      <c r="C606" s="73"/>
      <c r="D606" s="82"/>
      <c r="E606" s="77"/>
      <c r="F606" s="74"/>
      <c r="G606" s="74"/>
      <c r="H606" s="74"/>
    </row>
    <row r="607" spans="1:8" x14ac:dyDescent="0.25">
      <c r="A607" s="81"/>
      <c r="B607" s="69"/>
      <c r="C607" s="73"/>
      <c r="D607" s="82"/>
      <c r="E607" s="77"/>
      <c r="F607" s="74"/>
      <c r="G607" s="74"/>
      <c r="H607" s="74"/>
    </row>
    <row r="608" spans="1:8" x14ac:dyDescent="0.25">
      <c r="A608" s="81"/>
      <c r="B608" s="69"/>
      <c r="C608" s="73"/>
      <c r="D608" s="82"/>
      <c r="E608" s="77"/>
      <c r="F608" s="74"/>
      <c r="G608" s="74"/>
      <c r="H608" s="74"/>
    </row>
    <row r="609" spans="1:10" x14ac:dyDescent="0.25">
      <c r="A609" s="235" t="s">
        <v>1011</v>
      </c>
      <c r="B609" s="235"/>
      <c r="C609" s="236" t="s">
        <v>1012</v>
      </c>
      <c r="D609" s="236"/>
      <c r="E609" s="236"/>
      <c r="F609" s="237"/>
      <c r="G609" s="237"/>
      <c r="H609" s="237">
        <v>203626.37999999998</v>
      </c>
    </row>
    <row r="610" spans="1:10" x14ac:dyDescent="0.25">
      <c r="A610" s="81" t="s">
        <v>1013</v>
      </c>
      <c r="B610" s="69" t="s">
        <v>303</v>
      </c>
      <c r="C610" s="91" t="s">
        <v>1014</v>
      </c>
      <c r="D610" s="82" t="s">
        <v>305</v>
      </c>
      <c r="E610" s="69">
        <v>31</v>
      </c>
      <c r="F610" s="74">
        <v>213.58388757721997</v>
      </c>
      <c r="G610" s="74">
        <v>84.276728570279985</v>
      </c>
      <c r="H610" s="74">
        <v>9233.67</v>
      </c>
    </row>
    <row r="611" spans="1:10" x14ac:dyDescent="0.25">
      <c r="A611" s="81" t="s">
        <v>1015</v>
      </c>
      <c r="B611" s="69" t="s">
        <v>303</v>
      </c>
      <c r="C611" s="91" t="s">
        <v>1016</v>
      </c>
      <c r="D611" s="82" t="s">
        <v>305</v>
      </c>
      <c r="E611" s="69">
        <v>31</v>
      </c>
      <c r="F611" s="74">
        <v>355.97736203898</v>
      </c>
      <c r="G611" s="74">
        <v>140.46628911101999</v>
      </c>
      <c r="H611" s="74">
        <v>15389.75</v>
      </c>
    </row>
    <row r="612" spans="1:10" x14ac:dyDescent="0.25">
      <c r="A612" s="81" t="s">
        <v>1017</v>
      </c>
      <c r="B612" s="69" t="s">
        <v>303</v>
      </c>
      <c r="C612" s="91" t="s">
        <v>1018</v>
      </c>
      <c r="D612" s="82" t="s">
        <v>305</v>
      </c>
      <c r="E612" s="69">
        <v>31</v>
      </c>
      <c r="F612" s="74">
        <v>1568.6932357908699</v>
      </c>
      <c r="G612" s="74">
        <v>618.99266410662995</v>
      </c>
      <c r="H612" s="74">
        <v>67818.259999999995</v>
      </c>
    </row>
    <row r="613" spans="1:10" x14ac:dyDescent="0.25">
      <c r="A613" s="81" t="s">
        <v>1019</v>
      </c>
      <c r="B613" s="69" t="s">
        <v>303</v>
      </c>
      <c r="C613" s="73" t="s">
        <v>1020</v>
      </c>
      <c r="D613" s="82" t="s">
        <v>305</v>
      </c>
      <c r="E613" s="69">
        <v>31</v>
      </c>
      <c r="F613" s="74">
        <v>239.2143705277</v>
      </c>
      <c r="G613" s="74">
        <v>94.390581304799994</v>
      </c>
      <c r="H613" s="74">
        <v>10341.75</v>
      </c>
    </row>
    <row r="614" spans="1:10" x14ac:dyDescent="0.25">
      <c r="A614" s="81" t="s">
        <v>1021</v>
      </c>
      <c r="B614" s="69" t="s">
        <v>303</v>
      </c>
      <c r="C614" s="73" t="s">
        <v>1022</v>
      </c>
      <c r="D614" s="82" t="s">
        <v>305</v>
      </c>
      <c r="E614" s="69">
        <v>31</v>
      </c>
      <c r="F614" s="74">
        <v>284.78380724427001</v>
      </c>
      <c r="G614" s="74">
        <v>112.37281188073</v>
      </c>
      <c r="H614" s="74">
        <v>12311.85</v>
      </c>
    </row>
    <row r="615" spans="1:10" x14ac:dyDescent="0.25">
      <c r="A615" s="81" t="s">
        <v>1023</v>
      </c>
      <c r="B615" s="69" t="s">
        <v>303</v>
      </c>
      <c r="C615" s="73" t="s">
        <v>1024</v>
      </c>
      <c r="D615" s="82" t="s">
        <v>305</v>
      </c>
      <c r="E615" s="69">
        <v>31</v>
      </c>
      <c r="F615" s="74">
        <v>612.66250322449991</v>
      </c>
      <c r="G615" s="74">
        <v>241.75294187049997</v>
      </c>
      <c r="H615" s="74">
        <v>26486.87</v>
      </c>
    </row>
    <row r="616" spans="1:10" x14ac:dyDescent="0.25">
      <c r="A616" s="81" t="s">
        <v>1025</v>
      </c>
      <c r="B616" s="69" t="s">
        <v>303</v>
      </c>
      <c r="C616" s="73" t="s">
        <v>1026</v>
      </c>
      <c r="D616" s="82" t="s">
        <v>305</v>
      </c>
      <c r="E616" s="69">
        <v>31</v>
      </c>
      <c r="F616" s="74">
        <v>25.825707858930002</v>
      </c>
      <c r="G616" s="74">
        <v>10.18974994607</v>
      </c>
      <c r="H616" s="74">
        <v>1116.47</v>
      </c>
    </row>
    <row r="617" spans="1:10" x14ac:dyDescent="0.25">
      <c r="A617" s="81" t="s">
        <v>1027</v>
      </c>
      <c r="B617" s="69" t="s">
        <v>303</v>
      </c>
      <c r="C617" s="73" t="s">
        <v>1028</v>
      </c>
      <c r="D617" s="82" t="s">
        <v>305</v>
      </c>
      <c r="E617" s="69">
        <v>31</v>
      </c>
      <c r="F617" s="74">
        <v>106.7833194176</v>
      </c>
      <c r="G617" s="74">
        <v>42.137223977400005</v>
      </c>
      <c r="H617" s="74">
        <v>4616.53</v>
      </c>
    </row>
    <row r="618" spans="1:10" x14ac:dyDescent="0.25">
      <c r="A618" s="81" t="s">
        <v>1029</v>
      </c>
      <c r="B618" s="69" t="s">
        <v>303</v>
      </c>
      <c r="C618" s="73" t="s">
        <v>1030</v>
      </c>
      <c r="D618" s="82" t="s">
        <v>305</v>
      </c>
      <c r="E618" s="69">
        <v>31</v>
      </c>
      <c r="F618" s="74">
        <v>106.7833194176</v>
      </c>
      <c r="G618" s="74">
        <v>42.137223977400005</v>
      </c>
      <c r="H618" s="74">
        <v>4616.53</v>
      </c>
    </row>
    <row r="619" spans="1:10" x14ac:dyDescent="0.25">
      <c r="A619" s="81" t="s">
        <v>1031</v>
      </c>
      <c r="B619" s="69" t="s">
        <v>303</v>
      </c>
      <c r="C619" s="73" t="s">
        <v>1032</v>
      </c>
      <c r="D619" s="82" t="s">
        <v>305</v>
      </c>
      <c r="E619" s="69">
        <v>31</v>
      </c>
      <c r="F619" s="74">
        <v>323.06051198439997</v>
      </c>
      <c r="G619" s="74">
        <v>127.4778153681</v>
      </c>
      <c r="H619" s="74">
        <v>13966.68</v>
      </c>
    </row>
    <row r="620" spans="1:10" x14ac:dyDescent="0.25">
      <c r="A620" s="81" t="s">
        <v>1033</v>
      </c>
      <c r="B620" s="69" t="s">
        <v>303</v>
      </c>
      <c r="C620" s="73" t="s">
        <v>1034</v>
      </c>
      <c r="D620" s="82" t="s">
        <v>305</v>
      </c>
      <c r="E620" s="69">
        <v>31</v>
      </c>
      <c r="F620" s="74">
        <v>323.06051198439997</v>
      </c>
      <c r="G620" s="74">
        <v>127.4778153681</v>
      </c>
      <c r="H620" s="74">
        <v>13966.68</v>
      </c>
    </row>
    <row r="621" spans="1:10" x14ac:dyDescent="0.25">
      <c r="A621" s="81" t="s">
        <v>1035</v>
      </c>
      <c r="B621" s="69" t="s">
        <v>303</v>
      </c>
      <c r="C621" s="73" t="s">
        <v>1036</v>
      </c>
      <c r="D621" s="82" t="s">
        <v>305</v>
      </c>
      <c r="E621" s="69">
        <v>31</v>
      </c>
      <c r="F621" s="74">
        <v>414.51833017169986</v>
      </c>
      <c r="G621" s="74">
        <v>163.56416363329998</v>
      </c>
      <c r="H621" s="74">
        <v>17920.55</v>
      </c>
    </row>
    <row r="622" spans="1:10" x14ac:dyDescent="0.25">
      <c r="A622" s="81" t="s">
        <v>1037</v>
      </c>
      <c r="B622" s="69" t="s">
        <v>303</v>
      </c>
      <c r="C622" s="73" t="s">
        <v>1038</v>
      </c>
      <c r="D622" s="82" t="s">
        <v>305</v>
      </c>
      <c r="E622" s="69">
        <v>31</v>
      </c>
      <c r="F622" s="74">
        <v>135.10396567840999</v>
      </c>
      <c r="G622" s="74">
        <v>53.308630331590003</v>
      </c>
      <c r="H622" s="74">
        <v>5840.79</v>
      </c>
    </row>
    <row r="623" spans="1:10" x14ac:dyDescent="0.25">
      <c r="A623" s="235" t="s">
        <v>1039</v>
      </c>
      <c r="B623" s="235"/>
      <c r="C623" s="236" t="s">
        <v>6</v>
      </c>
      <c r="D623" s="236"/>
      <c r="E623" s="236"/>
      <c r="F623" s="237"/>
      <c r="G623" s="237"/>
      <c r="H623" s="237">
        <v>997441.19000000006</v>
      </c>
    </row>
    <row r="624" spans="1:10" x14ac:dyDescent="0.25">
      <c r="A624" s="83" t="s">
        <v>1040</v>
      </c>
      <c r="B624" s="69" t="s">
        <v>303</v>
      </c>
      <c r="C624" s="91" t="s">
        <v>1041</v>
      </c>
      <c r="D624" s="82" t="s">
        <v>305</v>
      </c>
      <c r="E624" s="69">
        <v>22</v>
      </c>
      <c r="F624" s="74">
        <v>7976.9088234639994</v>
      </c>
      <c r="G624" s="74">
        <v>3250.4449682859995</v>
      </c>
      <c r="H624" s="74">
        <v>247001.78</v>
      </c>
      <c r="J624" s="232"/>
    </row>
    <row r="625" spans="1:8" x14ac:dyDescent="0.25">
      <c r="A625" s="83" t="s">
        <v>1042</v>
      </c>
      <c r="B625" s="69" t="s">
        <v>303</v>
      </c>
      <c r="C625" s="91" t="s">
        <v>1043</v>
      </c>
      <c r="D625" s="82" t="s">
        <v>305</v>
      </c>
      <c r="E625" s="69">
        <v>22</v>
      </c>
      <c r="F625" s="74">
        <v>6204.262623347</v>
      </c>
      <c r="G625" s="74">
        <v>2528.1234540280007</v>
      </c>
      <c r="H625" s="74">
        <v>192112.49</v>
      </c>
    </row>
    <row r="626" spans="1:8" x14ac:dyDescent="0.25">
      <c r="A626" s="83" t="s">
        <v>1044</v>
      </c>
      <c r="B626" s="69" t="s">
        <v>303</v>
      </c>
      <c r="C626" s="91" t="s">
        <v>1045</v>
      </c>
      <c r="D626" s="82" t="s">
        <v>305</v>
      </c>
      <c r="E626" s="69">
        <v>22</v>
      </c>
      <c r="F626" s="74">
        <v>5484.1248161314998</v>
      </c>
      <c r="G626" s="74">
        <v>2234.6802234934994</v>
      </c>
      <c r="H626" s="74">
        <v>169813.71</v>
      </c>
    </row>
    <row r="627" spans="1:8" x14ac:dyDescent="0.25">
      <c r="A627" s="83" t="s">
        <v>1046</v>
      </c>
      <c r="B627" s="69" t="s">
        <v>303</v>
      </c>
      <c r="C627" s="91" t="s">
        <v>1047</v>
      </c>
      <c r="D627" s="82" t="s">
        <v>305</v>
      </c>
      <c r="E627" s="69">
        <v>22</v>
      </c>
      <c r="F627" s="74">
        <v>2658.9702231129995</v>
      </c>
      <c r="G627" s="74">
        <v>1083.4822713869999</v>
      </c>
      <c r="H627" s="74">
        <v>82333.95</v>
      </c>
    </row>
    <row r="628" spans="1:8" x14ac:dyDescent="0.25">
      <c r="A628" s="92" t="s">
        <v>1048</v>
      </c>
      <c r="B628" s="69" t="s">
        <v>303</v>
      </c>
      <c r="C628" s="99" t="s">
        <v>1049</v>
      </c>
      <c r="D628" s="82" t="s">
        <v>305</v>
      </c>
      <c r="E628" s="69">
        <v>22</v>
      </c>
      <c r="F628" s="74">
        <v>8309.27940915</v>
      </c>
      <c r="G628" s="74">
        <v>3385.8800214749999</v>
      </c>
      <c r="H628" s="74">
        <v>257293.5</v>
      </c>
    </row>
    <row r="629" spans="1:8" x14ac:dyDescent="0.25">
      <c r="A629" s="83" t="s">
        <v>1050</v>
      </c>
      <c r="B629" s="69" t="s">
        <v>303</v>
      </c>
      <c r="C629" s="73" t="s">
        <v>1051</v>
      </c>
      <c r="D629" s="82" t="s">
        <v>305</v>
      </c>
      <c r="E629" s="69">
        <v>22</v>
      </c>
      <c r="F629" s="74">
        <v>276.97579571749998</v>
      </c>
      <c r="G629" s="74">
        <v>112.8619290325</v>
      </c>
      <c r="H629" s="74">
        <v>8576.42</v>
      </c>
    </row>
    <row r="630" spans="1:8" x14ac:dyDescent="0.25">
      <c r="A630" s="83" t="s">
        <v>1052</v>
      </c>
      <c r="B630" s="69" t="s">
        <v>303</v>
      </c>
      <c r="C630" s="73" t="s">
        <v>1053</v>
      </c>
      <c r="D630" s="82" t="s">
        <v>305</v>
      </c>
      <c r="E630" s="69">
        <v>22</v>
      </c>
      <c r="F630" s="74">
        <v>553.95159143499995</v>
      </c>
      <c r="G630" s="74">
        <v>225.72570393999999</v>
      </c>
      <c r="H630" s="74">
        <v>17152.900000000001</v>
      </c>
    </row>
    <row r="631" spans="1:8" x14ac:dyDescent="0.25">
      <c r="A631" s="83" t="s">
        <v>1054</v>
      </c>
      <c r="B631" s="69" t="s">
        <v>303</v>
      </c>
      <c r="C631" s="91" t="s">
        <v>1055</v>
      </c>
      <c r="D631" s="82" t="s">
        <v>305</v>
      </c>
      <c r="E631" s="69">
        <v>22</v>
      </c>
      <c r="F631" s="74">
        <v>221.58100574899998</v>
      </c>
      <c r="G631" s="74">
        <v>90.290650751000001</v>
      </c>
      <c r="H631" s="74">
        <v>6861.17</v>
      </c>
    </row>
    <row r="632" spans="1:8" x14ac:dyDescent="0.25">
      <c r="A632" s="83" t="s">
        <v>1056</v>
      </c>
      <c r="B632" s="69" t="s">
        <v>303</v>
      </c>
      <c r="C632" s="91" t="s">
        <v>1057</v>
      </c>
      <c r="D632" s="82" t="s">
        <v>305</v>
      </c>
      <c r="E632" s="69">
        <v>22</v>
      </c>
      <c r="F632" s="74">
        <v>83.093107890249996</v>
      </c>
      <c r="G632" s="74">
        <v>33.859686234749994</v>
      </c>
      <c r="H632" s="74">
        <v>2572.96</v>
      </c>
    </row>
    <row r="633" spans="1:8" ht="25.5" x14ac:dyDescent="0.25">
      <c r="A633" s="83" t="s">
        <v>1058</v>
      </c>
      <c r="B633" s="69" t="s">
        <v>303</v>
      </c>
      <c r="C633" s="73" t="s">
        <v>1059</v>
      </c>
      <c r="D633" s="82" t="s">
        <v>305</v>
      </c>
      <c r="E633" s="69">
        <v>22</v>
      </c>
      <c r="F633" s="74">
        <v>443.16201149799997</v>
      </c>
      <c r="G633" s="74">
        <v>180.57945562699999</v>
      </c>
      <c r="H633" s="74">
        <v>13722.31</v>
      </c>
    </row>
    <row r="634" spans="1:8" x14ac:dyDescent="0.25">
      <c r="A634" s="235">
        <v>6</v>
      </c>
      <c r="B634" s="235"/>
      <c r="C634" s="236" t="s">
        <v>7</v>
      </c>
      <c r="D634" s="236"/>
      <c r="E634" s="236"/>
      <c r="F634" s="237"/>
      <c r="G634" s="237"/>
      <c r="H634" s="237">
        <v>304870.34999999998</v>
      </c>
    </row>
    <row r="635" spans="1:8" x14ac:dyDescent="0.25">
      <c r="A635" s="81" t="s">
        <v>1060</v>
      </c>
      <c r="B635" s="69" t="s">
        <v>303</v>
      </c>
      <c r="C635" s="70" t="s">
        <v>1061</v>
      </c>
      <c r="D635" s="69" t="s">
        <v>305</v>
      </c>
      <c r="E635" s="69">
        <v>47</v>
      </c>
      <c r="F635" s="74">
        <v>2259.3002384375</v>
      </c>
      <c r="G635" s="74">
        <v>851.62119643749998</v>
      </c>
      <c r="H635" s="74">
        <v>146213.29999999999</v>
      </c>
    </row>
    <row r="636" spans="1:8" ht="25.5" x14ac:dyDescent="0.25">
      <c r="A636" s="81" t="s">
        <v>1062</v>
      </c>
      <c r="B636" s="69" t="s">
        <v>303</v>
      </c>
      <c r="C636" s="70" t="s">
        <v>1063</v>
      </c>
      <c r="D636" s="69" t="s">
        <v>305</v>
      </c>
      <c r="E636" s="69">
        <v>21</v>
      </c>
      <c r="F636" s="74">
        <v>5486.8735898124996</v>
      </c>
      <c r="G636" s="74">
        <v>2068.2244878124998</v>
      </c>
      <c r="H636" s="74">
        <v>158657.04999999999</v>
      </c>
    </row>
    <row r="637" spans="1:8" x14ac:dyDescent="0.25">
      <c r="A637" s="512" t="s">
        <v>1064</v>
      </c>
      <c r="B637" s="513"/>
      <c r="C637" s="513"/>
      <c r="D637" s="513"/>
      <c r="E637" s="513"/>
      <c r="F637" s="513"/>
      <c r="G637" s="513"/>
      <c r="H637" s="100" t="e">
        <f>SUM(H634,H623,H609,H588,H178,H5)</f>
        <v>#REF!</v>
      </c>
    </row>
  </sheetData>
  <mergeCells count="3">
    <mergeCell ref="A1:H2"/>
    <mergeCell ref="A3:H3"/>
    <mergeCell ref="A637:G637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47"/>
  <sheetViews>
    <sheetView tabSelected="1" view="pageBreakPreview" zoomScale="85" zoomScaleNormal="85" zoomScaleSheetLayoutView="85" workbookViewId="0">
      <pane ySplit="4" topLeftCell="A440" activePane="bottomLeft" state="frozen"/>
      <selection activeCell="B3" sqref="B3:F3"/>
      <selection pane="bottomLeft" activeCell="D455" sqref="D455"/>
    </sheetView>
  </sheetViews>
  <sheetFormatPr defaultRowHeight="15" x14ac:dyDescent="0.25"/>
  <cols>
    <col min="1" max="1" width="1.140625" customWidth="1"/>
    <col min="3" max="3" width="18.42578125" customWidth="1"/>
    <col min="4" max="4" width="48.85546875" customWidth="1"/>
    <col min="7" max="7" width="16" bestFit="1" customWidth="1"/>
    <col min="8" max="8" width="13.28515625" bestFit="1" customWidth="1"/>
    <col min="9" max="9" width="16" bestFit="1" customWidth="1"/>
    <col min="10" max="10" width="1" customWidth="1"/>
  </cols>
  <sheetData>
    <row r="1" spans="1:9" x14ac:dyDescent="0.25">
      <c r="B1" s="491" t="s">
        <v>240</v>
      </c>
      <c r="C1" s="491"/>
      <c r="D1" s="491"/>
      <c r="E1" s="491"/>
      <c r="F1" s="491"/>
      <c r="G1" s="491"/>
      <c r="H1" s="491"/>
      <c r="I1" s="491"/>
    </row>
    <row r="2" spans="1:9" x14ac:dyDescent="0.25">
      <c r="A2" s="302"/>
      <c r="B2" s="491"/>
      <c r="C2" s="491"/>
      <c r="D2" s="491"/>
      <c r="E2" s="491"/>
      <c r="F2" s="491"/>
      <c r="G2" s="491"/>
      <c r="H2" s="491"/>
      <c r="I2" s="491"/>
    </row>
    <row r="3" spans="1:9" ht="32.25" customHeight="1" x14ac:dyDescent="0.25">
      <c r="B3" s="492" t="str">
        <f>BDI!B2</f>
        <v>OBJETO: SERVIÇOS DE MONTAGEM E DESMONTAGEM DE ESTRUTURA, SOM E ILUMINAÇÃO INCLUINDO FORNECIMENTO, INSTALAÇÃO E MANUTENÇÃO; E  SERVIÇOS DE CAPTAÇÃO E TRANSMISSÃO DE IMAGENS - SÃO JOÃO 2026</v>
      </c>
      <c r="C3" s="492"/>
      <c r="D3" s="492"/>
      <c r="E3" s="492"/>
      <c r="F3" s="492"/>
      <c r="G3" s="492"/>
      <c r="H3" s="492"/>
      <c r="I3" s="492"/>
    </row>
    <row r="4" spans="1:9" x14ac:dyDescent="0.25">
      <c r="B4" s="2" t="s">
        <v>1</v>
      </c>
      <c r="C4" s="2" t="s">
        <v>241</v>
      </c>
      <c r="D4" s="2" t="s">
        <v>2</v>
      </c>
      <c r="E4" s="61" t="s">
        <v>13</v>
      </c>
      <c r="F4" s="61" t="s">
        <v>14</v>
      </c>
      <c r="G4" s="62" t="s">
        <v>242</v>
      </c>
      <c r="H4" s="62" t="s">
        <v>243</v>
      </c>
      <c r="I4" s="62" t="s">
        <v>244</v>
      </c>
    </row>
    <row r="5" spans="1:9" x14ac:dyDescent="0.25">
      <c r="B5" s="267" t="s">
        <v>245</v>
      </c>
      <c r="C5" s="267"/>
      <c r="D5" s="268" t="s">
        <v>1295</v>
      </c>
      <c r="E5" s="268"/>
      <c r="F5" s="268"/>
      <c r="G5" s="269"/>
      <c r="H5" s="269"/>
      <c r="I5" s="269">
        <f>SUM(I6,I47,I137)</f>
        <v>0</v>
      </c>
    </row>
    <row r="6" spans="1:9" x14ac:dyDescent="0.25">
      <c r="B6" s="63" t="s">
        <v>246</v>
      </c>
      <c r="C6" s="63"/>
      <c r="D6" s="64" t="s">
        <v>4</v>
      </c>
      <c r="E6" s="64"/>
      <c r="F6" s="64"/>
      <c r="G6" s="65"/>
      <c r="H6" s="65"/>
      <c r="I6" s="65">
        <f>SUM(I7,I8,I9,I10,I11,I12,I14,I17,I20,I24,I27,I29,I32,I34,I40,I43)</f>
        <v>0</v>
      </c>
    </row>
    <row r="7" spans="1:9" s="247" customFormat="1" x14ac:dyDescent="0.25">
      <c r="B7" s="66" t="s">
        <v>1296</v>
      </c>
      <c r="C7" s="66" t="s">
        <v>1369</v>
      </c>
      <c r="D7" s="67" t="s">
        <v>1333</v>
      </c>
      <c r="E7" s="66" t="s">
        <v>248</v>
      </c>
      <c r="F7" s="66">
        <v>1</v>
      </c>
      <c r="G7" s="68">
        <f>'Composição UNIT.'!H25</f>
        <v>0</v>
      </c>
      <c r="H7" s="68">
        <f>'Composição UNIT.'!H15</f>
        <v>0</v>
      </c>
      <c r="I7" s="68">
        <f>H7+G7</f>
        <v>0</v>
      </c>
    </row>
    <row r="8" spans="1:9" s="247" customFormat="1" x14ac:dyDescent="0.25">
      <c r="B8" s="66" t="s">
        <v>1297</v>
      </c>
      <c r="C8" s="66" t="s">
        <v>1370</v>
      </c>
      <c r="D8" s="67" t="s">
        <v>1334</v>
      </c>
      <c r="E8" s="66" t="s">
        <v>248</v>
      </c>
      <c r="F8" s="66">
        <v>1</v>
      </c>
      <c r="G8" s="68">
        <f>'Composição UNIT.'!H51</f>
        <v>0</v>
      </c>
      <c r="H8" s="68">
        <f>'Composição UNIT.'!H41</f>
        <v>0</v>
      </c>
      <c r="I8" s="68">
        <f>H8+G8</f>
        <v>0</v>
      </c>
    </row>
    <row r="9" spans="1:9" s="247" customFormat="1" x14ac:dyDescent="0.25">
      <c r="B9" s="66" t="s">
        <v>1298</v>
      </c>
      <c r="C9" s="66" t="s">
        <v>1377</v>
      </c>
      <c r="D9" s="67" t="s">
        <v>1946</v>
      </c>
      <c r="E9" s="66" t="s">
        <v>248</v>
      </c>
      <c r="F9" s="66">
        <v>1</v>
      </c>
      <c r="G9" s="68">
        <f>'Composição UNIT.'!H103</f>
        <v>0</v>
      </c>
      <c r="H9" s="68">
        <f>'Composição UNIT.'!H93</f>
        <v>0</v>
      </c>
      <c r="I9" s="68">
        <f>H9+G9</f>
        <v>0</v>
      </c>
    </row>
    <row r="10" spans="1:9" s="247" customFormat="1" x14ac:dyDescent="0.25">
      <c r="B10" s="66" t="s">
        <v>1299</v>
      </c>
      <c r="C10" s="66" t="s">
        <v>1371</v>
      </c>
      <c r="D10" s="67" t="s">
        <v>1919</v>
      </c>
      <c r="E10" s="66" t="s">
        <v>248</v>
      </c>
      <c r="F10" s="66">
        <v>1</v>
      </c>
      <c r="G10" s="68">
        <f>'Composição UNIT.'!H129</f>
        <v>0</v>
      </c>
      <c r="H10" s="68">
        <f>'Composição UNIT.'!H119</f>
        <v>0</v>
      </c>
      <c r="I10" s="68">
        <f>H10+G10</f>
        <v>0</v>
      </c>
    </row>
    <row r="11" spans="1:9" s="247" customFormat="1" x14ac:dyDescent="0.25">
      <c r="B11" s="66" t="s">
        <v>1300</v>
      </c>
      <c r="C11" s="66" t="s">
        <v>1372</v>
      </c>
      <c r="D11" s="67" t="s">
        <v>1968</v>
      </c>
      <c r="E11" s="66" t="s">
        <v>248</v>
      </c>
      <c r="F11" s="66">
        <v>1</v>
      </c>
      <c r="G11" s="68">
        <f>'Composição UNIT.'!H155</f>
        <v>0</v>
      </c>
      <c r="H11" s="68">
        <f>'Composição UNIT.'!H145</f>
        <v>0</v>
      </c>
      <c r="I11" s="68">
        <f>ROUND(G11+H11,2)</f>
        <v>0</v>
      </c>
    </row>
    <row r="12" spans="1:9" s="247" customFormat="1" x14ac:dyDescent="0.25">
      <c r="B12" s="66" t="s">
        <v>1301</v>
      </c>
      <c r="C12" s="66"/>
      <c r="D12" s="67" t="s">
        <v>273</v>
      </c>
      <c r="E12" s="67"/>
      <c r="F12" s="67"/>
      <c r="G12" s="68"/>
      <c r="H12" s="68"/>
      <c r="I12" s="68">
        <f>SUM(I13)</f>
        <v>0</v>
      </c>
    </row>
    <row r="13" spans="1:9" s="247" customFormat="1" x14ac:dyDescent="0.25">
      <c r="B13" s="69" t="s">
        <v>1362</v>
      </c>
      <c r="C13" s="69" t="s">
        <v>1385</v>
      </c>
      <c r="D13" s="238" t="s">
        <v>1449</v>
      </c>
      <c r="E13" s="69" t="s">
        <v>248</v>
      </c>
      <c r="F13" s="69">
        <v>1</v>
      </c>
      <c r="G13" s="74">
        <f>'Composição UNIT.'!H468*26</f>
        <v>0</v>
      </c>
      <c r="H13" s="74">
        <f>'Composição UNIT.'!H458*26</f>
        <v>0</v>
      </c>
      <c r="I13" s="74">
        <f>ROUND(G13+H13,2)</f>
        <v>0</v>
      </c>
    </row>
    <row r="14" spans="1:9" s="247" customFormat="1" x14ac:dyDescent="0.25">
      <c r="B14" s="66" t="s">
        <v>1302</v>
      </c>
      <c r="C14" s="66"/>
      <c r="D14" s="239" t="s">
        <v>278</v>
      </c>
      <c r="E14" s="67"/>
      <c r="F14" s="67"/>
      <c r="G14" s="68"/>
      <c r="H14" s="68"/>
      <c r="I14" s="68">
        <f>SUM(I15:I16)</f>
        <v>0</v>
      </c>
    </row>
    <row r="15" spans="1:9" s="247" customFormat="1" x14ac:dyDescent="0.25">
      <c r="B15" s="69" t="s">
        <v>1303</v>
      </c>
      <c r="C15" s="69" t="s">
        <v>1425</v>
      </c>
      <c r="D15" s="70" t="s">
        <v>1988</v>
      </c>
      <c r="E15" s="69" t="s">
        <v>248</v>
      </c>
      <c r="F15" s="69">
        <v>1</v>
      </c>
      <c r="G15" s="71">
        <f>'Composição UNIT.'!H520*2</f>
        <v>0</v>
      </c>
      <c r="H15" s="71">
        <f>'Composição UNIT.'!H510*2</f>
        <v>0</v>
      </c>
      <c r="I15" s="74">
        <f>ROUND(G15+H15,2)</f>
        <v>0</v>
      </c>
    </row>
    <row r="16" spans="1:9" s="247" customFormat="1" x14ac:dyDescent="0.25">
      <c r="B16" s="69" t="s">
        <v>1304</v>
      </c>
      <c r="C16" s="69" t="s">
        <v>1387</v>
      </c>
      <c r="D16" s="70" t="s">
        <v>1989</v>
      </c>
      <c r="E16" s="69" t="s">
        <v>248</v>
      </c>
      <c r="F16" s="69">
        <v>1</v>
      </c>
      <c r="G16" s="71">
        <f>'Composição UNIT.'!H546*2</f>
        <v>0</v>
      </c>
      <c r="H16" s="71">
        <f>'Composição UNIT.'!H536*2</f>
        <v>0</v>
      </c>
      <c r="I16" s="74">
        <f>ROUND(G16+H16,2)</f>
        <v>0</v>
      </c>
    </row>
    <row r="17" spans="2:9" s="247" customFormat="1" x14ac:dyDescent="0.25">
      <c r="B17" s="66" t="s">
        <v>1305</v>
      </c>
      <c r="C17" s="66"/>
      <c r="D17" s="67" t="s">
        <v>136</v>
      </c>
      <c r="E17" s="67"/>
      <c r="F17" s="67"/>
      <c r="G17" s="68"/>
      <c r="H17" s="68"/>
      <c r="I17" s="68">
        <f>SUM(I18:I19)</f>
        <v>0</v>
      </c>
    </row>
    <row r="18" spans="2:9" s="247" customFormat="1" x14ac:dyDescent="0.25">
      <c r="B18" s="69" t="s">
        <v>1363</v>
      </c>
      <c r="C18" s="69" t="s">
        <v>1432</v>
      </c>
      <c r="D18" s="70" t="s">
        <v>280</v>
      </c>
      <c r="E18" s="69" t="s">
        <v>248</v>
      </c>
      <c r="F18" s="69">
        <v>1</v>
      </c>
      <c r="G18" s="74">
        <f>'Composição UNIT.'!H706</f>
        <v>0</v>
      </c>
      <c r="H18" s="74">
        <f>'Composição UNIT.'!H696</f>
        <v>0</v>
      </c>
      <c r="I18" s="74">
        <f>ROUND(G18+H18,2)</f>
        <v>0</v>
      </c>
    </row>
    <row r="19" spans="2:9" s="247" customFormat="1" x14ac:dyDescent="0.25">
      <c r="B19" s="69" t="s">
        <v>1364</v>
      </c>
      <c r="C19" s="69" t="s">
        <v>1433</v>
      </c>
      <c r="D19" s="70" t="s">
        <v>282</v>
      </c>
      <c r="E19" s="69" t="s">
        <v>248</v>
      </c>
      <c r="F19" s="69">
        <v>1</v>
      </c>
      <c r="G19" s="74">
        <f>'Composição UNIT.'!H732</f>
        <v>0</v>
      </c>
      <c r="H19" s="74">
        <f>'Composição UNIT.'!H722</f>
        <v>0</v>
      </c>
      <c r="I19" s="74">
        <f>ROUND(G19+H19,2)</f>
        <v>0</v>
      </c>
    </row>
    <row r="20" spans="2:9" s="247" customFormat="1" x14ac:dyDescent="0.25">
      <c r="B20" s="248" t="s">
        <v>1306</v>
      </c>
      <c r="C20" s="66"/>
      <c r="D20" s="67" t="s">
        <v>168</v>
      </c>
      <c r="E20" s="67"/>
      <c r="F20" s="67"/>
      <c r="G20" s="68"/>
      <c r="H20" s="68"/>
      <c r="I20" s="68">
        <f>SUM(I21:I23)</f>
        <v>0</v>
      </c>
    </row>
    <row r="21" spans="2:9" s="247" customFormat="1" x14ac:dyDescent="0.25">
      <c r="B21" s="249" t="s">
        <v>1365</v>
      </c>
      <c r="C21" s="69" t="s">
        <v>1426</v>
      </c>
      <c r="D21" s="238" t="s">
        <v>2022</v>
      </c>
      <c r="E21" s="69" t="s">
        <v>248</v>
      </c>
      <c r="F21" s="69">
        <v>1</v>
      </c>
      <c r="G21" s="74">
        <f>'Composição UNIT.'!H573*1720</f>
        <v>0</v>
      </c>
      <c r="H21" s="74">
        <f>'Composição UNIT.'!H563*1720</f>
        <v>0</v>
      </c>
      <c r="I21" s="74">
        <f>ROUND(G21+H21,2)</f>
        <v>0</v>
      </c>
    </row>
    <row r="22" spans="2:9" s="247" customFormat="1" x14ac:dyDescent="0.25">
      <c r="B22" s="249" t="s">
        <v>1947</v>
      </c>
      <c r="C22" s="69" t="s">
        <v>1427</v>
      </c>
      <c r="D22" s="238" t="s">
        <v>2023</v>
      </c>
      <c r="E22" s="69" t="s">
        <v>248</v>
      </c>
      <c r="F22" s="69">
        <v>1</v>
      </c>
      <c r="G22" s="74">
        <f>'Composição UNIT.'!H599*1040</f>
        <v>0</v>
      </c>
      <c r="H22" s="74">
        <f>'Composição UNIT.'!H589*1040</f>
        <v>0</v>
      </c>
      <c r="I22" s="74">
        <f>ROUND(G22+H22,2)</f>
        <v>0</v>
      </c>
    </row>
    <row r="23" spans="2:9" s="247" customFormat="1" x14ac:dyDescent="0.25">
      <c r="B23" s="249" t="s">
        <v>1992</v>
      </c>
      <c r="C23" s="69" t="s">
        <v>1428</v>
      </c>
      <c r="D23" s="238" t="s">
        <v>2024</v>
      </c>
      <c r="E23" s="69" t="s">
        <v>248</v>
      </c>
      <c r="F23" s="69">
        <v>1</v>
      </c>
      <c r="G23" s="74">
        <f>'Composição UNIT.'!H625*550</f>
        <v>0</v>
      </c>
      <c r="H23" s="74">
        <f>'Composição UNIT.'!H615*550</f>
        <v>0</v>
      </c>
      <c r="I23" s="74">
        <f>ROUND(G23+H23,2)</f>
        <v>0</v>
      </c>
    </row>
    <row r="24" spans="2:9" s="247" customFormat="1" x14ac:dyDescent="0.25">
      <c r="B24" s="248" t="s">
        <v>1307</v>
      </c>
      <c r="C24" s="66"/>
      <c r="D24" s="67" t="s">
        <v>290</v>
      </c>
      <c r="E24" s="67"/>
      <c r="F24" s="67"/>
      <c r="G24" s="68"/>
      <c r="H24" s="68"/>
      <c r="I24" s="68">
        <f>SUM(I25:I26)</f>
        <v>0</v>
      </c>
    </row>
    <row r="25" spans="2:9" s="247" customFormat="1" x14ac:dyDescent="0.25">
      <c r="B25" s="249" t="s">
        <v>1308</v>
      </c>
      <c r="C25" s="69" t="s">
        <v>1429</v>
      </c>
      <c r="D25" s="238" t="s">
        <v>2025</v>
      </c>
      <c r="E25" s="69" t="s">
        <v>248</v>
      </c>
      <c r="F25" s="69">
        <v>1</v>
      </c>
      <c r="G25" s="74">
        <f>'Composição UNIT.'!H652*99</f>
        <v>0</v>
      </c>
      <c r="H25" s="74">
        <f>'Composição UNIT.'!H642*99</f>
        <v>0</v>
      </c>
      <c r="I25" s="74">
        <f>ROUND(G25+H25,2)</f>
        <v>0</v>
      </c>
    </row>
    <row r="26" spans="2:9" s="247" customFormat="1" x14ac:dyDescent="0.25">
      <c r="B26" s="249" t="s">
        <v>1309</v>
      </c>
      <c r="C26" s="69" t="s">
        <v>1430</v>
      </c>
      <c r="D26" s="238" t="s">
        <v>1329</v>
      </c>
      <c r="E26" s="69" t="s">
        <v>248</v>
      </c>
      <c r="F26" s="69">
        <v>1</v>
      </c>
      <c r="G26" s="74">
        <f>'Composição UNIT.'!H679*10</f>
        <v>0</v>
      </c>
      <c r="H26" s="74">
        <f>'Composição UNIT.'!H669*10</f>
        <v>0</v>
      </c>
      <c r="I26" s="74">
        <f>ROUND(G26+H26,2)</f>
        <v>0</v>
      </c>
    </row>
    <row r="27" spans="2:9" s="247" customFormat="1" x14ac:dyDescent="0.25">
      <c r="B27" s="248" t="s">
        <v>1310</v>
      </c>
      <c r="C27" s="66"/>
      <c r="D27" s="250" t="s">
        <v>293</v>
      </c>
      <c r="E27" s="67"/>
      <c r="F27" s="67"/>
      <c r="G27" s="68"/>
      <c r="H27" s="68"/>
      <c r="I27" s="68">
        <f>SUM(I28:I28)</f>
        <v>0</v>
      </c>
    </row>
    <row r="28" spans="2:9" s="247" customFormat="1" x14ac:dyDescent="0.25">
      <c r="B28" s="249" t="s">
        <v>1311</v>
      </c>
      <c r="C28" s="69" t="s">
        <v>1435</v>
      </c>
      <c r="D28" s="238" t="s">
        <v>1332</v>
      </c>
      <c r="E28" s="69" t="s">
        <v>248</v>
      </c>
      <c r="F28" s="69">
        <v>1</v>
      </c>
      <c r="G28" s="71">
        <f>'Composição UNIT.'!H758*400</f>
        <v>0</v>
      </c>
      <c r="H28" s="71">
        <f>'Composição UNIT.'!H748*400</f>
        <v>0</v>
      </c>
      <c r="I28" s="74">
        <f>ROUND(G28+H28,2)</f>
        <v>0</v>
      </c>
    </row>
    <row r="29" spans="2:9" s="247" customFormat="1" x14ac:dyDescent="0.25">
      <c r="B29" s="248" t="s">
        <v>1312</v>
      </c>
      <c r="C29" s="66"/>
      <c r="D29" s="67" t="s">
        <v>214</v>
      </c>
      <c r="E29" s="67"/>
      <c r="F29" s="67"/>
      <c r="G29" s="68"/>
      <c r="H29" s="68"/>
      <c r="I29" s="68">
        <f>SUM(I30:I31)</f>
        <v>0</v>
      </c>
    </row>
    <row r="30" spans="2:9" s="247" customFormat="1" x14ac:dyDescent="0.25">
      <c r="B30" s="249" t="s">
        <v>1313</v>
      </c>
      <c r="C30" s="69" t="s">
        <v>1436</v>
      </c>
      <c r="D30" s="238" t="s">
        <v>1893</v>
      </c>
      <c r="E30" s="69" t="s">
        <v>248</v>
      </c>
      <c r="F30" s="69">
        <v>1</v>
      </c>
      <c r="G30" s="74">
        <f>'Composição UNIT.'!H785*4</f>
        <v>0</v>
      </c>
      <c r="H30" s="74">
        <f>'Composição UNIT.'!H775*4</f>
        <v>0</v>
      </c>
      <c r="I30" s="74">
        <f>ROUND(G30+H30,2)</f>
        <v>0</v>
      </c>
    </row>
    <row r="31" spans="2:9" s="247" customFormat="1" x14ac:dyDescent="0.25">
      <c r="B31" s="249" t="s">
        <v>1314</v>
      </c>
      <c r="C31" s="69" t="s">
        <v>1439</v>
      </c>
      <c r="D31" s="238" t="s">
        <v>2026</v>
      </c>
      <c r="E31" s="69" t="s">
        <v>248</v>
      </c>
      <c r="F31" s="69">
        <v>1</v>
      </c>
      <c r="G31" s="74">
        <f>'Composição UNIT.'!H811*30</f>
        <v>0</v>
      </c>
      <c r="H31" s="71">
        <f>'Composição UNIT.'!H801*30</f>
        <v>0</v>
      </c>
      <c r="I31" s="74">
        <f>ROUND(G31+H31,2)</f>
        <v>0</v>
      </c>
    </row>
    <row r="32" spans="2:9" s="247" customFormat="1" x14ac:dyDescent="0.25">
      <c r="B32" s="248" t="s">
        <v>1315</v>
      </c>
      <c r="C32" s="66"/>
      <c r="D32" s="67" t="s">
        <v>2120</v>
      </c>
      <c r="E32" s="67"/>
      <c r="F32" s="67"/>
      <c r="G32" s="68"/>
      <c r="H32" s="68"/>
      <c r="I32" s="68">
        <f>SUM(I33:I33)</f>
        <v>0</v>
      </c>
    </row>
    <row r="33" spans="2:9" s="247" customFormat="1" x14ac:dyDescent="0.25">
      <c r="B33" s="249" t="s">
        <v>1316</v>
      </c>
      <c r="C33" s="69" t="s">
        <v>1378</v>
      </c>
      <c r="D33" s="238" t="s">
        <v>1336</v>
      </c>
      <c r="E33" s="69" t="s">
        <v>248</v>
      </c>
      <c r="F33" s="69">
        <v>1</v>
      </c>
      <c r="G33" s="74">
        <f>'Composição UNIT.'!H285*1</f>
        <v>0</v>
      </c>
      <c r="H33" s="74">
        <f>'Composição UNIT.'!H275*1</f>
        <v>0</v>
      </c>
      <c r="I33" s="74">
        <f>ROUND(G33+H33,2)</f>
        <v>0</v>
      </c>
    </row>
    <row r="34" spans="2:9" s="247" customFormat="1" x14ac:dyDescent="0.25">
      <c r="B34" s="248" t="s">
        <v>1948</v>
      </c>
      <c r="C34" s="66"/>
      <c r="D34" s="67" t="s">
        <v>301</v>
      </c>
      <c r="E34" s="67"/>
      <c r="F34" s="67"/>
      <c r="G34" s="68"/>
      <c r="H34" s="68"/>
      <c r="I34" s="68">
        <f>SUM(I35:I39)</f>
        <v>0</v>
      </c>
    </row>
    <row r="35" spans="2:9" s="247" customFormat="1" x14ac:dyDescent="0.25">
      <c r="B35" s="249" t="s">
        <v>1949</v>
      </c>
      <c r="C35" s="69" t="s">
        <v>303</v>
      </c>
      <c r="D35" s="238" t="s">
        <v>1453</v>
      </c>
      <c r="E35" s="249" t="s">
        <v>305</v>
      </c>
      <c r="F35" s="69">
        <v>31</v>
      </c>
      <c r="G35" s="71">
        <f>Insumos!D88*600</f>
        <v>0</v>
      </c>
      <c r="H35" s="74">
        <f>G35*0.25</f>
        <v>0</v>
      </c>
      <c r="I35" s="74">
        <f>ROUND(G35+H35,2)</f>
        <v>0</v>
      </c>
    </row>
    <row r="36" spans="2:9" s="247" customFormat="1" x14ac:dyDescent="0.25">
      <c r="B36" s="249" t="s">
        <v>1950</v>
      </c>
      <c r="C36" s="69" t="s">
        <v>303</v>
      </c>
      <c r="D36" s="238" t="s">
        <v>1801</v>
      </c>
      <c r="E36" s="249" t="s">
        <v>305</v>
      </c>
      <c r="F36" s="69">
        <v>31</v>
      </c>
      <c r="G36" s="71">
        <f>Insumos!D89*200</f>
        <v>0</v>
      </c>
      <c r="H36" s="74">
        <f t="shared" ref="H36:H39" si="0">G36*0.25</f>
        <v>0</v>
      </c>
      <c r="I36" s="74">
        <f t="shared" ref="I36:I39" si="1">ROUND(G36+H36,2)</f>
        <v>0</v>
      </c>
    </row>
    <row r="37" spans="2:9" s="247" customFormat="1" x14ac:dyDescent="0.25">
      <c r="B37" s="249" t="s">
        <v>1993</v>
      </c>
      <c r="C37" s="69" t="s">
        <v>303</v>
      </c>
      <c r="D37" s="238" t="s">
        <v>309</v>
      </c>
      <c r="E37" s="265" t="s">
        <v>305</v>
      </c>
      <c r="F37" s="69">
        <v>31</v>
      </c>
      <c r="G37" s="71">
        <f>Insumos!D90*30</f>
        <v>0</v>
      </c>
      <c r="H37" s="74">
        <f t="shared" si="0"/>
        <v>0</v>
      </c>
      <c r="I37" s="74">
        <f t="shared" si="1"/>
        <v>0</v>
      </c>
    </row>
    <row r="38" spans="2:9" s="247" customFormat="1" x14ac:dyDescent="0.25">
      <c r="B38" s="249" t="s">
        <v>1994</v>
      </c>
      <c r="C38" s="69" t="s">
        <v>303</v>
      </c>
      <c r="D38" s="238" t="s">
        <v>2027</v>
      </c>
      <c r="E38" s="265" t="s">
        <v>305</v>
      </c>
      <c r="F38" s="69">
        <v>31</v>
      </c>
      <c r="G38" s="71">
        <f>Insumos!D91*38</f>
        <v>0</v>
      </c>
      <c r="H38" s="74">
        <f t="shared" si="0"/>
        <v>0</v>
      </c>
      <c r="I38" s="74">
        <f t="shared" si="1"/>
        <v>0</v>
      </c>
    </row>
    <row r="39" spans="2:9" s="247" customFormat="1" x14ac:dyDescent="0.25">
      <c r="B39" s="249" t="s">
        <v>1995</v>
      </c>
      <c r="C39" s="69" t="s">
        <v>303</v>
      </c>
      <c r="D39" s="238" t="s">
        <v>1459</v>
      </c>
      <c r="E39" s="265" t="s">
        <v>305</v>
      </c>
      <c r="F39" s="69">
        <v>31</v>
      </c>
      <c r="G39" s="71">
        <f>Insumos!D92*4000</f>
        <v>0</v>
      </c>
      <c r="H39" s="74">
        <f t="shared" si="0"/>
        <v>0</v>
      </c>
      <c r="I39" s="74">
        <f t="shared" si="1"/>
        <v>0</v>
      </c>
    </row>
    <row r="40" spans="2:9" s="247" customFormat="1" x14ac:dyDescent="0.25">
      <c r="B40" s="248" t="s">
        <v>1996</v>
      </c>
      <c r="C40" s="66"/>
      <c r="D40" s="67" t="s">
        <v>315</v>
      </c>
      <c r="E40" s="67"/>
      <c r="F40" s="67"/>
      <c r="G40" s="68"/>
      <c r="H40" s="68"/>
      <c r="I40" s="68">
        <f>SUM(I41:I42)</f>
        <v>0</v>
      </c>
    </row>
    <row r="41" spans="2:9" s="247" customFormat="1" x14ac:dyDescent="0.25">
      <c r="B41" s="249" t="s">
        <v>1997</v>
      </c>
      <c r="C41" s="69" t="s">
        <v>303</v>
      </c>
      <c r="D41" s="238" t="s">
        <v>1324</v>
      </c>
      <c r="E41" s="69" t="s">
        <v>305</v>
      </c>
      <c r="F41" s="69">
        <v>31</v>
      </c>
      <c r="G41" s="74">
        <f>Insumos!D94*326*0.75</f>
        <v>0</v>
      </c>
      <c r="H41" s="74">
        <f>Insumos!D94*326*0.25</f>
        <v>0</v>
      </c>
      <c r="I41" s="74">
        <f>ROUND(G41+H41,2)</f>
        <v>0</v>
      </c>
    </row>
    <row r="42" spans="2:9" s="247" customFormat="1" x14ac:dyDescent="0.25">
      <c r="B42" s="249" t="s">
        <v>1998</v>
      </c>
      <c r="C42" s="69" t="s">
        <v>303</v>
      </c>
      <c r="D42" s="238" t="s">
        <v>1325</v>
      </c>
      <c r="E42" s="69" t="s">
        <v>305</v>
      </c>
      <c r="F42" s="69">
        <v>31</v>
      </c>
      <c r="G42" s="74">
        <f>Insumos!D95*7*0.75</f>
        <v>0</v>
      </c>
      <c r="H42" s="74">
        <f>Insumos!D95*7*0.25</f>
        <v>0</v>
      </c>
      <c r="I42" s="74">
        <f>ROUND(G42+H42,2)</f>
        <v>0</v>
      </c>
    </row>
    <row r="43" spans="2:9" s="247" customFormat="1" x14ac:dyDescent="0.25">
      <c r="B43" s="66" t="s">
        <v>1999</v>
      </c>
      <c r="C43" s="66"/>
      <c r="D43" s="67" t="s">
        <v>321</v>
      </c>
      <c r="E43" s="67"/>
      <c r="F43" s="67"/>
      <c r="G43" s="68"/>
      <c r="H43" s="68"/>
      <c r="I43" s="68">
        <f>SUM(I44:I46)</f>
        <v>0</v>
      </c>
    </row>
    <row r="44" spans="2:9" s="247" customFormat="1" x14ac:dyDescent="0.25">
      <c r="B44" s="69" t="s">
        <v>2000</v>
      </c>
      <c r="C44" s="69" t="s">
        <v>303</v>
      </c>
      <c r="D44" s="70" t="s">
        <v>2071</v>
      </c>
      <c r="E44" s="69" t="s">
        <v>305</v>
      </c>
      <c r="F44" s="69">
        <v>31</v>
      </c>
      <c r="G44" s="74">
        <f>Insumos!D43*31*2</f>
        <v>0</v>
      </c>
      <c r="H44" s="74">
        <f t="shared" ref="H44:H46" si="2">G44*0.25</f>
        <v>0</v>
      </c>
      <c r="I44" s="74">
        <f>ROUND(G44+H44,2)</f>
        <v>0</v>
      </c>
    </row>
    <row r="45" spans="2:9" s="247" customFormat="1" x14ac:dyDescent="0.25">
      <c r="B45" s="69" t="s">
        <v>2001</v>
      </c>
      <c r="C45" s="69" t="s">
        <v>303</v>
      </c>
      <c r="D45" s="70" t="s">
        <v>2072</v>
      </c>
      <c r="E45" s="69" t="s">
        <v>305</v>
      </c>
      <c r="F45" s="69">
        <v>31</v>
      </c>
      <c r="G45" s="74">
        <f>Insumos!D44*31*2</f>
        <v>0</v>
      </c>
      <c r="H45" s="74">
        <f t="shared" si="2"/>
        <v>0</v>
      </c>
      <c r="I45" s="74">
        <f t="shared" ref="I45:I46" si="3">ROUND(G45+H45,2)</f>
        <v>0</v>
      </c>
    </row>
    <row r="46" spans="2:9" s="247" customFormat="1" x14ac:dyDescent="0.25">
      <c r="B46" s="69" t="s">
        <v>2002</v>
      </c>
      <c r="C46" s="69" t="s">
        <v>303</v>
      </c>
      <c r="D46" s="238" t="s">
        <v>1942</v>
      </c>
      <c r="E46" s="69" t="s">
        <v>305</v>
      </c>
      <c r="F46" s="69">
        <v>31</v>
      </c>
      <c r="G46" s="74">
        <f>Insumos!D45*31*1</f>
        <v>0</v>
      </c>
      <c r="H46" s="74">
        <f t="shared" si="2"/>
        <v>0</v>
      </c>
      <c r="I46" s="74">
        <f t="shared" si="3"/>
        <v>0</v>
      </c>
    </row>
    <row r="47" spans="2:9" s="247" customFormat="1" x14ac:dyDescent="0.25">
      <c r="B47" s="63" t="s">
        <v>249</v>
      </c>
      <c r="C47" s="63"/>
      <c r="D47" s="64" t="s">
        <v>333</v>
      </c>
      <c r="E47" s="64"/>
      <c r="F47" s="64"/>
      <c r="G47" s="80"/>
      <c r="H47" s="80"/>
      <c r="I47" s="80">
        <f>I48+I103+I130</f>
        <v>0</v>
      </c>
    </row>
    <row r="48" spans="2:9" s="247" customFormat="1" x14ac:dyDescent="0.25">
      <c r="B48" s="66" t="s">
        <v>1317</v>
      </c>
      <c r="C48" s="66"/>
      <c r="D48" s="250" t="s">
        <v>335</v>
      </c>
      <c r="E48" s="67"/>
      <c r="F48" s="67"/>
      <c r="G48" s="68"/>
      <c r="H48" s="68"/>
      <c r="I48" s="68">
        <f>SUM(I49:I102)</f>
        <v>0</v>
      </c>
    </row>
    <row r="49" spans="2:10" s="247" customFormat="1" x14ac:dyDescent="0.25">
      <c r="B49" s="69" t="s">
        <v>1366</v>
      </c>
      <c r="C49" s="69" t="s">
        <v>303</v>
      </c>
      <c r="D49" s="238" t="s">
        <v>337</v>
      </c>
      <c r="E49" s="82" t="s">
        <v>305</v>
      </c>
      <c r="F49" s="249">
        <v>21</v>
      </c>
      <c r="G49" s="74"/>
      <c r="H49" s="74"/>
      <c r="I49" s="74">
        <f>ROUND((H49+G49)*F49,2)</f>
        <v>0</v>
      </c>
      <c r="J49" s="380"/>
    </row>
    <row r="50" spans="2:10" s="247" customFormat="1" x14ac:dyDescent="0.25">
      <c r="B50" s="69" t="s">
        <v>1367</v>
      </c>
      <c r="C50" s="69" t="s">
        <v>303</v>
      </c>
      <c r="D50" s="238" t="s">
        <v>339</v>
      </c>
      <c r="E50" s="82" t="s">
        <v>305</v>
      </c>
      <c r="F50" s="249">
        <v>21</v>
      </c>
      <c r="G50" s="74"/>
      <c r="H50" s="74"/>
      <c r="I50" s="74">
        <f t="shared" ref="I50:I113" si="4">ROUND((H50+G50)*F50,2)</f>
        <v>0</v>
      </c>
    </row>
    <row r="51" spans="2:10" s="247" customFormat="1" x14ac:dyDescent="0.25">
      <c r="B51" s="69" t="s">
        <v>1478</v>
      </c>
      <c r="C51" s="69" t="s">
        <v>303</v>
      </c>
      <c r="D51" s="238" t="s">
        <v>341</v>
      </c>
      <c r="E51" s="82" t="s">
        <v>305</v>
      </c>
      <c r="F51" s="249">
        <v>21</v>
      </c>
      <c r="G51" s="74"/>
      <c r="H51" s="74"/>
      <c r="I51" s="74">
        <f t="shared" si="4"/>
        <v>0</v>
      </c>
    </row>
    <row r="52" spans="2:10" s="247" customFormat="1" x14ac:dyDescent="0.25">
      <c r="B52" s="69" t="s">
        <v>1479</v>
      </c>
      <c r="C52" s="69" t="s">
        <v>303</v>
      </c>
      <c r="D52" s="238" t="s">
        <v>343</v>
      </c>
      <c r="E52" s="82" t="s">
        <v>305</v>
      </c>
      <c r="F52" s="249">
        <v>21</v>
      </c>
      <c r="G52" s="74"/>
      <c r="H52" s="74"/>
      <c r="I52" s="74">
        <f t="shared" si="4"/>
        <v>0</v>
      </c>
    </row>
    <row r="53" spans="2:10" s="247" customFormat="1" x14ac:dyDescent="0.25">
      <c r="B53" s="69" t="s">
        <v>1480</v>
      </c>
      <c r="C53" s="69" t="s">
        <v>303</v>
      </c>
      <c r="D53" s="238" t="s">
        <v>345</v>
      </c>
      <c r="E53" s="82" t="s">
        <v>305</v>
      </c>
      <c r="F53" s="249">
        <v>21</v>
      </c>
      <c r="G53" s="74"/>
      <c r="H53" s="74"/>
      <c r="I53" s="74">
        <f t="shared" si="4"/>
        <v>0</v>
      </c>
    </row>
    <row r="54" spans="2:10" s="247" customFormat="1" x14ac:dyDescent="0.25">
      <c r="B54" s="69" t="s">
        <v>1481</v>
      </c>
      <c r="C54" s="69" t="s">
        <v>303</v>
      </c>
      <c r="D54" s="238" t="s">
        <v>347</v>
      </c>
      <c r="E54" s="82" t="s">
        <v>305</v>
      </c>
      <c r="F54" s="249">
        <v>21</v>
      </c>
      <c r="G54" s="74"/>
      <c r="H54" s="74"/>
      <c r="I54" s="74">
        <f t="shared" si="4"/>
        <v>0</v>
      </c>
    </row>
    <row r="55" spans="2:10" s="247" customFormat="1" x14ac:dyDescent="0.25">
      <c r="B55" s="69" t="s">
        <v>1482</v>
      </c>
      <c r="C55" s="69" t="s">
        <v>303</v>
      </c>
      <c r="D55" s="238" t="s">
        <v>349</v>
      </c>
      <c r="E55" s="82" t="s">
        <v>305</v>
      </c>
      <c r="F55" s="249">
        <v>21</v>
      </c>
      <c r="G55" s="74"/>
      <c r="H55" s="74"/>
      <c r="I55" s="74">
        <f t="shared" si="4"/>
        <v>0</v>
      </c>
    </row>
    <row r="56" spans="2:10" s="247" customFormat="1" x14ac:dyDescent="0.25">
      <c r="B56" s="69" t="s">
        <v>1483</v>
      </c>
      <c r="C56" s="69" t="s">
        <v>303</v>
      </c>
      <c r="D56" s="238" t="s">
        <v>351</v>
      </c>
      <c r="E56" s="82" t="s">
        <v>305</v>
      </c>
      <c r="F56" s="249">
        <v>21</v>
      </c>
      <c r="G56" s="74"/>
      <c r="H56" s="74"/>
      <c r="I56" s="74">
        <f t="shared" si="4"/>
        <v>0</v>
      </c>
    </row>
    <row r="57" spans="2:10" s="247" customFormat="1" x14ac:dyDescent="0.25">
      <c r="B57" s="69" t="s">
        <v>1484</v>
      </c>
      <c r="C57" s="69" t="s">
        <v>303</v>
      </c>
      <c r="D57" s="238" t="s">
        <v>351</v>
      </c>
      <c r="E57" s="82" t="s">
        <v>305</v>
      </c>
      <c r="F57" s="249">
        <v>21</v>
      </c>
      <c r="G57" s="74"/>
      <c r="H57" s="74"/>
      <c r="I57" s="74">
        <f t="shared" si="4"/>
        <v>0</v>
      </c>
    </row>
    <row r="58" spans="2:10" s="247" customFormat="1" x14ac:dyDescent="0.25">
      <c r="B58" s="69" t="s">
        <v>1485</v>
      </c>
      <c r="C58" s="69" t="s">
        <v>303</v>
      </c>
      <c r="D58" s="238" t="s">
        <v>354</v>
      </c>
      <c r="E58" s="82" t="s">
        <v>305</v>
      </c>
      <c r="F58" s="249">
        <v>21</v>
      </c>
      <c r="G58" s="74"/>
      <c r="H58" s="74"/>
      <c r="I58" s="74">
        <f t="shared" si="4"/>
        <v>0</v>
      </c>
    </row>
    <row r="59" spans="2:10" s="247" customFormat="1" x14ac:dyDescent="0.25">
      <c r="B59" s="69" t="s">
        <v>1486</v>
      </c>
      <c r="C59" s="69" t="s">
        <v>303</v>
      </c>
      <c r="D59" s="238" t="s">
        <v>356</v>
      </c>
      <c r="E59" s="82" t="s">
        <v>305</v>
      </c>
      <c r="F59" s="249">
        <v>21</v>
      </c>
      <c r="G59" s="74"/>
      <c r="H59" s="74"/>
      <c r="I59" s="74">
        <f t="shared" si="4"/>
        <v>0</v>
      </c>
    </row>
    <row r="60" spans="2:10" s="247" customFormat="1" x14ac:dyDescent="0.25">
      <c r="B60" s="69" t="s">
        <v>1487</v>
      </c>
      <c r="C60" s="69" t="s">
        <v>303</v>
      </c>
      <c r="D60" s="238" t="s">
        <v>358</v>
      </c>
      <c r="E60" s="82" t="s">
        <v>305</v>
      </c>
      <c r="F60" s="249">
        <v>21</v>
      </c>
      <c r="G60" s="74"/>
      <c r="H60" s="74"/>
      <c r="I60" s="74">
        <f t="shared" si="4"/>
        <v>0</v>
      </c>
    </row>
    <row r="61" spans="2:10" s="247" customFormat="1" x14ac:dyDescent="0.25">
      <c r="B61" s="69" t="s">
        <v>1488</v>
      </c>
      <c r="C61" s="69" t="s">
        <v>303</v>
      </c>
      <c r="D61" s="238" t="s">
        <v>360</v>
      </c>
      <c r="E61" s="82" t="s">
        <v>305</v>
      </c>
      <c r="F61" s="249">
        <v>21</v>
      </c>
      <c r="G61" s="74"/>
      <c r="H61" s="74"/>
      <c r="I61" s="74">
        <f t="shared" si="4"/>
        <v>0</v>
      </c>
    </row>
    <row r="62" spans="2:10" s="247" customFormat="1" x14ac:dyDescent="0.25">
      <c r="B62" s="69" t="s">
        <v>1489</v>
      </c>
      <c r="C62" s="69" t="s">
        <v>303</v>
      </c>
      <c r="D62" s="238" t="s">
        <v>362</v>
      </c>
      <c r="E62" s="82" t="s">
        <v>305</v>
      </c>
      <c r="F62" s="249">
        <v>21</v>
      </c>
      <c r="G62" s="74"/>
      <c r="H62" s="74"/>
      <c r="I62" s="74">
        <f t="shared" si="4"/>
        <v>0</v>
      </c>
    </row>
    <row r="63" spans="2:10" s="247" customFormat="1" x14ac:dyDescent="0.25">
      <c r="B63" s="69" t="s">
        <v>1490</v>
      </c>
      <c r="C63" s="69" t="s">
        <v>303</v>
      </c>
      <c r="D63" s="238" t="s">
        <v>364</v>
      </c>
      <c r="E63" s="82" t="s">
        <v>305</v>
      </c>
      <c r="F63" s="249">
        <v>21</v>
      </c>
      <c r="G63" s="74"/>
      <c r="H63" s="74"/>
      <c r="I63" s="74">
        <f t="shared" si="4"/>
        <v>0</v>
      </c>
    </row>
    <row r="64" spans="2:10" s="247" customFormat="1" x14ac:dyDescent="0.25">
      <c r="B64" s="69" t="s">
        <v>1491</v>
      </c>
      <c r="C64" s="69" t="s">
        <v>303</v>
      </c>
      <c r="D64" s="238" t="s">
        <v>366</v>
      </c>
      <c r="E64" s="82" t="s">
        <v>305</v>
      </c>
      <c r="F64" s="249">
        <v>21</v>
      </c>
      <c r="G64" s="74"/>
      <c r="H64" s="74"/>
      <c r="I64" s="74">
        <f t="shared" si="4"/>
        <v>0</v>
      </c>
    </row>
    <row r="65" spans="2:9" s="247" customFormat="1" x14ac:dyDescent="0.25">
      <c r="B65" s="69" t="s">
        <v>1492</v>
      </c>
      <c r="C65" s="69" t="s">
        <v>303</v>
      </c>
      <c r="D65" s="238" t="s">
        <v>368</v>
      </c>
      <c r="E65" s="82" t="s">
        <v>305</v>
      </c>
      <c r="F65" s="249">
        <v>21</v>
      </c>
      <c r="G65" s="74"/>
      <c r="H65" s="74"/>
      <c r="I65" s="74">
        <f t="shared" si="4"/>
        <v>0</v>
      </c>
    </row>
    <row r="66" spans="2:9" s="247" customFormat="1" x14ac:dyDescent="0.25">
      <c r="B66" s="69" t="s">
        <v>1493</v>
      </c>
      <c r="C66" s="69" t="s">
        <v>303</v>
      </c>
      <c r="D66" s="238" t="s">
        <v>370</v>
      </c>
      <c r="E66" s="82" t="s">
        <v>305</v>
      </c>
      <c r="F66" s="249">
        <v>21</v>
      </c>
      <c r="G66" s="74"/>
      <c r="H66" s="74"/>
      <c r="I66" s="74">
        <f t="shared" si="4"/>
        <v>0</v>
      </c>
    </row>
    <row r="67" spans="2:9" s="247" customFormat="1" x14ac:dyDescent="0.25">
      <c r="B67" s="69" t="s">
        <v>1494</v>
      </c>
      <c r="C67" s="69" t="s">
        <v>303</v>
      </c>
      <c r="D67" s="238" t="s">
        <v>372</v>
      </c>
      <c r="E67" s="82" t="s">
        <v>305</v>
      </c>
      <c r="F67" s="249">
        <v>21</v>
      </c>
      <c r="G67" s="74"/>
      <c r="H67" s="74"/>
      <c r="I67" s="74">
        <f t="shared" si="4"/>
        <v>0</v>
      </c>
    </row>
    <row r="68" spans="2:9" s="247" customFormat="1" x14ac:dyDescent="0.25">
      <c r="B68" s="69" t="s">
        <v>1495</v>
      </c>
      <c r="C68" s="69" t="s">
        <v>303</v>
      </c>
      <c r="D68" s="238" t="s">
        <v>374</v>
      </c>
      <c r="E68" s="82" t="s">
        <v>305</v>
      </c>
      <c r="F68" s="249">
        <v>21</v>
      </c>
      <c r="G68" s="74"/>
      <c r="H68" s="74"/>
      <c r="I68" s="74">
        <f t="shared" si="4"/>
        <v>0</v>
      </c>
    </row>
    <row r="69" spans="2:9" s="247" customFormat="1" x14ac:dyDescent="0.25">
      <c r="B69" s="69" t="s">
        <v>1496</v>
      </c>
      <c r="C69" s="69" t="s">
        <v>303</v>
      </c>
      <c r="D69" s="238" t="s">
        <v>376</v>
      </c>
      <c r="E69" s="82" t="s">
        <v>305</v>
      </c>
      <c r="F69" s="249">
        <v>21</v>
      </c>
      <c r="G69" s="74"/>
      <c r="H69" s="74"/>
      <c r="I69" s="74">
        <f t="shared" si="4"/>
        <v>0</v>
      </c>
    </row>
    <row r="70" spans="2:9" s="247" customFormat="1" x14ac:dyDescent="0.25">
      <c r="B70" s="69" t="s">
        <v>1497</v>
      </c>
      <c r="C70" s="69" t="s">
        <v>303</v>
      </c>
      <c r="D70" s="238" t="s">
        <v>339</v>
      </c>
      <c r="E70" s="82" t="s">
        <v>305</v>
      </c>
      <c r="F70" s="249">
        <v>21</v>
      </c>
      <c r="G70" s="74"/>
      <c r="H70" s="74"/>
      <c r="I70" s="74">
        <f t="shared" si="4"/>
        <v>0</v>
      </c>
    </row>
    <row r="71" spans="2:9" s="247" customFormat="1" x14ac:dyDescent="0.25">
      <c r="B71" s="69" t="s">
        <v>1498</v>
      </c>
      <c r="C71" s="69" t="s">
        <v>303</v>
      </c>
      <c r="D71" s="238" t="s">
        <v>379</v>
      </c>
      <c r="E71" s="82" t="s">
        <v>305</v>
      </c>
      <c r="F71" s="249">
        <v>21</v>
      </c>
      <c r="G71" s="74"/>
      <c r="H71" s="74"/>
      <c r="I71" s="74">
        <f t="shared" si="4"/>
        <v>0</v>
      </c>
    </row>
    <row r="72" spans="2:9" s="247" customFormat="1" x14ac:dyDescent="0.25">
      <c r="B72" s="69" t="s">
        <v>1499</v>
      </c>
      <c r="C72" s="69" t="s">
        <v>303</v>
      </c>
      <c r="D72" s="238" t="s">
        <v>381</v>
      </c>
      <c r="E72" s="82" t="s">
        <v>305</v>
      </c>
      <c r="F72" s="249">
        <v>21</v>
      </c>
      <c r="G72" s="74"/>
      <c r="H72" s="74"/>
      <c r="I72" s="74">
        <f t="shared" si="4"/>
        <v>0</v>
      </c>
    </row>
    <row r="73" spans="2:9" s="247" customFormat="1" x14ac:dyDescent="0.25">
      <c r="B73" s="69" t="s">
        <v>1500</v>
      </c>
      <c r="C73" s="69" t="s">
        <v>303</v>
      </c>
      <c r="D73" s="238" t="s">
        <v>383</v>
      </c>
      <c r="E73" s="82" t="s">
        <v>305</v>
      </c>
      <c r="F73" s="249">
        <v>21</v>
      </c>
      <c r="G73" s="74"/>
      <c r="H73" s="74"/>
      <c r="I73" s="74">
        <f t="shared" si="4"/>
        <v>0</v>
      </c>
    </row>
    <row r="74" spans="2:9" s="247" customFormat="1" x14ac:dyDescent="0.25">
      <c r="B74" s="69" t="s">
        <v>1501</v>
      </c>
      <c r="C74" s="69" t="s">
        <v>303</v>
      </c>
      <c r="D74" s="238" t="s">
        <v>385</v>
      </c>
      <c r="E74" s="82" t="s">
        <v>305</v>
      </c>
      <c r="F74" s="249">
        <v>21</v>
      </c>
      <c r="G74" s="74"/>
      <c r="H74" s="74"/>
      <c r="I74" s="74">
        <f t="shared" si="4"/>
        <v>0</v>
      </c>
    </row>
    <row r="75" spans="2:9" s="247" customFormat="1" x14ac:dyDescent="0.25">
      <c r="B75" s="69" t="s">
        <v>1502</v>
      </c>
      <c r="C75" s="69" t="s">
        <v>303</v>
      </c>
      <c r="D75" s="238" t="s">
        <v>387</v>
      </c>
      <c r="E75" s="82" t="s">
        <v>305</v>
      </c>
      <c r="F75" s="249">
        <v>21</v>
      </c>
      <c r="G75" s="74"/>
      <c r="H75" s="74"/>
      <c r="I75" s="74">
        <f t="shared" si="4"/>
        <v>0</v>
      </c>
    </row>
    <row r="76" spans="2:9" s="247" customFormat="1" x14ac:dyDescent="0.25">
      <c r="B76" s="69" t="s">
        <v>1503</v>
      </c>
      <c r="C76" s="69" t="s">
        <v>303</v>
      </c>
      <c r="D76" s="238" t="s">
        <v>389</v>
      </c>
      <c r="E76" s="82" t="s">
        <v>305</v>
      </c>
      <c r="F76" s="249">
        <v>21</v>
      </c>
      <c r="G76" s="74"/>
      <c r="H76" s="74"/>
      <c r="I76" s="74">
        <f t="shared" si="4"/>
        <v>0</v>
      </c>
    </row>
    <row r="77" spans="2:9" s="247" customFormat="1" x14ac:dyDescent="0.25">
      <c r="B77" s="69" t="s">
        <v>1504</v>
      </c>
      <c r="C77" s="69" t="s">
        <v>303</v>
      </c>
      <c r="D77" s="238" t="s">
        <v>391</v>
      </c>
      <c r="E77" s="82" t="s">
        <v>305</v>
      </c>
      <c r="F77" s="249">
        <v>21</v>
      </c>
      <c r="G77" s="74"/>
      <c r="H77" s="74"/>
      <c r="I77" s="74">
        <f t="shared" si="4"/>
        <v>0</v>
      </c>
    </row>
    <row r="78" spans="2:9" s="247" customFormat="1" x14ac:dyDescent="0.25">
      <c r="B78" s="69" t="s">
        <v>1505</v>
      </c>
      <c r="C78" s="69" t="s">
        <v>303</v>
      </c>
      <c r="D78" s="238" t="s">
        <v>393</v>
      </c>
      <c r="E78" s="82" t="s">
        <v>305</v>
      </c>
      <c r="F78" s="249">
        <v>21</v>
      </c>
      <c r="G78" s="74"/>
      <c r="H78" s="74"/>
      <c r="I78" s="74">
        <f t="shared" si="4"/>
        <v>0</v>
      </c>
    </row>
    <row r="79" spans="2:9" s="247" customFormat="1" x14ac:dyDescent="0.25">
      <c r="B79" s="69" t="s">
        <v>1506</v>
      </c>
      <c r="C79" s="69" t="s">
        <v>303</v>
      </c>
      <c r="D79" s="238" t="s">
        <v>395</v>
      </c>
      <c r="E79" s="82" t="s">
        <v>305</v>
      </c>
      <c r="F79" s="249">
        <v>21</v>
      </c>
      <c r="G79" s="74"/>
      <c r="H79" s="74"/>
      <c r="I79" s="74">
        <f t="shared" si="4"/>
        <v>0</v>
      </c>
    </row>
    <row r="80" spans="2:9" s="247" customFormat="1" x14ac:dyDescent="0.25">
      <c r="B80" s="69" t="s">
        <v>1507</v>
      </c>
      <c r="C80" s="69" t="s">
        <v>303</v>
      </c>
      <c r="D80" s="238" t="s">
        <v>397</v>
      </c>
      <c r="E80" s="82" t="s">
        <v>305</v>
      </c>
      <c r="F80" s="249">
        <v>21</v>
      </c>
      <c r="G80" s="74"/>
      <c r="H80" s="74"/>
      <c r="I80" s="74">
        <f t="shared" si="4"/>
        <v>0</v>
      </c>
    </row>
    <row r="81" spans="2:9" s="247" customFormat="1" x14ac:dyDescent="0.25">
      <c r="B81" s="69" t="s">
        <v>1508</v>
      </c>
      <c r="C81" s="69" t="s">
        <v>303</v>
      </c>
      <c r="D81" s="238" t="s">
        <v>399</v>
      </c>
      <c r="E81" s="82" t="s">
        <v>305</v>
      </c>
      <c r="F81" s="249">
        <v>21</v>
      </c>
      <c r="G81" s="74"/>
      <c r="H81" s="74"/>
      <c r="I81" s="74">
        <f t="shared" si="4"/>
        <v>0</v>
      </c>
    </row>
    <row r="82" spans="2:9" s="247" customFormat="1" x14ac:dyDescent="0.25">
      <c r="B82" s="69" t="s">
        <v>1509</v>
      </c>
      <c r="C82" s="69" t="s">
        <v>303</v>
      </c>
      <c r="D82" s="238" t="s">
        <v>401</v>
      </c>
      <c r="E82" s="82" t="s">
        <v>305</v>
      </c>
      <c r="F82" s="249">
        <v>21</v>
      </c>
      <c r="G82" s="74"/>
      <c r="H82" s="74"/>
      <c r="I82" s="74">
        <f t="shared" si="4"/>
        <v>0</v>
      </c>
    </row>
    <row r="83" spans="2:9" s="247" customFormat="1" x14ac:dyDescent="0.25">
      <c r="B83" s="69" t="s">
        <v>1510</v>
      </c>
      <c r="C83" s="69" t="s">
        <v>303</v>
      </c>
      <c r="D83" s="238" t="s">
        <v>403</v>
      </c>
      <c r="E83" s="82" t="s">
        <v>305</v>
      </c>
      <c r="F83" s="249">
        <v>21</v>
      </c>
      <c r="G83" s="74"/>
      <c r="H83" s="74"/>
      <c r="I83" s="74">
        <f t="shared" si="4"/>
        <v>0</v>
      </c>
    </row>
    <row r="84" spans="2:9" s="247" customFormat="1" x14ac:dyDescent="0.25">
      <c r="B84" s="69" t="s">
        <v>1511</v>
      </c>
      <c r="C84" s="69" t="s">
        <v>303</v>
      </c>
      <c r="D84" s="238" t="s">
        <v>405</v>
      </c>
      <c r="E84" s="82" t="s">
        <v>305</v>
      </c>
      <c r="F84" s="249">
        <v>21</v>
      </c>
      <c r="G84" s="74"/>
      <c r="H84" s="74"/>
      <c r="I84" s="74">
        <f t="shared" si="4"/>
        <v>0</v>
      </c>
    </row>
    <row r="85" spans="2:9" s="247" customFormat="1" x14ac:dyDescent="0.25">
      <c r="B85" s="69" t="s">
        <v>1512</v>
      </c>
      <c r="C85" s="69" t="s">
        <v>303</v>
      </c>
      <c r="D85" s="238" t="s">
        <v>407</v>
      </c>
      <c r="E85" s="82" t="s">
        <v>305</v>
      </c>
      <c r="F85" s="249">
        <v>21</v>
      </c>
      <c r="G85" s="74"/>
      <c r="H85" s="74"/>
      <c r="I85" s="74">
        <f t="shared" si="4"/>
        <v>0</v>
      </c>
    </row>
    <row r="86" spans="2:9" s="247" customFormat="1" x14ac:dyDescent="0.25">
      <c r="B86" s="69" t="s">
        <v>1513</v>
      </c>
      <c r="C86" s="69" t="s">
        <v>303</v>
      </c>
      <c r="D86" s="238" t="s">
        <v>409</v>
      </c>
      <c r="E86" s="82" t="s">
        <v>305</v>
      </c>
      <c r="F86" s="249">
        <v>21</v>
      </c>
      <c r="G86" s="74"/>
      <c r="H86" s="74"/>
      <c r="I86" s="74">
        <f t="shared" si="4"/>
        <v>0</v>
      </c>
    </row>
    <row r="87" spans="2:9" s="247" customFormat="1" x14ac:dyDescent="0.25">
      <c r="B87" s="69" t="s">
        <v>1514</v>
      </c>
      <c r="C87" s="69" t="s">
        <v>303</v>
      </c>
      <c r="D87" s="238" t="s">
        <v>411</v>
      </c>
      <c r="E87" s="82" t="s">
        <v>305</v>
      </c>
      <c r="F87" s="249">
        <v>21</v>
      </c>
      <c r="G87" s="74"/>
      <c r="H87" s="74"/>
      <c r="I87" s="74">
        <f t="shared" si="4"/>
        <v>0</v>
      </c>
    </row>
    <row r="88" spans="2:9" s="247" customFormat="1" x14ac:dyDescent="0.25">
      <c r="B88" s="69" t="s">
        <v>1515</v>
      </c>
      <c r="C88" s="69" t="s">
        <v>303</v>
      </c>
      <c r="D88" s="238" t="s">
        <v>413</v>
      </c>
      <c r="E88" s="82" t="s">
        <v>305</v>
      </c>
      <c r="F88" s="249">
        <v>21</v>
      </c>
      <c r="G88" s="74"/>
      <c r="H88" s="74"/>
      <c r="I88" s="74">
        <f t="shared" si="4"/>
        <v>0</v>
      </c>
    </row>
    <row r="89" spans="2:9" s="247" customFormat="1" x14ac:dyDescent="0.25">
      <c r="B89" s="69" t="s">
        <v>1516</v>
      </c>
      <c r="C89" s="69" t="s">
        <v>303</v>
      </c>
      <c r="D89" s="238" t="s">
        <v>415</v>
      </c>
      <c r="E89" s="82" t="s">
        <v>305</v>
      </c>
      <c r="F89" s="249">
        <v>21</v>
      </c>
      <c r="G89" s="74"/>
      <c r="H89" s="74"/>
      <c r="I89" s="74">
        <f t="shared" si="4"/>
        <v>0</v>
      </c>
    </row>
    <row r="90" spans="2:9" s="247" customFormat="1" x14ac:dyDescent="0.25">
      <c r="B90" s="69" t="s">
        <v>1517</v>
      </c>
      <c r="C90" s="69" t="s">
        <v>303</v>
      </c>
      <c r="D90" s="238" t="s">
        <v>417</v>
      </c>
      <c r="E90" s="82" t="s">
        <v>305</v>
      </c>
      <c r="F90" s="249">
        <v>21</v>
      </c>
      <c r="G90" s="74"/>
      <c r="H90" s="74"/>
      <c r="I90" s="74">
        <f t="shared" si="4"/>
        <v>0</v>
      </c>
    </row>
    <row r="91" spans="2:9" s="247" customFormat="1" x14ac:dyDescent="0.25">
      <c r="B91" s="69" t="s">
        <v>1518</v>
      </c>
      <c r="C91" s="69" t="s">
        <v>303</v>
      </c>
      <c r="D91" s="238" t="s">
        <v>419</v>
      </c>
      <c r="E91" s="82" t="s">
        <v>305</v>
      </c>
      <c r="F91" s="249">
        <v>21</v>
      </c>
      <c r="G91" s="74"/>
      <c r="H91" s="74"/>
      <c r="I91" s="74">
        <f t="shared" si="4"/>
        <v>0</v>
      </c>
    </row>
    <row r="92" spans="2:9" s="247" customFormat="1" x14ac:dyDescent="0.25">
      <c r="B92" s="69" t="s">
        <v>1519</v>
      </c>
      <c r="C92" s="69" t="s">
        <v>303</v>
      </c>
      <c r="D92" s="238" t="s">
        <v>421</v>
      </c>
      <c r="E92" s="82" t="s">
        <v>305</v>
      </c>
      <c r="F92" s="249">
        <v>21</v>
      </c>
      <c r="G92" s="74"/>
      <c r="H92" s="74"/>
      <c r="I92" s="74">
        <f t="shared" si="4"/>
        <v>0</v>
      </c>
    </row>
    <row r="93" spans="2:9" s="247" customFormat="1" x14ac:dyDescent="0.25">
      <c r="B93" s="69" t="s">
        <v>1520</v>
      </c>
      <c r="C93" s="69" t="s">
        <v>303</v>
      </c>
      <c r="D93" s="238" t="s">
        <v>423</v>
      </c>
      <c r="E93" s="82" t="s">
        <v>305</v>
      </c>
      <c r="F93" s="249">
        <v>21</v>
      </c>
      <c r="G93" s="74"/>
      <c r="H93" s="74"/>
      <c r="I93" s="74">
        <f t="shared" si="4"/>
        <v>0</v>
      </c>
    </row>
    <row r="94" spans="2:9" s="247" customFormat="1" x14ac:dyDescent="0.25">
      <c r="B94" s="69" t="s">
        <v>1521</v>
      </c>
      <c r="C94" s="69" t="s">
        <v>303</v>
      </c>
      <c r="D94" s="238" t="s">
        <v>425</v>
      </c>
      <c r="E94" s="82" t="s">
        <v>305</v>
      </c>
      <c r="F94" s="249">
        <v>21</v>
      </c>
      <c r="G94" s="74"/>
      <c r="H94" s="74"/>
      <c r="I94" s="74">
        <f t="shared" si="4"/>
        <v>0</v>
      </c>
    </row>
    <row r="95" spans="2:9" s="247" customFormat="1" x14ac:dyDescent="0.25">
      <c r="B95" s="69" t="s">
        <v>1522</v>
      </c>
      <c r="C95" s="69" t="s">
        <v>303</v>
      </c>
      <c r="D95" s="238" t="s">
        <v>427</v>
      </c>
      <c r="E95" s="82" t="s">
        <v>305</v>
      </c>
      <c r="F95" s="249">
        <v>21</v>
      </c>
      <c r="G95" s="74"/>
      <c r="H95" s="74"/>
      <c r="I95" s="74">
        <f t="shared" si="4"/>
        <v>0</v>
      </c>
    </row>
    <row r="96" spans="2:9" s="247" customFormat="1" x14ac:dyDescent="0.25">
      <c r="B96" s="69" t="s">
        <v>1523</v>
      </c>
      <c r="C96" s="69" t="s">
        <v>303</v>
      </c>
      <c r="D96" s="238" t="s">
        <v>429</v>
      </c>
      <c r="E96" s="82" t="s">
        <v>305</v>
      </c>
      <c r="F96" s="249">
        <v>21</v>
      </c>
      <c r="G96" s="74"/>
      <c r="H96" s="74"/>
      <c r="I96" s="74">
        <f t="shared" si="4"/>
        <v>0</v>
      </c>
    </row>
    <row r="97" spans="2:9" s="247" customFormat="1" x14ac:dyDescent="0.25">
      <c r="B97" s="69" t="s">
        <v>1524</v>
      </c>
      <c r="C97" s="69" t="s">
        <v>303</v>
      </c>
      <c r="D97" s="238" t="s">
        <v>431</v>
      </c>
      <c r="E97" s="82" t="s">
        <v>305</v>
      </c>
      <c r="F97" s="249">
        <v>21</v>
      </c>
      <c r="G97" s="74"/>
      <c r="H97" s="74"/>
      <c r="I97" s="74">
        <f t="shared" si="4"/>
        <v>0</v>
      </c>
    </row>
    <row r="98" spans="2:9" s="247" customFormat="1" x14ac:dyDescent="0.25">
      <c r="B98" s="69" t="s">
        <v>1525</v>
      </c>
      <c r="C98" s="69" t="s">
        <v>303</v>
      </c>
      <c r="D98" s="238" t="s">
        <v>433</v>
      </c>
      <c r="E98" s="82" t="s">
        <v>305</v>
      </c>
      <c r="F98" s="249">
        <v>21</v>
      </c>
      <c r="G98" s="74"/>
      <c r="H98" s="74"/>
      <c r="I98" s="74">
        <f t="shared" si="4"/>
        <v>0</v>
      </c>
    </row>
    <row r="99" spans="2:9" s="247" customFormat="1" x14ac:dyDescent="0.25">
      <c r="B99" s="69" t="s">
        <v>1526</v>
      </c>
      <c r="C99" s="69" t="s">
        <v>303</v>
      </c>
      <c r="D99" s="238" t="s">
        <v>435</v>
      </c>
      <c r="E99" s="270" t="s">
        <v>305</v>
      </c>
      <c r="F99" s="249">
        <v>21</v>
      </c>
      <c r="G99" s="74"/>
      <c r="H99" s="74"/>
      <c r="I99" s="74">
        <f t="shared" si="4"/>
        <v>0</v>
      </c>
    </row>
    <row r="100" spans="2:9" s="247" customFormat="1" x14ac:dyDescent="0.25">
      <c r="B100" s="69" t="s">
        <v>1527</v>
      </c>
      <c r="C100" s="69" t="s">
        <v>303</v>
      </c>
      <c r="D100" s="238" t="s">
        <v>437</v>
      </c>
      <c r="E100" s="270" t="s">
        <v>305</v>
      </c>
      <c r="F100" s="249">
        <v>21</v>
      </c>
      <c r="G100" s="74"/>
      <c r="H100" s="74"/>
      <c r="I100" s="74">
        <f t="shared" si="4"/>
        <v>0</v>
      </c>
    </row>
    <row r="101" spans="2:9" s="247" customFormat="1" x14ac:dyDescent="0.25">
      <c r="B101" s="69" t="s">
        <v>1528</v>
      </c>
      <c r="C101" s="69" t="s">
        <v>303</v>
      </c>
      <c r="D101" s="238" t="s">
        <v>439</v>
      </c>
      <c r="E101" s="270" t="s">
        <v>305</v>
      </c>
      <c r="F101" s="249">
        <v>21</v>
      </c>
      <c r="G101" s="74"/>
      <c r="H101" s="74"/>
      <c r="I101" s="74">
        <f t="shared" si="4"/>
        <v>0</v>
      </c>
    </row>
    <row r="102" spans="2:9" s="247" customFormat="1" x14ac:dyDescent="0.25">
      <c r="B102" s="69" t="s">
        <v>1529</v>
      </c>
      <c r="C102" s="69" t="s">
        <v>303</v>
      </c>
      <c r="D102" s="238" t="s">
        <v>441</v>
      </c>
      <c r="E102" s="270" t="s">
        <v>305</v>
      </c>
      <c r="F102" s="249">
        <v>21</v>
      </c>
      <c r="G102" s="74"/>
      <c r="H102" s="74"/>
      <c r="I102" s="74">
        <f t="shared" si="4"/>
        <v>0</v>
      </c>
    </row>
    <row r="103" spans="2:9" s="247" customFormat="1" x14ac:dyDescent="0.25">
      <c r="B103" s="66" t="s">
        <v>1556</v>
      </c>
      <c r="C103" s="66"/>
      <c r="D103" s="67" t="s">
        <v>443</v>
      </c>
      <c r="E103" s="67"/>
      <c r="F103" s="67"/>
      <c r="G103" s="68"/>
      <c r="H103" s="68"/>
      <c r="I103" s="68">
        <f>SUM(I104:I129)</f>
        <v>0</v>
      </c>
    </row>
    <row r="104" spans="2:9" s="247" customFormat="1" x14ac:dyDescent="0.25">
      <c r="B104" s="69" t="s">
        <v>1530</v>
      </c>
      <c r="C104" s="69" t="s">
        <v>303</v>
      </c>
      <c r="D104" s="238" t="s">
        <v>445</v>
      </c>
      <c r="E104" s="82" t="s">
        <v>305</v>
      </c>
      <c r="F104" s="249">
        <v>21</v>
      </c>
      <c r="G104" s="74"/>
      <c r="H104" s="74"/>
      <c r="I104" s="74">
        <f t="shared" si="4"/>
        <v>0</v>
      </c>
    </row>
    <row r="105" spans="2:9" s="247" customFormat="1" x14ac:dyDescent="0.25">
      <c r="B105" s="69" t="s">
        <v>1531</v>
      </c>
      <c r="C105" s="69" t="s">
        <v>303</v>
      </c>
      <c r="D105" s="238" t="s">
        <v>447</v>
      </c>
      <c r="E105" s="82" t="s">
        <v>305</v>
      </c>
      <c r="F105" s="249">
        <v>21</v>
      </c>
      <c r="G105" s="74"/>
      <c r="H105" s="74"/>
      <c r="I105" s="74">
        <f t="shared" si="4"/>
        <v>0</v>
      </c>
    </row>
    <row r="106" spans="2:9" s="247" customFormat="1" ht="25.5" x14ac:dyDescent="0.25">
      <c r="B106" s="69" t="s">
        <v>1532</v>
      </c>
      <c r="C106" s="69" t="s">
        <v>303</v>
      </c>
      <c r="D106" s="238" t="s">
        <v>449</v>
      </c>
      <c r="E106" s="82" t="s">
        <v>305</v>
      </c>
      <c r="F106" s="249">
        <v>21</v>
      </c>
      <c r="G106" s="74"/>
      <c r="H106" s="74"/>
      <c r="I106" s="74">
        <f t="shared" si="4"/>
        <v>0</v>
      </c>
    </row>
    <row r="107" spans="2:9" s="247" customFormat="1" x14ac:dyDescent="0.25">
      <c r="B107" s="69" t="s">
        <v>1533</v>
      </c>
      <c r="C107" s="69" t="s">
        <v>303</v>
      </c>
      <c r="D107" s="238" t="s">
        <v>451</v>
      </c>
      <c r="E107" s="82" t="s">
        <v>305</v>
      </c>
      <c r="F107" s="249">
        <v>21</v>
      </c>
      <c r="G107" s="74"/>
      <c r="H107" s="74"/>
      <c r="I107" s="74">
        <f t="shared" si="4"/>
        <v>0</v>
      </c>
    </row>
    <row r="108" spans="2:9" s="247" customFormat="1" x14ac:dyDescent="0.25">
      <c r="B108" s="69" t="s">
        <v>1534</v>
      </c>
      <c r="C108" s="69" t="s">
        <v>303</v>
      </c>
      <c r="D108" s="238" t="s">
        <v>453</v>
      </c>
      <c r="E108" s="82" t="s">
        <v>305</v>
      </c>
      <c r="F108" s="249">
        <v>21</v>
      </c>
      <c r="G108" s="74"/>
      <c r="H108" s="74"/>
      <c r="I108" s="74">
        <f t="shared" si="4"/>
        <v>0</v>
      </c>
    </row>
    <row r="109" spans="2:9" s="247" customFormat="1" x14ac:dyDescent="0.25">
      <c r="B109" s="69" t="s">
        <v>1535</v>
      </c>
      <c r="C109" s="69" t="s">
        <v>303</v>
      </c>
      <c r="D109" s="238" t="s">
        <v>455</v>
      </c>
      <c r="E109" s="82" t="s">
        <v>305</v>
      </c>
      <c r="F109" s="249">
        <v>21</v>
      </c>
      <c r="G109" s="74"/>
      <c r="H109" s="74"/>
      <c r="I109" s="74">
        <f t="shared" si="4"/>
        <v>0</v>
      </c>
    </row>
    <row r="110" spans="2:9" s="247" customFormat="1" x14ac:dyDescent="0.25">
      <c r="B110" s="69" t="s">
        <v>1536</v>
      </c>
      <c r="C110" s="69" t="s">
        <v>303</v>
      </c>
      <c r="D110" s="238" t="s">
        <v>457</v>
      </c>
      <c r="E110" s="69" t="s">
        <v>305</v>
      </c>
      <c r="F110" s="249">
        <v>21</v>
      </c>
      <c r="G110" s="74"/>
      <c r="H110" s="74"/>
      <c r="I110" s="74">
        <f t="shared" si="4"/>
        <v>0</v>
      </c>
    </row>
    <row r="111" spans="2:9" s="247" customFormat="1" x14ac:dyDescent="0.25">
      <c r="B111" s="69" t="s">
        <v>1537</v>
      </c>
      <c r="C111" s="69" t="s">
        <v>303</v>
      </c>
      <c r="D111" s="271" t="s">
        <v>459</v>
      </c>
      <c r="E111" s="69" t="s">
        <v>305</v>
      </c>
      <c r="F111" s="249">
        <v>21</v>
      </c>
      <c r="G111" s="74"/>
      <c r="H111" s="74"/>
      <c r="I111" s="74">
        <f t="shared" si="4"/>
        <v>0</v>
      </c>
    </row>
    <row r="112" spans="2:9" s="247" customFormat="1" x14ac:dyDescent="0.25">
      <c r="B112" s="69" t="s">
        <v>1538</v>
      </c>
      <c r="C112" s="69" t="s">
        <v>303</v>
      </c>
      <c r="D112" s="271" t="s">
        <v>461</v>
      </c>
      <c r="E112" s="69" t="s">
        <v>305</v>
      </c>
      <c r="F112" s="249">
        <v>21</v>
      </c>
      <c r="G112" s="74"/>
      <c r="H112" s="74"/>
      <c r="I112" s="74">
        <f t="shared" si="4"/>
        <v>0</v>
      </c>
    </row>
    <row r="113" spans="2:9" s="247" customFormat="1" x14ac:dyDescent="0.25">
      <c r="B113" s="69" t="s">
        <v>1539</v>
      </c>
      <c r="C113" s="69" t="s">
        <v>303</v>
      </c>
      <c r="D113" s="271" t="s">
        <v>463</v>
      </c>
      <c r="E113" s="82" t="s">
        <v>305</v>
      </c>
      <c r="F113" s="249">
        <v>21</v>
      </c>
      <c r="G113" s="74"/>
      <c r="H113" s="74"/>
      <c r="I113" s="74">
        <f t="shared" si="4"/>
        <v>0</v>
      </c>
    </row>
    <row r="114" spans="2:9" s="247" customFormat="1" x14ac:dyDescent="0.25">
      <c r="B114" s="69" t="s">
        <v>1540</v>
      </c>
      <c r="C114" s="69" t="s">
        <v>303</v>
      </c>
      <c r="D114" s="271" t="s">
        <v>465</v>
      </c>
      <c r="E114" s="82" t="s">
        <v>305</v>
      </c>
      <c r="F114" s="249">
        <v>21</v>
      </c>
      <c r="G114" s="74"/>
      <c r="H114" s="74"/>
      <c r="I114" s="74">
        <f t="shared" ref="I114:I139" si="5">ROUND((H114+G114)*F114,2)</f>
        <v>0</v>
      </c>
    </row>
    <row r="115" spans="2:9" s="247" customFormat="1" x14ac:dyDescent="0.25">
      <c r="B115" s="69" t="s">
        <v>1541</v>
      </c>
      <c r="C115" s="69" t="s">
        <v>303</v>
      </c>
      <c r="D115" s="271" t="s">
        <v>467</v>
      </c>
      <c r="E115" s="82" t="s">
        <v>305</v>
      </c>
      <c r="F115" s="249">
        <v>21</v>
      </c>
      <c r="G115" s="74"/>
      <c r="H115" s="74"/>
      <c r="I115" s="74">
        <f t="shared" si="5"/>
        <v>0</v>
      </c>
    </row>
    <row r="116" spans="2:9" s="247" customFormat="1" x14ac:dyDescent="0.25">
      <c r="B116" s="69" t="s">
        <v>1542</v>
      </c>
      <c r="C116" s="69" t="s">
        <v>303</v>
      </c>
      <c r="D116" s="271" t="s">
        <v>469</v>
      </c>
      <c r="E116" s="82" t="s">
        <v>305</v>
      </c>
      <c r="F116" s="249">
        <v>21</v>
      </c>
      <c r="G116" s="74"/>
      <c r="H116" s="74"/>
      <c r="I116" s="74">
        <f t="shared" si="5"/>
        <v>0</v>
      </c>
    </row>
    <row r="117" spans="2:9" s="247" customFormat="1" ht="25.5" x14ac:dyDescent="0.25">
      <c r="B117" s="69" t="s">
        <v>1543</v>
      </c>
      <c r="C117" s="69" t="s">
        <v>303</v>
      </c>
      <c r="D117" s="238" t="s">
        <v>471</v>
      </c>
      <c r="E117" s="82" t="s">
        <v>305</v>
      </c>
      <c r="F117" s="249">
        <v>21</v>
      </c>
      <c r="G117" s="74"/>
      <c r="H117" s="74"/>
      <c r="I117" s="74">
        <f t="shared" si="5"/>
        <v>0</v>
      </c>
    </row>
    <row r="118" spans="2:9" s="247" customFormat="1" ht="25.5" x14ac:dyDescent="0.25">
      <c r="B118" s="69" t="s">
        <v>1544</v>
      </c>
      <c r="C118" s="69" t="s">
        <v>303</v>
      </c>
      <c r="D118" s="238" t="s">
        <v>473</v>
      </c>
      <c r="E118" s="82" t="s">
        <v>305</v>
      </c>
      <c r="F118" s="249">
        <v>21</v>
      </c>
      <c r="G118" s="74"/>
      <c r="H118" s="74"/>
      <c r="I118" s="74">
        <f t="shared" si="5"/>
        <v>0</v>
      </c>
    </row>
    <row r="119" spans="2:9" s="247" customFormat="1" x14ac:dyDescent="0.25">
      <c r="B119" s="69" t="s">
        <v>1545</v>
      </c>
      <c r="C119" s="69" t="s">
        <v>303</v>
      </c>
      <c r="D119" s="238" t="s">
        <v>475</v>
      </c>
      <c r="E119" s="82" t="s">
        <v>305</v>
      </c>
      <c r="F119" s="249">
        <v>21</v>
      </c>
      <c r="G119" s="74"/>
      <c r="H119" s="74"/>
      <c r="I119" s="74">
        <f t="shared" si="5"/>
        <v>0</v>
      </c>
    </row>
    <row r="120" spans="2:9" s="247" customFormat="1" x14ac:dyDescent="0.25">
      <c r="B120" s="69" t="s">
        <v>1546</v>
      </c>
      <c r="C120" s="69" t="s">
        <v>303</v>
      </c>
      <c r="D120" s="238" t="s">
        <v>477</v>
      </c>
      <c r="E120" s="82" t="s">
        <v>305</v>
      </c>
      <c r="F120" s="249">
        <v>21</v>
      </c>
      <c r="G120" s="74"/>
      <c r="H120" s="74"/>
      <c r="I120" s="74">
        <f t="shared" si="5"/>
        <v>0</v>
      </c>
    </row>
    <row r="121" spans="2:9" s="247" customFormat="1" x14ac:dyDescent="0.25">
      <c r="B121" s="69" t="s">
        <v>1547</v>
      </c>
      <c r="C121" s="69" t="s">
        <v>303</v>
      </c>
      <c r="D121" s="238" t="s">
        <v>479</v>
      </c>
      <c r="E121" s="82" t="s">
        <v>305</v>
      </c>
      <c r="F121" s="249">
        <v>21</v>
      </c>
      <c r="G121" s="74"/>
      <c r="H121" s="74"/>
      <c r="I121" s="74">
        <f t="shared" si="5"/>
        <v>0</v>
      </c>
    </row>
    <row r="122" spans="2:9" s="247" customFormat="1" x14ac:dyDescent="0.25">
      <c r="B122" s="69" t="s">
        <v>1548</v>
      </c>
      <c r="C122" s="69" t="s">
        <v>303</v>
      </c>
      <c r="D122" s="238" t="s">
        <v>481</v>
      </c>
      <c r="E122" s="82" t="s">
        <v>305</v>
      </c>
      <c r="F122" s="249">
        <v>21</v>
      </c>
      <c r="G122" s="74"/>
      <c r="H122" s="74"/>
      <c r="I122" s="74">
        <f t="shared" si="5"/>
        <v>0</v>
      </c>
    </row>
    <row r="123" spans="2:9" s="247" customFormat="1" x14ac:dyDescent="0.25">
      <c r="B123" s="69" t="s">
        <v>1549</v>
      </c>
      <c r="C123" s="69" t="s">
        <v>303</v>
      </c>
      <c r="D123" s="238" t="s">
        <v>483</v>
      </c>
      <c r="E123" s="82" t="s">
        <v>305</v>
      </c>
      <c r="F123" s="249">
        <v>21</v>
      </c>
      <c r="G123" s="74"/>
      <c r="H123" s="74"/>
      <c r="I123" s="74">
        <f t="shared" si="5"/>
        <v>0</v>
      </c>
    </row>
    <row r="124" spans="2:9" s="247" customFormat="1" x14ac:dyDescent="0.25">
      <c r="B124" s="69" t="s">
        <v>1550</v>
      </c>
      <c r="C124" s="69" t="s">
        <v>303</v>
      </c>
      <c r="D124" s="238" t="s">
        <v>485</v>
      </c>
      <c r="E124" s="82" t="s">
        <v>305</v>
      </c>
      <c r="F124" s="249">
        <v>21</v>
      </c>
      <c r="G124" s="74"/>
      <c r="H124" s="74"/>
      <c r="I124" s="74">
        <f t="shared" si="5"/>
        <v>0</v>
      </c>
    </row>
    <row r="125" spans="2:9" s="247" customFormat="1" x14ac:dyDescent="0.25">
      <c r="B125" s="69" t="s">
        <v>1551</v>
      </c>
      <c r="C125" s="69" t="s">
        <v>303</v>
      </c>
      <c r="D125" s="238" t="s">
        <v>487</v>
      </c>
      <c r="E125" s="82" t="s">
        <v>305</v>
      </c>
      <c r="F125" s="249">
        <v>21</v>
      </c>
      <c r="G125" s="74"/>
      <c r="H125" s="74"/>
      <c r="I125" s="74">
        <f t="shared" si="5"/>
        <v>0</v>
      </c>
    </row>
    <row r="126" spans="2:9" s="247" customFormat="1" x14ac:dyDescent="0.25">
      <c r="B126" s="69" t="s">
        <v>1552</v>
      </c>
      <c r="C126" s="69" t="s">
        <v>303</v>
      </c>
      <c r="D126" s="238" t="s">
        <v>489</v>
      </c>
      <c r="E126" s="82" t="s">
        <v>305</v>
      </c>
      <c r="F126" s="249">
        <v>21</v>
      </c>
      <c r="G126" s="74"/>
      <c r="H126" s="74"/>
      <c r="I126" s="74">
        <f t="shared" si="5"/>
        <v>0</v>
      </c>
    </row>
    <row r="127" spans="2:9" s="247" customFormat="1" x14ac:dyDescent="0.25">
      <c r="B127" s="69" t="s">
        <v>1553</v>
      </c>
      <c r="C127" s="69" t="s">
        <v>303</v>
      </c>
      <c r="D127" s="238" t="s">
        <v>491</v>
      </c>
      <c r="E127" s="82" t="s">
        <v>305</v>
      </c>
      <c r="F127" s="249">
        <v>21</v>
      </c>
      <c r="G127" s="74"/>
      <c r="H127" s="74"/>
      <c r="I127" s="74">
        <f t="shared" si="5"/>
        <v>0</v>
      </c>
    </row>
    <row r="128" spans="2:9" s="247" customFormat="1" x14ac:dyDescent="0.25">
      <c r="B128" s="69" t="s">
        <v>1554</v>
      </c>
      <c r="C128" s="69" t="s">
        <v>303</v>
      </c>
      <c r="D128" s="238" t="s">
        <v>493</v>
      </c>
      <c r="E128" s="82" t="s">
        <v>305</v>
      </c>
      <c r="F128" s="249">
        <v>21</v>
      </c>
      <c r="G128" s="74"/>
      <c r="H128" s="74"/>
      <c r="I128" s="74">
        <f t="shared" si="5"/>
        <v>0</v>
      </c>
    </row>
    <row r="129" spans="2:9" s="247" customFormat="1" x14ac:dyDescent="0.25">
      <c r="B129" s="69" t="s">
        <v>1555</v>
      </c>
      <c r="C129" s="69" t="s">
        <v>303</v>
      </c>
      <c r="D129" s="238" t="s">
        <v>495</v>
      </c>
      <c r="E129" s="82" t="s">
        <v>305</v>
      </c>
      <c r="F129" s="249">
        <v>21</v>
      </c>
      <c r="G129" s="74"/>
      <c r="H129" s="74"/>
      <c r="I129" s="74">
        <f t="shared" si="5"/>
        <v>0</v>
      </c>
    </row>
    <row r="130" spans="2:9" s="247" customFormat="1" x14ac:dyDescent="0.25">
      <c r="B130" s="272" t="s">
        <v>1557</v>
      </c>
      <c r="C130" s="87"/>
      <c r="D130" s="239" t="s">
        <v>497</v>
      </c>
      <c r="E130" s="87"/>
      <c r="F130" s="87"/>
      <c r="G130" s="88"/>
      <c r="H130" s="88"/>
      <c r="I130" s="68">
        <f>SUM(I131:I136)</f>
        <v>0</v>
      </c>
    </row>
    <row r="131" spans="2:9" s="247" customFormat="1" x14ac:dyDescent="0.25">
      <c r="B131" s="249" t="s">
        <v>1558</v>
      </c>
      <c r="C131" s="69" t="s">
        <v>303</v>
      </c>
      <c r="D131" s="238" t="s">
        <v>499</v>
      </c>
      <c r="E131" s="89" t="s">
        <v>305</v>
      </c>
      <c r="F131" s="249">
        <v>21</v>
      </c>
      <c r="G131" s="74"/>
      <c r="H131" s="74"/>
      <c r="I131" s="74">
        <f t="shared" si="5"/>
        <v>0</v>
      </c>
    </row>
    <row r="132" spans="2:9" s="247" customFormat="1" x14ac:dyDescent="0.25">
      <c r="B132" s="249" t="s">
        <v>1559</v>
      </c>
      <c r="C132" s="69" t="s">
        <v>303</v>
      </c>
      <c r="D132" s="238" t="s">
        <v>501</v>
      </c>
      <c r="E132" s="89" t="s">
        <v>305</v>
      </c>
      <c r="F132" s="249">
        <v>21</v>
      </c>
      <c r="G132" s="74"/>
      <c r="H132" s="74"/>
      <c r="I132" s="74">
        <f t="shared" si="5"/>
        <v>0</v>
      </c>
    </row>
    <row r="133" spans="2:9" s="247" customFormat="1" x14ac:dyDescent="0.25">
      <c r="B133" s="249" t="s">
        <v>1560</v>
      </c>
      <c r="C133" s="69" t="s">
        <v>303</v>
      </c>
      <c r="D133" s="238" t="s">
        <v>503</v>
      </c>
      <c r="E133" s="89" t="s">
        <v>305</v>
      </c>
      <c r="F133" s="249">
        <v>21</v>
      </c>
      <c r="G133" s="74"/>
      <c r="H133" s="74"/>
      <c r="I133" s="74">
        <f t="shared" si="5"/>
        <v>0</v>
      </c>
    </row>
    <row r="134" spans="2:9" s="247" customFormat="1" x14ac:dyDescent="0.25">
      <c r="B134" s="249" t="s">
        <v>1561</v>
      </c>
      <c r="C134" s="69" t="s">
        <v>303</v>
      </c>
      <c r="D134" s="238" t="s">
        <v>505</v>
      </c>
      <c r="E134" s="89" t="s">
        <v>305</v>
      </c>
      <c r="F134" s="249">
        <v>21</v>
      </c>
      <c r="G134" s="74"/>
      <c r="H134" s="74"/>
      <c r="I134" s="74">
        <f t="shared" si="5"/>
        <v>0</v>
      </c>
    </row>
    <row r="135" spans="2:9" s="247" customFormat="1" x14ac:dyDescent="0.25">
      <c r="B135" s="249" t="s">
        <v>1562</v>
      </c>
      <c r="C135" s="69" t="s">
        <v>303</v>
      </c>
      <c r="D135" s="238" t="s">
        <v>507</v>
      </c>
      <c r="E135" s="89" t="s">
        <v>305</v>
      </c>
      <c r="F135" s="249">
        <v>21</v>
      </c>
      <c r="G135" s="74"/>
      <c r="H135" s="74"/>
      <c r="I135" s="74">
        <f t="shared" si="5"/>
        <v>0</v>
      </c>
    </row>
    <row r="136" spans="2:9" s="247" customFormat="1" x14ac:dyDescent="0.25">
      <c r="B136" s="249" t="s">
        <v>1563</v>
      </c>
      <c r="C136" s="69" t="s">
        <v>303</v>
      </c>
      <c r="D136" s="238" t="s">
        <v>509</v>
      </c>
      <c r="E136" s="89" t="s">
        <v>305</v>
      </c>
      <c r="F136" s="249">
        <v>21</v>
      </c>
      <c r="G136" s="74"/>
      <c r="H136" s="74"/>
      <c r="I136" s="74">
        <f t="shared" si="5"/>
        <v>0</v>
      </c>
    </row>
    <row r="137" spans="2:9" s="247" customFormat="1" x14ac:dyDescent="0.25">
      <c r="B137" s="63" t="s">
        <v>62</v>
      </c>
      <c r="C137" s="63"/>
      <c r="D137" s="64" t="s">
        <v>5</v>
      </c>
      <c r="E137" s="64"/>
      <c r="F137" s="64"/>
      <c r="G137" s="80">
        <f t="shared" ref="G137:H137" si="6">G138+G139</f>
        <v>0</v>
      </c>
      <c r="H137" s="80">
        <f t="shared" si="6"/>
        <v>0</v>
      </c>
      <c r="I137" s="80">
        <f>SUM(I138:I139)</f>
        <v>0</v>
      </c>
    </row>
    <row r="138" spans="2:9" s="247" customFormat="1" x14ac:dyDescent="0.25">
      <c r="B138" s="69" t="s">
        <v>1913</v>
      </c>
      <c r="C138" s="69" t="s">
        <v>303</v>
      </c>
      <c r="D138" s="238" t="s">
        <v>1004</v>
      </c>
      <c r="E138" s="82" t="s">
        <v>305</v>
      </c>
      <c r="F138" s="249">
        <v>21</v>
      </c>
      <c r="G138" s="74">
        <f>Insumos!D99*1</f>
        <v>0</v>
      </c>
      <c r="H138" s="74">
        <f>G138*0.35</f>
        <v>0</v>
      </c>
      <c r="I138" s="74">
        <f t="shared" si="5"/>
        <v>0</v>
      </c>
    </row>
    <row r="139" spans="2:9" s="247" customFormat="1" x14ac:dyDescent="0.25">
      <c r="B139" s="69" t="s">
        <v>1914</v>
      </c>
      <c r="C139" s="69" t="s">
        <v>303</v>
      </c>
      <c r="D139" s="238" t="s">
        <v>1361</v>
      </c>
      <c r="E139" s="82" t="s">
        <v>305</v>
      </c>
      <c r="F139" s="249">
        <v>21</v>
      </c>
      <c r="G139" s="74">
        <f>Insumos!D100*1</f>
        <v>0</v>
      </c>
      <c r="H139" s="74">
        <f>G139*0.35</f>
        <v>0</v>
      </c>
      <c r="I139" s="74">
        <f t="shared" si="5"/>
        <v>0</v>
      </c>
    </row>
    <row r="140" spans="2:9" s="247" customFormat="1" x14ac:dyDescent="0.25">
      <c r="B140" s="267" t="s">
        <v>332</v>
      </c>
      <c r="C140" s="267"/>
      <c r="D140" s="268" t="s">
        <v>1318</v>
      </c>
      <c r="E140" s="268"/>
      <c r="F140" s="268"/>
      <c r="G140" s="269"/>
      <c r="H140" s="269"/>
      <c r="I140" s="269">
        <f>SUM(I141,I178,I321)</f>
        <v>0</v>
      </c>
    </row>
    <row r="141" spans="2:9" s="247" customFormat="1" x14ac:dyDescent="0.25">
      <c r="B141" s="63" t="s">
        <v>334</v>
      </c>
      <c r="C141" s="63"/>
      <c r="D141" s="64" t="s">
        <v>4</v>
      </c>
      <c r="E141" s="64"/>
      <c r="F141" s="64"/>
      <c r="G141" s="65"/>
      <c r="H141" s="65"/>
      <c r="I141" s="65">
        <f>SUM(I142,I143,I152,I156,I158,I162,I165,I169,I172)</f>
        <v>0</v>
      </c>
    </row>
    <row r="142" spans="2:9" s="247" customFormat="1" x14ac:dyDescent="0.25">
      <c r="B142" s="66" t="s">
        <v>336</v>
      </c>
      <c r="C142" s="66" t="s">
        <v>1373</v>
      </c>
      <c r="D142" s="67" t="s">
        <v>1290</v>
      </c>
      <c r="E142" s="66" t="s">
        <v>248</v>
      </c>
      <c r="F142" s="66">
        <v>1</v>
      </c>
      <c r="G142" s="68">
        <f>'Composição UNIT.'!H181</f>
        <v>0</v>
      </c>
      <c r="H142" s="68">
        <f>'Composição UNIT.'!H171</f>
        <v>0</v>
      </c>
      <c r="I142" s="68">
        <f>H142+G142</f>
        <v>0</v>
      </c>
    </row>
    <row r="143" spans="2:9" s="247" customFormat="1" x14ac:dyDescent="0.25">
      <c r="B143" s="66" t="s">
        <v>338</v>
      </c>
      <c r="C143" s="66"/>
      <c r="D143" s="67" t="s">
        <v>259</v>
      </c>
      <c r="E143" s="67"/>
      <c r="F143" s="67"/>
      <c r="G143" s="68"/>
      <c r="H143" s="68"/>
      <c r="I143" s="68">
        <f>SUM(I144:I151)</f>
        <v>0</v>
      </c>
    </row>
    <row r="144" spans="2:9" s="247" customFormat="1" x14ac:dyDescent="0.25">
      <c r="B144" s="69" t="s">
        <v>1342</v>
      </c>
      <c r="C144" s="69" t="s">
        <v>1374</v>
      </c>
      <c r="D144" s="70" t="s">
        <v>1259</v>
      </c>
      <c r="E144" s="69" t="s">
        <v>248</v>
      </c>
      <c r="F144" s="69">
        <v>1</v>
      </c>
      <c r="G144" s="71">
        <f>'Composição UNIT.'!H207</f>
        <v>0</v>
      </c>
      <c r="H144" s="71">
        <f>'Composição UNIT.'!H197</f>
        <v>0</v>
      </c>
      <c r="I144" s="74">
        <f>ROUND(G144+H144,2)</f>
        <v>0</v>
      </c>
    </row>
    <row r="145" spans="2:9" s="247" customFormat="1" x14ac:dyDescent="0.25">
      <c r="B145" s="69" t="s">
        <v>1343</v>
      </c>
      <c r="C145" s="69" t="s">
        <v>1375</v>
      </c>
      <c r="D145" s="70" t="s">
        <v>2129</v>
      </c>
      <c r="E145" s="69" t="s">
        <v>248</v>
      </c>
      <c r="F145" s="69">
        <v>1</v>
      </c>
      <c r="G145" s="71">
        <f>'Composição UNIT.'!H233</f>
        <v>0</v>
      </c>
      <c r="H145" s="71">
        <f>'Composição UNIT.'!H223</f>
        <v>0</v>
      </c>
      <c r="I145" s="74">
        <f t="shared" ref="I145:I151" si="7">ROUND(G145+H145,2)</f>
        <v>0</v>
      </c>
    </row>
    <row r="146" spans="2:9" s="247" customFormat="1" x14ac:dyDescent="0.25">
      <c r="B146" s="69" t="s">
        <v>1344</v>
      </c>
      <c r="C146" s="69" t="s">
        <v>1376</v>
      </c>
      <c r="D146" s="70" t="s">
        <v>265</v>
      </c>
      <c r="E146" s="69" t="s">
        <v>248</v>
      </c>
      <c r="F146" s="69">
        <v>1</v>
      </c>
      <c r="G146" s="71">
        <f>'Composição UNIT.'!H259</f>
        <v>0</v>
      </c>
      <c r="H146" s="71">
        <f>'Composição UNIT.'!H249</f>
        <v>0</v>
      </c>
      <c r="I146" s="74">
        <f t="shared" si="7"/>
        <v>0</v>
      </c>
    </row>
    <row r="147" spans="2:9" s="247" customFormat="1" x14ac:dyDescent="0.25">
      <c r="B147" s="69" t="s">
        <v>1345</v>
      </c>
      <c r="C147" s="69" t="s">
        <v>1379</v>
      </c>
      <c r="D147" s="70" t="s">
        <v>269</v>
      </c>
      <c r="E147" s="69" t="s">
        <v>248</v>
      </c>
      <c r="F147" s="69">
        <v>1</v>
      </c>
      <c r="G147" s="71">
        <f>'Composição UNIT.'!H311</f>
        <v>0</v>
      </c>
      <c r="H147" s="71">
        <f>'Composição UNIT.'!H301</f>
        <v>0</v>
      </c>
      <c r="I147" s="74">
        <f t="shared" si="7"/>
        <v>0</v>
      </c>
    </row>
    <row r="148" spans="2:9" s="247" customFormat="1" x14ac:dyDescent="0.25">
      <c r="B148" s="69" t="s">
        <v>1346</v>
      </c>
      <c r="C148" s="69" t="s">
        <v>1380</v>
      </c>
      <c r="D148" s="70" t="s">
        <v>271</v>
      </c>
      <c r="E148" s="69" t="s">
        <v>248</v>
      </c>
      <c r="F148" s="69">
        <v>1</v>
      </c>
      <c r="G148" s="71">
        <f>'Composição UNIT.'!H337</f>
        <v>0</v>
      </c>
      <c r="H148" s="71">
        <f>'Composição UNIT.'!H327</f>
        <v>0</v>
      </c>
      <c r="I148" s="74">
        <f t="shared" si="7"/>
        <v>0</v>
      </c>
    </row>
    <row r="149" spans="2:9" s="247" customFormat="1" x14ac:dyDescent="0.25">
      <c r="B149" s="69" t="s">
        <v>1347</v>
      </c>
      <c r="C149" s="69" t="s">
        <v>1381</v>
      </c>
      <c r="D149" s="70" t="s">
        <v>2130</v>
      </c>
      <c r="E149" s="69" t="s">
        <v>248</v>
      </c>
      <c r="F149" s="69">
        <v>1</v>
      </c>
      <c r="G149" s="71">
        <f>'Composição UNIT.'!H363</f>
        <v>0</v>
      </c>
      <c r="H149" s="71">
        <f>'Composição UNIT.'!H353</f>
        <v>0</v>
      </c>
      <c r="I149" s="74">
        <f t="shared" si="7"/>
        <v>0</v>
      </c>
    </row>
    <row r="150" spans="2:9" s="247" customFormat="1" x14ac:dyDescent="0.25">
      <c r="B150" s="69" t="s">
        <v>1348</v>
      </c>
      <c r="C150" s="69" t="s">
        <v>1382</v>
      </c>
      <c r="D150" s="70" t="s">
        <v>1338</v>
      </c>
      <c r="E150" s="69" t="s">
        <v>248</v>
      </c>
      <c r="F150" s="69">
        <v>1</v>
      </c>
      <c r="G150" s="71">
        <f>'Composição UNIT.'!H389</f>
        <v>0</v>
      </c>
      <c r="H150" s="71">
        <f>'Composição UNIT.'!H379</f>
        <v>0</v>
      </c>
      <c r="I150" s="74">
        <f t="shared" si="7"/>
        <v>0</v>
      </c>
    </row>
    <row r="151" spans="2:9" s="247" customFormat="1" x14ac:dyDescent="0.25">
      <c r="B151" s="69" t="s">
        <v>1349</v>
      </c>
      <c r="C151" s="69" t="s">
        <v>1383</v>
      </c>
      <c r="D151" s="70" t="s">
        <v>2136</v>
      </c>
      <c r="E151" s="69" t="s">
        <v>248</v>
      </c>
      <c r="F151" s="69">
        <v>1</v>
      </c>
      <c r="G151" s="71">
        <f>'Composição UNIT.'!H415</f>
        <v>0</v>
      </c>
      <c r="H151" s="71">
        <f>'Composição UNIT.'!H405</f>
        <v>0</v>
      </c>
      <c r="I151" s="74">
        <f t="shared" si="7"/>
        <v>0</v>
      </c>
    </row>
    <row r="152" spans="2:9" s="247" customFormat="1" x14ac:dyDescent="0.25">
      <c r="B152" s="66" t="s">
        <v>340</v>
      </c>
      <c r="C152" s="66"/>
      <c r="D152" s="67" t="s">
        <v>273</v>
      </c>
      <c r="E152" s="67"/>
      <c r="F152" s="67"/>
      <c r="G152" s="68"/>
      <c r="H152" s="68"/>
      <c r="I152" s="68">
        <f>SUM(I153:I155)</f>
        <v>0</v>
      </c>
    </row>
    <row r="153" spans="2:9" s="247" customFormat="1" x14ac:dyDescent="0.25">
      <c r="B153" s="69" t="s">
        <v>2003</v>
      </c>
      <c r="C153" s="69" t="s">
        <v>1384</v>
      </c>
      <c r="D153" s="238" t="s">
        <v>1447</v>
      </c>
      <c r="E153" s="69" t="s">
        <v>248</v>
      </c>
      <c r="F153" s="69">
        <v>1</v>
      </c>
      <c r="G153" s="74">
        <f>'Composição UNIT.'!H442</f>
        <v>0</v>
      </c>
      <c r="H153" s="74">
        <f>'Composição UNIT.'!H432</f>
        <v>0</v>
      </c>
      <c r="I153" s="74">
        <f t="shared" ref="I153:I155" si="8">ROUND(G153+H153,2)</f>
        <v>0</v>
      </c>
    </row>
    <row r="154" spans="2:9" s="247" customFormat="1" x14ac:dyDescent="0.25">
      <c r="B154" s="69" t="s">
        <v>2004</v>
      </c>
      <c r="C154" s="69" t="s">
        <v>1385</v>
      </c>
      <c r="D154" s="238" t="s">
        <v>1448</v>
      </c>
      <c r="E154" s="69" t="s">
        <v>248</v>
      </c>
      <c r="F154" s="69">
        <v>1</v>
      </c>
      <c r="G154" s="74">
        <f>'Composição UNIT.'!H468*7</f>
        <v>0</v>
      </c>
      <c r="H154" s="74">
        <f>'Composição UNIT.'!H458*7</f>
        <v>0</v>
      </c>
      <c r="I154" s="74">
        <f t="shared" si="8"/>
        <v>0</v>
      </c>
    </row>
    <row r="155" spans="2:9" s="247" customFormat="1" x14ac:dyDescent="0.25">
      <c r="B155" s="69" t="s">
        <v>2005</v>
      </c>
      <c r="C155" s="69" t="s">
        <v>1386</v>
      </c>
      <c r="D155" s="238" t="s">
        <v>1446</v>
      </c>
      <c r="E155" s="69" t="s">
        <v>248</v>
      </c>
      <c r="F155" s="69">
        <v>1</v>
      </c>
      <c r="G155" s="74">
        <f>'Composição UNIT.'!H494</f>
        <v>0</v>
      </c>
      <c r="H155" s="74">
        <f>'Composição UNIT.'!H484</f>
        <v>0</v>
      </c>
      <c r="I155" s="74">
        <f t="shared" si="8"/>
        <v>0</v>
      </c>
    </row>
    <row r="156" spans="2:9" s="247" customFormat="1" x14ac:dyDescent="0.25">
      <c r="B156" s="66" t="s">
        <v>342</v>
      </c>
      <c r="C156" s="66"/>
      <c r="D156" s="239" t="s">
        <v>278</v>
      </c>
      <c r="E156" s="67"/>
      <c r="F156" s="67"/>
      <c r="G156" s="68"/>
      <c r="H156" s="68"/>
      <c r="I156" s="68">
        <f>I157</f>
        <v>0</v>
      </c>
    </row>
    <row r="157" spans="2:9" s="247" customFormat="1" x14ac:dyDescent="0.25">
      <c r="B157" s="69" t="s">
        <v>1350</v>
      </c>
      <c r="C157" s="69" t="s">
        <v>1425</v>
      </c>
      <c r="D157" s="70" t="s">
        <v>1990</v>
      </c>
      <c r="E157" s="69" t="s">
        <v>248</v>
      </c>
      <c r="F157" s="69">
        <v>1</v>
      </c>
      <c r="G157" s="71">
        <f>'Composição UNIT.'!H520*3</f>
        <v>0</v>
      </c>
      <c r="H157" s="71">
        <f>'Composição UNIT.'!H510*3</f>
        <v>0</v>
      </c>
      <c r="I157" s="74">
        <f>ROUND(G157+H157,2)</f>
        <v>0</v>
      </c>
    </row>
    <row r="158" spans="2:9" s="247" customFormat="1" x14ac:dyDescent="0.25">
      <c r="B158" s="248" t="s">
        <v>344</v>
      </c>
      <c r="C158" s="66"/>
      <c r="D158" s="67" t="s">
        <v>168</v>
      </c>
      <c r="E158" s="67"/>
      <c r="F158" s="67"/>
      <c r="G158" s="68"/>
      <c r="H158" s="68"/>
      <c r="I158" s="68">
        <f>SUM(I159:I161)</f>
        <v>0</v>
      </c>
    </row>
    <row r="159" spans="2:9" s="247" customFormat="1" x14ac:dyDescent="0.25">
      <c r="B159" s="249" t="s">
        <v>1351</v>
      </c>
      <c r="C159" s="69" t="s">
        <v>1426</v>
      </c>
      <c r="D159" s="238" t="s">
        <v>2400</v>
      </c>
      <c r="E159" s="69" t="s">
        <v>248</v>
      </c>
      <c r="F159" s="69">
        <v>1</v>
      </c>
      <c r="G159" s="74">
        <f>'Composição UNIT.'!H573*500</f>
        <v>0</v>
      </c>
      <c r="H159" s="74">
        <f>'Composição UNIT.'!H563*500</f>
        <v>0</v>
      </c>
      <c r="I159" s="74">
        <f t="shared" ref="I159:I161" si="9">ROUND(G159+H159,2)</f>
        <v>0</v>
      </c>
    </row>
    <row r="160" spans="2:9" s="247" customFormat="1" x14ac:dyDescent="0.25">
      <c r="B160" s="249" t="s">
        <v>2006</v>
      </c>
      <c r="C160" s="69" t="s">
        <v>1427</v>
      </c>
      <c r="D160" s="238" t="s">
        <v>1450</v>
      </c>
      <c r="E160" s="69" t="s">
        <v>248</v>
      </c>
      <c r="F160" s="69">
        <v>1</v>
      </c>
      <c r="G160" s="74">
        <f>'Composição UNIT.'!H599*256</f>
        <v>0</v>
      </c>
      <c r="H160" s="74">
        <f>'Composição UNIT.'!H589*256</f>
        <v>0</v>
      </c>
      <c r="I160" s="74">
        <f t="shared" si="9"/>
        <v>0</v>
      </c>
    </row>
    <row r="161" spans="2:9" s="247" customFormat="1" x14ac:dyDescent="0.25">
      <c r="B161" s="249" t="s">
        <v>2007</v>
      </c>
      <c r="C161" s="69" t="s">
        <v>1428</v>
      </c>
      <c r="D161" s="238" t="s">
        <v>1451</v>
      </c>
      <c r="E161" s="69" t="s">
        <v>248</v>
      </c>
      <c r="F161" s="69">
        <v>1</v>
      </c>
      <c r="G161" s="74">
        <f>'Composição UNIT.'!H625*12</f>
        <v>0</v>
      </c>
      <c r="H161" s="74">
        <f>'Composição UNIT.'!H615*12</f>
        <v>0</v>
      </c>
      <c r="I161" s="74">
        <f t="shared" si="9"/>
        <v>0</v>
      </c>
    </row>
    <row r="162" spans="2:9" s="247" customFormat="1" x14ac:dyDescent="0.25">
      <c r="B162" s="248" t="s">
        <v>346</v>
      </c>
      <c r="C162" s="66"/>
      <c r="D162" s="67" t="s">
        <v>290</v>
      </c>
      <c r="E162" s="67"/>
      <c r="F162" s="67"/>
      <c r="G162" s="68"/>
      <c r="H162" s="68"/>
      <c r="I162" s="68">
        <f>SUM(I163:I164)</f>
        <v>0</v>
      </c>
    </row>
    <row r="163" spans="2:9" s="247" customFormat="1" x14ac:dyDescent="0.25">
      <c r="B163" s="249" t="s">
        <v>1352</v>
      </c>
      <c r="C163" s="69" t="s">
        <v>1429</v>
      </c>
      <c r="D163" s="238" t="s">
        <v>1330</v>
      </c>
      <c r="E163" s="69" t="s">
        <v>248</v>
      </c>
      <c r="F163" s="69">
        <v>1</v>
      </c>
      <c r="G163" s="74">
        <f>'Composição UNIT.'!H652*22</f>
        <v>0</v>
      </c>
      <c r="H163" s="74">
        <f>'Composição UNIT.'!H642*22</f>
        <v>0</v>
      </c>
      <c r="I163" s="74">
        <f t="shared" ref="I163:I164" si="10">ROUND(G163+H163,2)</f>
        <v>0</v>
      </c>
    </row>
    <row r="164" spans="2:9" s="247" customFormat="1" x14ac:dyDescent="0.25">
      <c r="B164" s="249" t="s">
        <v>1353</v>
      </c>
      <c r="C164" s="69" t="s">
        <v>1430</v>
      </c>
      <c r="D164" s="238" t="s">
        <v>1331</v>
      </c>
      <c r="E164" s="69" t="s">
        <v>248</v>
      </c>
      <c r="F164" s="69">
        <v>1</v>
      </c>
      <c r="G164" s="74">
        <f>'Composição UNIT.'!H679*20</f>
        <v>0</v>
      </c>
      <c r="H164" s="74">
        <f>'Composição UNIT.'!H669*20</f>
        <v>0</v>
      </c>
      <c r="I164" s="74">
        <f t="shared" si="10"/>
        <v>0</v>
      </c>
    </row>
    <row r="165" spans="2:9" s="247" customFormat="1" x14ac:dyDescent="0.25">
      <c r="B165" s="248" t="s">
        <v>348</v>
      </c>
      <c r="C165" s="66"/>
      <c r="D165" s="67" t="s">
        <v>301</v>
      </c>
      <c r="E165" s="67"/>
      <c r="F165" s="67"/>
      <c r="G165" s="68"/>
      <c r="H165" s="68"/>
      <c r="I165" s="68">
        <f>SUM(I166:I168)</f>
        <v>0</v>
      </c>
    </row>
    <row r="166" spans="2:9" s="247" customFormat="1" x14ac:dyDescent="0.25">
      <c r="B166" s="249" t="s">
        <v>1354</v>
      </c>
      <c r="C166" s="69" t="s">
        <v>303</v>
      </c>
      <c r="D166" s="238" t="s">
        <v>1452</v>
      </c>
      <c r="E166" s="249" t="s">
        <v>305</v>
      </c>
      <c r="F166" s="69">
        <v>31</v>
      </c>
      <c r="G166" s="71">
        <f>Insumos!D88*120</f>
        <v>0</v>
      </c>
      <c r="H166" s="74">
        <f>G166*0.25</f>
        <v>0</v>
      </c>
      <c r="I166" s="74">
        <f t="shared" ref="I166:I168" si="11">ROUND(G166+H166,2)</f>
        <v>0</v>
      </c>
    </row>
    <row r="167" spans="2:9" s="247" customFormat="1" x14ac:dyDescent="0.25">
      <c r="B167" s="249" t="s">
        <v>1355</v>
      </c>
      <c r="C167" s="69" t="s">
        <v>303</v>
      </c>
      <c r="D167" s="238" t="s">
        <v>1454</v>
      </c>
      <c r="E167" s="249" t="s">
        <v>305</v>
      </c>
      <c r="F167" s="69">
        <v>31</v>
      </c>
      <c r="G167" s="71">
        <f>Insumos!D89*40</f>
        <v>0</v>
      </c>
      <c r="H167" s="74">
        <f t="shared" ref="H167:H168" si="12">G167*0.25</f>
        <v>0</v>
      </c>
      <c r="I167" s="74">
        <f t="shared" si="11"/>
        <v>0</v>
      </c>
    </row>
    <row r="168" spans="2:9" s="247" customFormat="1" x14ac:dyDescent="0.25">
      <c r="B168" s="249" t="s">
        <v>2008</v>
      </c>
      <c r="C168" s="69" t="s">
        <v>303</v>
      </c>
      <c r="D168" s="238" t="s">
        <v>1460</v>
      </c>
      <c r="E168" s="265" t="s">
        <v>305</v>
      </c>
      <c r="F168" s="69">
        <v>31</v>
      </c>
      <c r="G168" s="71">
        <f>Insumos!D92*1238</f>
        <v>0</v>
      </c>
      <c r="H168" s="74">
        <f t="shared" si="12"/>
        <v>0</v>
      </c>
      <c r="I168" s="74">
        <f t="shared" si="11"/>
        <v>0</v>
      </c>
    </row>
    <row r="169" spans="2:9" s="247" customFormat="1" x14ac:dyDescent="0.25">
      <c r="B169" s="248" t="s">
        <v>350</v>
      </c>
      <c r="C169" s="66"/>
      <c r="D169" s="67" t="s">
        <v>315</v>
      </c>
      <c r="E169" s="67"/>
      <c r="F169" s="67"/>
      <c r="G169" s="68"/>
      <c r="H169" s="68"/>
      <c r="I169" s="68">
        <f>SUM(I170:I171)</f>
        <v>0</v>
      </c>
    </row>
    <row r="170" spans="2:9" s="247" customFormat="1" x14ac:dyDescent="0.25">
      <c r="B170" s="249" t="s">
        <v>1356</v>
      </c>
      <c r="C170" s="69" t="s">
        <v>303</v>
      </c>
      <c r="D170" s="238" t="s">
        <v>1327</v>
      </c>
      <c r="E170" s="69" t="s">
        <v>305</v>
      </c>
      <c r="F170" s="69">
        <v>31</v>
      </c>
      <c r="G170" s="74">
        <f>Insumos!D94*58*0.75</f>
        <v>0</v>
      </c>
      <c r="H170" s="74">
        <f>Insumos!D94*58*0.25</f>
        <v>0</v>
      </c>
      <c r="I170" s="74">
        <f t="shared" ref="I170:I171" si="13">ROUND(G170+H170,2)</f>
        <v>0</v>
      </c>
    </row>
    <row r="171" spans="2:9" s="247" customFormat="1" x14ac:dyDescent="0.25">
      <c r="B171" s="249" t="s">
        <v>1357</v>
      </c>
      <c r="C171" s="69" t="s">
        <v>303</v>
      </c>
      <c r="D171" s="238" t="s">
        <v>1328</v>
      </c>
      <c r="E171" s="69" t="s">
        <v>305</v>
      </c>
      <c r="F171" s="69">
        <v>31</v>
      </c>
      <c r="G171" s="74">
        <f>Insumos!D95*1*0.75</f>
        <v>0</v>
      </c>
      <c r="H171" s="74">
        <f>Insumos!D95*1*0.25</f>
        <v>0</v>
      </c>
      <c r="I171" s="74">
        <f t="shared" si="13"/>
        <v>0</v>
      </c>
    </row>
    <row r="172" spans="2:9" s="247" customFormat="1" x14ac:dyDescent="0.25">
      <c r="B172" s="66" t="s">
        <v>352</v>
      </c>
      <c r="C172" s="66"/>
      <c r="D172" s="67" t="s">
        <v>321</v>
      </c>
      <c r="E172" s="67"/>
      <c r="F172" s="67"/>
      <c r="G172" s="68"/>
      <c r="H172" s="68"/>
      <c r="I172" s="68">
        <f>SUM(I173:I177)</f>
        <v>0</v>
      </c>
    </row>
    <row r="173" spans="2:9" s="247" customFormat="1" x14ac:dyDescent="0.25">
      <c r="B173" s="69" t="s">
        <v>1358</v>
      </c>
      <c r="C173" s="69" t="s">
        <v>303</v>
      </c>
      <c r="D173" s="70" t="s">
        <v>323</v>
      </c>
      <c r="E173" s="69" t="s">
        <v>305</v>
      </c>
      <c r="F173" s="69">
        <v>31</v>
      </c>
      <c r="G173" s="74">
        <f>Insumos!D41*31*2</f>
        <v>0</v>
      </c>
      <c r="H173" s="74">
        <f>G173*0.25</f>
        <v>0</v>
      </c>
      <c r="I173" s="74">
        <f t="shared" ref="I173:I177" si="14">ROUND(G173+H173,2)</f>
        <v>0</v>
      </c>
    </row>
    <row r="174" spans="2:9" s="247" customFormat="1" x14ac:dyDescent="0.25">
      <c r="B174" s="69" t="s">
        <v>1359</v>
      </c>
      <c r="C174" s="69" t="s">
        <v>303</v>
      </c>
      <c r="D174" s="70" t="s">
        <v>1326</v>
      </c>
      <c r="E174" s="69" t="s">
        <v>305</v>
      </c>
      <c r="F174" s="69">
        <v>31</v>
      </c>
      <c r="G174" s="74">
        <f>Insumos!D42*31*4</f>
        <v>0</v>
      </c>
      <c r="H174" s="74">
        <f t="shared" ref="H174:H177" si="15">G174*0.25</f>
        <v>0</v>
      </c>
      <c r="I174" s="74">
        <f t="shared" si="14"/>
        <v>0</v>
      </c>
    </row>
    <row r="175" spans="2:9" s="247" customFormat="1" x14ac:dyDescent="0.25">
      <c r="B175" s="69" t="s">
        <v>2009</v>
      </c>
      <c r="C175" s="69" t="s">
        <v>303</v>
      </c>
      <c r="D175" s="70" t="s">
        <v>2028</v>
      </c>
      <c r="E175" s="69" t="s">
        <v>305</v>
      </c>
      <c r="F175" s="69">
        <v>31</v>
      </c>
      <c r="G175" s="74">
        <f>Insumos!D44*31*6</f>
        <v>0</v>
      </c>
      <c r="H175" s="74">
        <f t="shared" si="15"/>
        <v>0</v>
      </c>
      <c r="I175" s="74">
        <f t="shared" si="14"/>
        <v>0</v>
      </c>
    </row>
    <row r="176" spans="2:9" s="247" customFormat="1" x14ac:dyDescent="0.25">
      <c r="B176" s="69" t="s">
        <v>2010</v>
      </c>
      <c r="C176" s="69" t="s">
        <v>303</v>
      </c>
      <c r="D176" s="70" t="s">
        <v>2029</v>
      </c>
      <c r="E176" s="69" t="s">
        <v>305</v>
      </c>
      <c r="F176" s="69">
        <v>31</v>
      </c>
      <c r="G176" s="74">
        <f>Insumos!D43*31*6</f>
        <v>0</v>
      </c>
      <c r="H176" s="74">
        <f t="shared" si="15"/>
        <v>0</v>
      </c>
      <c r="I176" s="74">
        <f t="shared" si="14"/>
        <v>0</v>
      </c>
    </row>
    <row r="177" spans="2:9" s="247" customFormat="1" x14ac:dyDescent="0.25">
      <c r="B177" s="69" t="s">
        <v>2011</v>
      </c>
      <c r="C177" s="69" t="s">
        <v>303</v>
      </c>
      <c r="D177" s="238" t="s">
        <v>331</v>
      </c>
      <c r="E177" s="69" t="s">
        <v>305</v>
      </c>
      <c r="F177" s="69">
        <v>31</v>
      </c>
      <c r="G177" s="74">
        <f>Insumos!D45*31*2</f>
        <v>0</v>
      </c>
      <c r="H177" s="74">
        <f t="shared" si="15"/>
        <v>0</v>
      </c>
      <c r="I177" s="74">
        <f t="shared" si="14"/>
        <v>0</v>
      </c>
    </row>
    <row r="178" spans="2:9" s="247" customFormat="1" x14ac:dyDescent="0.25">
      <c r="B178" s="63" t="s">
        <v>1319</v>
      </c>
      <c r="C178" s="63"/>
      <c r="D178" s="64" t="s">
        <v>333</v>
      </c>
      <c r="E178" s="64"/>
      <c r="F178" s="64"/>
      <c r="G178" s="80"/>
      <c r="H178" s="80"/>
      <c r="I178" s="80">
        <f>SUM(I179,I212,I227,I260,I275,I299,I307,I314)</f>
        <v>0</v>
      </c>
    </row>
    <row r="179" spans="2:9" s="247" customFormat="1" x14ac:dyDescent="0.25">
      <c r="B179" s="248" t="s">
        <v>444</v>
      </c>
      <c r="C179" s="66"/>
      <c r="D179" s="250" t="s">
        <v>586</v>
      </c>
      <c r="E179" s="67"/>
      <c r="F179" s="67"/>
      <c r="G179" s="68"/>
      <c r="H179" s="68"/>
      <c r="I179" s="68">
        <f>SUM(I180:I211)</f>
        <v>0</v>
      </c>
    </row>
    <row r="180" spans="2:9" s="247" customFormat="1" x14ac:dyDescent="0.25">
      <c r="B180" s="249" t="s">
        <v>1368</v>
      </c>
      <c r="C180" s="69" t="s">
        <v>303</v>
      </c>
      <c r="D180" s="238" t="s">
        <v>588</v>
      </c>
      <c r="E180" s="82" t="s">
        <v>305</v>
      </c>
      <c r="F180" s="69">
        <v>21</v>
      </c>
      <c r="G180" s="74"/>
      <c r="H180" s="74"/>
      <c r="I180" s="74">
        <f t="shared" ref="I180:I243" si="16">ROUND((H180+G180)*F180,2)</f>
        <v>0</v>
      </c>
    </row>
    <row r="181" spans="2:9" s="247" customFormat="1" x14ac:dyDescent="0.25">
      <c r="B181" s="249" t="s">
        <v>1632</v>
      </c>
      <c r="C181" s="69" t="s">
        <v>303</v>
      </c>
      <c r="D181" s="238" t="s">
        <v>590</v>
      </c>
      <c r="E181" s="82" t="s">
        <v>305</v>
      </c>
      <c r="F181" s="69">
        <v>21</v>
      </c>
      <c r="G181" s="74"/>
      <c r="H181" s="74"/>
      <c r="I181" s="74">
        <f t="shared" si="16"/>
        <v>0</v>
      </c>
    </row>
    <row r="182" spans="2:9" s="247" customFormat="1" x14ac:dyDescent="0.25">
      <c r="B182" s="249" t="s">
        <v>1633</v>
      </c>
      <c r="C182" s="69" t="s">
        <v>303</v>
      </c>
      <c r="D182" s="238" t="s">
        <v>592</v>
      </c>
      <c r="E182" s="82" t="s">
        <v>305</v>
      </c>
      <c r="F182" s="69">
        <v>21</v>
      </c>
      <c r="G182" s="74"/>
      <c r="H182" s="74"/>
      <c r="I182" s="74">
        <f t="shared" si="16"/>
        <v>0</v>
      </c>
    </row>
    <row r="183" spans="2:9" s="247" customFormat="1" x14ac:dyDescent="0.25">
      <c r="B183" s="249" t="s">
        <v>1634</v>
      </c>
      <c r="C183" s="69" t="s">
        <v>303</v>
      </c>
      <c r="D183" s="238" t="s">
        <v>349</v>
      </c>
      <c r="E183" s="82" t="s">
        <v>305</v>
      </c>
      <c r="F183" s="69">
        <v>21</v>
      </c>
      <c r="G183" s="74"/>
      <c r="H183" s="74"/>
      <c r="I183" s="74">
        <f t="shared" si="16"/>
        <v>0</v>
      </c>
    </row>
    <row r="184" spans="2:9" s="247" customFormat="1" x14ac:dyDescent="0.25">
      <c r="B184" s="249" t="s">
        <v>1635</v>
      </c>
      <c r="C184" s="69" t="s">
        <v>303</v>
      </c>
      <c r="D184" s="238" t="s">
        <v>595</v>
      </c>
      <c r="E184" s="82" t="s">
        <v>305</v>
      </c>
      <c r="F184" s="69">
        <v>21</v>
      </c>
      <c r="G184" s="74"/>
      <c r="H184" s="74"/>
      <c r="I184" s="74">
        <f t="shared" si="16"/>
        <v>0</v>
      </c>
    </row>
    <row r="185" spans="2:9" s="247" customFormat="1" x14ac:dyDescent="0.25">
      <c r="B185" s="249" t="s">
        <v>1636</v>
      </c>
      <c r="C185" s="69" t="s">
        <v>303</v>
      </c>
      <c r="D185" s="238" t="s">
        <v>597</v>
      </c>
      <c r="E185" s="82" t="s">
        <v>305</v>
      </c>
      <c r="F185" s="69">
        <v>21</v>
      </c>
      <c r="G185" s="74"/>
      <c r="H185" s="74"/>
      <c r="I185" s="74">
        <f t="shared" si="16"/>
        <v>0</v>
      </c>
    </row>
    <row r="186" spans="2:9" s="247" customFormat="1" x14ac:dyDescent="0.25">
      <c r="B186" s="249" t="s">
        <v>1637</v>
      </c>
      <c r="C186" s="69" t="s">
        <v>303</v>
      </c>
      <c r="D186" s="238" t="s">
        <v>599</v>
      </c>
      <c r="E186" s="82" t="s">
        <v>305</v>
      </c>
      <c r="F186" s="69">
        <v>21</v>
      </c>
      <c r="G186" s="74"/>
      <c r="H186" s="74"/>
      <c r="I186" s="74">
        <f t="shared" si="16"/>
        <v>0</v>
      </c>
    </row>
    <row r="187" spans="2:9" s="247" customFormat="1" x14ac:dyDescent="0.25">
      <c r="B187" s="249" t="s">
        <v>1638</v>
      </c>
      <c r="C187" s="69" t="s">
        <v>303</v>
      </c>
      <c r="D187" s="238" t="s">
        <v>601</v>
      </c>
      <c r="E187" s="82" t="s">
        <v>305</v>
      </c>
      <c r="F187" s="69">
        <v>21</v>
      </c>
      <c r="G187" s="74"/>
      <c r="H187" s="74"/>
      <c r="I187" s="74">
        <f t="shared" si="16"/>
        <v>0</v>
      </c>
    </row>
    <row r="188" spans="2:9" s="247" customFormat="1" x14ac:dyDescent="0.25">
      <c r="B188" s="249" t="s">
        <v>1639</v>
      </c>
      <c r="C188" s="69" t="s">
        <v>303</v>
      </c>
      <c r="D188" s="238" t="s">
        <v>603</v>
      </c>
      <c r="E188" s="82" t="s">
        <v>305</v>
      </c>
      <c r="F188" s="69">
        <v>21</v>
      </c>
      <c r="G188" s="74"/>
      <c r="H188" s="74"/>
      <c r="I188" s="74">
        <f t="shared" si="16"/>
        <v>0</v>
      </c>
    </row>
    <row r="189" spans="2:9" s="247" customFormat="1" x14ac:dyDescent="0.25">
      <c r="B189" s="249" t="s">
        <v>1640</v>
      </c>
      <c r="C189" s="69" t="s">
        <v>303</v>
      </c>
      <c r="D189" s="238" t="s">
        <v>605</v>
      </c>
      <c r="E189" s="82" t="s">
        <v>305</v>
      </c>
      <c r="F189" s="69">
        <v>21</v>
      </c>
      <c r="G189" s="74"/>
      <c r="H189" s="74"/>
      <c r="I189" s="74">
        <f t="shared" si="16"/>
        <v>0</v>
      </c>
    </row>
    <row r="190" spans="2:9" s="247" customFormat="1" x14ac:dyDescent="0.25">
      <c r="B190" s="249" t="s">
        <v>1641</v>
      </c>
      <c r="C190" s="69" t="s">
        <v>303</v>
      </c>
      <c r="D190" s="238" t="s">
        <v>588</v>
      </c>
      <c r="E190" s="82" t="s">
        <v>305</v>
      </c>
      <c r="F190" s="69">
        <v>21</v>
      </c>
      <c r="G190" s="74"/>
      <c r="H190" s="74"/>
      <c r="I190" s="74">
        <f t="shared" si="16"/>
        <v>0</v>
      </c>
    </row>
    <row r="191" spans="2:9" s="247" customFormat="1" x14ac:dyDescent="0.25">
      <c r="B191" s="249" t="s">
        <v>1642</v>
      </c>
      <c r="C191" s="69" t="s">
        <v>303</v>
      </c>
      <c r="D191" s="238" t="s">
        <v>608</v>
      </c>
      <c r="E191" s="82" t="s">
        <v>305</v>
      </c>
      <c r="F191" s="69">
        <v>21</v>
      </c>
      <c r="G191" s="74"/>
      <c r="H191" s="74"/>
      <c r="I191" s="74">
        <f t="shared" si="16"/>
        <v>0</v>
      </c>
    </row>
    <row r="192" spans="2:9" s="247" customFormat="1" x14ac:dyDescent="0.25">
      <c r="B192" s="249" t="s">
        <v>1643</v>
      </c>
      <c r="C192" s="69" t="s">
        <v>303</v>
      </c>
      <c r="D192" s="238" t="s">
        <v>590</v>
      </c>
      <c r="E192" s="82" t="s">
        <v>305</v>
      </c>
      <c r="F192" s="69">
        <v>21</v>
      </c>
      <c r="G192" s="74"/>
      <c r="H192" s="74"/>
      <c r="I192" s="74">
        <f t="shared" si="16"/>
        <v>0</v>
      </c>
    </row>
    <row r="193" spans="2:9" s="247" customFormat="1" x14ac:dyDescent="0.25">
      <c r="B193" s="249" t="s">
        <v>1644</v>
      </c>
      <c r="C193" s="69" t="s">
        <v>303</v>
      </c>
      <c r="D193" s="238" t="s">
        <v>611</v>
      </c>
      <c r="E193" s="82" t="s">
        <v>305</v>
      </c>
      <c r="F193" s="69">
        <v>21</v>
      </c>
      <c r="G193" s="74"/>
      <c r="H193" s="74"/>
      <c r="I193" s="74">
        <f t="shared" si="16"/>
        <v>0</v>
      </c>
    </row>
    <row r="194" spans="2:9" s="247" customFormat="1" x14ac:dyDescent="0.25">
      <c r="B194" s="249" t="s">
        <v>1645</v>
      </c>
      <c r="C194" s="69" t="s">
        <v>303</v>
      </c>
      <c r="D194" s="238" t="s">
        <v>613</v>
      </c>
      <c r="E194" s="82" t="s">
        <v>305</v>
      </c>
      <c r="F194" s="69">
        <v>21</v>
      </c>
      <c r="G194" s="74"/>
      <c r="H194" s="74"/>
      <c r="I194" s="74">
        <f t="shared" si="16"/>
        <v>0</v>
      </c>
    </row>
    <row r="195" spans="2:9" s="247" customFormat="1" x14ac:dyDescent="0.25">
      <c r="B195" s="249" t="s">
        <v>1646</v>
      </c>
      <c r="C195" s="69" t="s">
        <v>303</v>
      </c>
      <c r="D195" s="238" t="s">
        <v>615</v>
      </c>
      <c r="E195" s="82" t="s">
        <v>305</v>
      </c>
      <c r="F195" s="69">
        <v>21</v>
      </c>
      <c r="G195" s="74"/>
      <c r="H195" s="74"/>
      <c r="I195" s="74">
        <f t="shared" si="16"/>
        <v>0</v>
      </c>
    </row>
    <row r="196" spans="2:9" s="247" customFormat="1" x14ac:dyDescent="0.25">
      <c r="B196" s="249" t="s">
        <v>1647</v>
      </c>
      <c r="C196" s="69" t="s">
        <v>303</v>
      </c>
      <c r="D196" s="238" t="s">
        <v>617</v>
      </c>
      <c r="E196" s="82" t="s">
        <v>305</v>
      </c>
      <c r="F196" s="69">
        <v>21</v>
      </c>
      <c r="G196" s="74"/>
      <c r="H196" s="74"/>
      <c r="I196" s="74">
        <f t="shared" si="16"/>
        <v>0</v>
      </c>
    </row>
    <row r="197" spans="2:9" s="247" customFormat="1" x14ac:dyDescent="0.25">
      <c r="B197" s="249" t="s">
        <v>1648</v>
      </c>
      <c r="C197" s="69" t="s">
        <v>303</v>
      </c>
      <c r="D197" s="238" t="s">
        <v>619</v>
      </c>
      <c r="E197" s="82" t="s">
        <v>305</v>
      </c>
      <c r="F197" s="69">
        <v>21</v>
      </c>
      <c r="G197" s="74"/>
      <c r="H197" s="74"/>
      <c r="I197" s="74">
        <f t="shared" si="16"/>
        <v>0</v>
      </c>
    </row>
    <row r="198" spans="2:9" s="247" customFormat="1" x14ac:dyDescent="0.25">
      <c r="B198" s="249" t="s">
        <v>1649</v>
      </c>
      <c r="C198" s="69" t="s">
        <v>303</v>
      </c>
      <c r="D198" s="238" t="s">
        <v>621</v>
      </c>
      <c r="E198" s="82" t="s">
        <v>305</v>
      </c>
      <c r="F198" s="69">
        <v>21</v>
      </c>
      <c r="G198" s="74"/>
      <c r="H198" s="74"/>
      <c r="I198" s="74">
        <f t="shared" si="16"/>
        <v>0</v>
      </c>
    </row>
    <row r="199" spans="2:9" s="247" customFormat="1" x14ac:dyDescent="0.25">
      <c r="B199" s="249" t="s">
        <v>1650</v>
      </c>
      <c r="C199" s="69" t="s">
        <v>303</v>
      </c>
      <c r="D199" s="238" t="s">
        <v>623</v>
      </c>
      <c r="E199" s="82" t="s">
        <v>305</v>
      </c>
      <c r="F199" s="69">
        <v>21</v>
      </c>
      <c r="G199" s="74"/>
      <c r="H199" s="74"/>
      <c r="I199" s="74">
        <f t="shared" si="16"/>
        <v>0</v>
      </c>
    </row>
    <row r="200" spans="2:9" s="247" customFormat="1" x14ac:dyDescent="0.25">
      <c r="B200" s="249" t="s">
        <v>1651</v>
      </c>
      <c r="C200" s="69" t="s">
        <v>303</v>
      </c>
      <c r="D200" s="238" t="s">
        <v>550</v>
      </c>
      <c r="E200" s="82" t="s">
        <v>305</v>
      </c>
      <c r="F200" s="69">
        <v>21</v>
      </c>
      <c r="G200" s="74"/>
      <c r="H200" s="74"/>
      <c r="I200" s="74">
        <f t="shared" si="16"/>
        <v>0</v>
      </c>
    </row>
    <row r="201" spans="2:9" s="247" customFormat="1" x14ac:dyDescent="0.25">
      <c r="B201" s="249" t="s">
        <v>1652</v>
      </c>
      <c r="C201" s="69" t="s">
        <v>303</v>
      </c>
      <c r="D201" s="238" t="s">
        <v>626</v>
      </c>
      <c r="E201" s="82" t="s">
        <v>305</v>
      </c>
      <c r="F201" s="69">
        <v>21</v>
      </c>
      <c r="G201" s="74"/>
      <c r="H201" s="74"/>
      <c r="I201" s="74">
        <f t="shared" si="16"/>
        <v>0</v>
      </c>
    </row>
    <row r="202" spans="2:9" s="247" customFormat="1" x14ac:dyDescent="0.25">
      <c r="B202" s="249" t="s">
        <v>1653</v>
      </c>
      <c r="C202" s="69" t="s">
        <v>303</v>
      </c>
      <c r="D202" s="238" t="s">
        <v>628</v>
      </c>
      <c r="E202" s="82" t="s">
        <v>305</v>
      </c>
      <c r="F202" s="69">
        <v>21</v>
      </c>
      <c r="G202" s="74"/>
      <c r="H202" s="74"/>
      <c r="I202" s="74">
        <f t="shared" si="16"/>
        <v>0</v>
      </c>
    </row>
    <row r="203" spans="2:9" s="247" customFormat="1" x14ac:dyDescent="0.25">
      <c r="B203" s="249" t="s">
        <v>1654</v>
      </c>
      <c r="C203" s="69" t="s">
        <v>303</v>
      </c>
      <c r="D203" s="238" t="s">
        <v>630</v>
      </c>
      <c r="E203" s="82" t="s">
        <v>305</v>
      </c>
      <c r="F203" s="69">
        <v>21</v>
      </c>
      <c r="G203" s="74"/>
      <c r="H203" s="74"/>
      <c r="I203" s="74">
        <f t="shared" si="16"/>
        <v>0</v>
      </c>
    </row>
    <row r="204" spans="2:9" s="247" customFormat="1" x14ac:dyDescent="0.25">
      <c r="B204" s="249" t="s">
        <v>1655</v>
      </c>
      <c r="C204" s="69" t="s">
        <v>303</v>
      </c>
      <c r="D204" s="238" t="s">
        <v>632</v>
      </c>
      <c r="E204" s="82" t="s">
        <v>305</v>
      </c>
      <c r="F204" s="69">
        <v>21</v>
      </c>
      <c r="G204" s="74"/>
      <c r="H204" s="74"/>
      <c r="I204" s="74">
        <f t="shared" si="16"/>
        <v>0</v>
      </c>
    </row>
    <row r="205" spans="2:9" s="247" customFormat="1" x14ac:dyDescent="0.25">
      <c r="B205" s="249" t="s">
        <v>1656</v>
      </c>
      <c r="C205" s="69" t="s">
        <v>303</v>
      </c>
      <c r="D205" s="238" t="s">
        <v>634</v>
      </c>
      <c r="E205" s="82" t="s">
        <v>305</v>
      </c>
      <c r="F205" s="69">
        <v>21</v>
      </c>
      <c r="G205" s="74"/>
      <c r="H205" s="74"/>
      <c r="I205" s="74">
        <f t="shared" si="16"/>
        <v>0</v>
      </c>
    </row>
    <row r="206" spans="2:9" s="247" customFormat="1" x14ac:dyDescent="0.25">
      <c r="B206" s="249" t="s">
        <v>1657</v>
      </c>
      <c r="C206" s="69" t="s">
        <v>303</v>
      </c>
      <c r="D206" s="238" t="s">
        <v>636</v>
      </c>
      <c r="E206" s="82" t="s">
        <v>305</v>
      </c>
      <c r="F206" s="69">
        <v>21</v>
      </c>
      <c r="G206" s="74"/>
      <c r="H206" s="74"/>
      <c r="I206" s="74">
        <f t="shared" si="16"/>
        <v>0</v>
      </c>
    </row>
    <row r="207" spans="2:9" s="247" customFormat="1" x14ac:dyDescent="0.25">
      <c r="B207" s="249" t="s">
        <v>1658</v>
      </c>
      <c r="C207" s="69" t="s">
        <v>303</v>
      </c>
      <c r="D207" s="238" t="s">
        <v>638</v>
      </c>
      <c r="E207" s="82" t="s">
        <v>305</v>
      </c>
      <c r="F207" s="69">
        <v>21</v>
      </c>
      <c r="G207" s="74"/>
      <c r="H207" s="74"/>
      <c r="I207" s="74">
        <f t="shared" si="16"/>
        <v>0</v>
      </c>
    </row>
    <row r="208" spans="2:9" s="247" customFormat="1" x14ac:dyDescent="0.25">
      <c r="B208" s="249" t="s">
        <v>1659</v>
      </c>
      <c r="C208" s="69" t="s">
        <v>303</v>
      </c>
      <c r="D208" s="238" t="s">
        <v>419</v>
      </c>
      <c r="E208" s="82" t="s">
        <v>305</v>
      </c>
      <c r="F208" s="69">
        <v>21</v>
      </c>
      <c r="G208" s="74"/>
      <c r="H208" s="74"/>
      <c r="I208" s="74">
        <f t="shared" si="16"/>
        <v>0</v>
      </c>
    </row>
    <row r="209" spans="2:9" s="247" customFormat="1" x14ac:dyDescent="0.25">
      <c r="B209" s="249" t="s">
        <v>1660</v>
      </c>
      <c r="C209" s="69" t="s">
        <v>303</v>
      </c>
      <c r="D209" s="238" t="s">
        <v>641</v>
      </c>
      <c r="E209" s="82" t="s">
        <v>305</v>
      </c>
      <c r="F209" s="69">
        <v>21</v>
      </c>
      <c r="G209" s="74"/>
      <c r="H209" s="74"/>
      <c r="I209" s="74">
        <f t="shared" si="16"/>
        <v>0</v>
      </c>
    </row>
    <row r="210" spans="2:9" s="247" customFormat="1" x14ac:dyDescent="0.25">
      <c r="B210" s="249" t="s">
        <v>1661</v>
      </c>
      <c r="C210" s="69" t="s">
        <v>303</v>
      </c>
      <c r="D210" s="238" t="s">
        <v>643</v>
      </c>
      <c r="E210" s="82" t="s">
        <v>305</v>
      </c>
      <c r="F210" s="69">
        <v>21</v>
      </c>
      <c r="G210" s="74"/>
      <c r="H210" s="74"/>
      <c r="I210" s="74">
        <f t="shared" si="16"/>
        <v>0</v>
      </c>
    </row>
    <row r="211" spans="2:9" s="247" customFormat="1" x14ac:dyDescent="0.25">
      <c r="B211" s="249" t="s">
        <v>1662</v>
      </c>
      <c r="C211" s="69" t="s">
        <v>303</v>
      </c>
      <c r="D211" s="238" t="s">
        <v>645</v>
      </c>
      <c r="E211" s="82" t="s">
        <v>305</v>
      </c>
      <c r="F211" s="69">
        <v>21</v>
      </c>
      <c r="G211" s="74"/>
      <c r="H211" s="74"/>
      <c r="I211" s="74">
        <f t="shared" si="16"/>
        <v>0</v>
      </c>
    </row>
    <row r="212" spans="2:9" s="247" customFormat="1" x14ac:dyDescent="0.25">
      <c r="B212" s="248" t="s">
        <v>446</v>
      </c>
      <c r="C212" s="66"/>
      <c r="D212" s="250" t="s">
        <v>647</v>
      </c>
      <c r="E212" s="67"/>
      <c r="F212" s="67"/>
      <c r="G212" s="68"/>
      <c r="H212" s="68"/>
      <c r="I212" s="68">
        <f>SUM(I213:I226)</f>
        <v>0</v>
      </c>
    </row>
    <row r="213" spans="2:9" s="247" customFormat="1" ht="25.5" x14ac:dyDescent="0.25">
      <c r="B213" s="249" t="s">
        <v>1663</v>
      </c>
      <c r="C213" s="69" t="s">
        <v>303</v>
      </c>
      <c r="D213" s="238" t="s">
        <v>649</v>
      </c>
      <c r="E213" s="82" t="s">
        <v>305</v>
      </c>
      <c r="F213" s="69">
        <v>21</v>
      </c>
      <c r="G213" s="74"/>
      <c r="H213" s="74"/>
      <c r="I213" s="74">
        <f t="shared" si="16"/>
        <v>0</v>
      </c>
    </row>
    <row r="214" spans="2:9" s="247" customFormat="1" x14ac:dyDescent="0.25">
      <c r="B214" s="249" t="s">
        <v>1664</v>
      </c>
      <c r="C214" s="69" t="s">
        <v>303</v>
      </c>
      <c r="D214" s="238" t="s">
        <v>651</v>
      </c>
      <c r="E214" s="82" t="s">
        <v>305</v>
      </c>
      <c r="F214" s="69">
        <v>21</v>
      </c>
      <c r="G214" s="74"/>
      <c r="H214" s="74"/>
      <c r="I214" s="74">
        <f t="shared" si="16"/>
        <v>0</v>
      </c>
    </row>
    <row r="215" spans="2:9" s="247" customFormat="1" x14ac:dyDescent="0.25">
      <c r="B215" s="249" t="s">
        <v>1665</v>
      </c>
      <c r="C215" s="69" t="s">
        <v>303</v>
      </c>
      <c r="D215" s="238" t="s">
        <v>653</v>
      </c>
      <c r="E215" s="82" t="s">
        <v>305</v>
      </c>
      <c r="F215" s="69">
        <v>21</v>
      </c>
      <c r="G215" s="74"/>
      <c r="H215" s="74"/>
      <c r="I215" s="74">
        <f t="shared" si="16"/>
        <v>0</v>
      </c>
    </row>
    <row r="216" spans="2:9" s="247" customFormat="1" x14ac:dyDescent="0.25">
      <c r="B216" s="249" t="s">
        <v>1666</v>
      </c>
      <c r="C216" s="69" t="s">
        <v>303</v>
      </c>
      <c r="D216" s="273" t="s">
        <v>655</v>
      </c>
      <c r="E216" s="82" t="s">
        <v>305</v>
      </c>
      <c r="F216" s="69">
        <v>21</v>
      </c>
      <c r="G216" s="74"/>
      <c r="H216" s="74"/>
      <c r="I216" s="74">
        <f t="shared" si="16"/>
        <v>0</v>
      </c>
    </row>
    <row r="217" spans="2:9" s="247" customFormat="1" x14ac:dyDescent="0.25">
      <c r="B217" s="249" t="s">
        <v>1667</v>
      </c>
      <c r="C217" s="69" t="s">
        <v>303</v>
      </c>
      <c r="D217" s="273" t="s">
        <v>657</v>
      </c>
      <c r="E217" s="69" t="s">
        <v>305</v>
      </c>
      <c r="F217" s="69">
        <v>21</v>
      </c>
      <c r="G217" s="74"/>
      <c r="H217" s="74"/>
      <c r="I217" s="74">
        <f t="shared" si="16"/>
        <v>0</v>
      </c>
    </row>
    <row r="218" spans="2:9" s="247" customFormat="1" x14ac:dyDescent="0.25">
      <c r="B218" s="249" t="s">
        <v>1668</v>
      </c>
      <c r="C218" s="69" t="s">
        <v>303</v>
      </c>
      <c r="D218" s="238" t="s">
        <v>659</v>
      </c>
      <c r="E218" s="69" t="s">
        <v>305</v>
      </c>
      <c r="F218" s="69">
        <v>21</v>
      </c>
      <c r="G218" s="74"/>
      <c r="H218" s="74"/>
      <c r="I218" s="74">
        <f t="shared" si="16"/>
        <v>0</v>
      </c>
    </row>
    <row r="219" spans="2:9" s="247" customFormat="1" x14ac:dyDescent="0.25">
      <c r="B219" s="249" t="s">
        <v>1669</v>
      </c>
      <c r="C219" s="69" t="s">
        <v>303</v>
      </c>
      <c r="D219" s="238" t="s">
        <v>661</v>
      </c>
      <c r="E219" s="69" t="s">
        <v>305</v>
      </c>
      <c r="F219" s="69">
        <v>21</v>
      </c>
      <c r="G219" s="74"/>
      <c r="H219" s="74"/>
      <c r="I219" s="74">
        <f t="shared" si="16"/>
        <v>0</v>
      </c>
    </row>
    <row r="220" spans="2:9" s="247" customFormat="1" x14ac:dyDescent="0.25">
      <c r="B220" s="249" t="s">
        <v>1670</v>
      </c>
      <c r="C220" s="69" t="s">
        <v>303</v>
      </c>
      <c r="D220" s="238" t="s">
        <v>663</v>
      </c>
      <c r="E220" s="69" t="s">
        <v>305</v>
      </c>
      <c r="F220" s="69">
        <v>21</v>
      </c>
      <c r="G220" s="74"/>
      <c r="H220" s="74"/>
      <c r="I220" s="74">
        <f t="shared" si="16"/>
        <v>0</v>
      </c>
    </row>
    <row r="221" spans="2:9" s="247" customFormat="1" x14ac:dyDescent="0.25">
      <c r="B221" s="249" t="s">
        <v>1671</v>
      </c>
      <c r="C221" s="69" t="s">
        <v>303</v>
      </c>
      <c r="D221" s="273" t="s">
        <v>665</v>
      </c>
      <c r="E221" s="69" t="s">
        <v>305</v>
      </c>
      <c r="F221" s="69">
        <v>21</v>
      </c>
      <c r="G221" s="74"/>
      <c r="H221" s="74"/>
      <c r="I221" s="74">
        <f t="shared" si="16"/>
        <v>0</v>
      </c>
    </row>
    <row r="222" spans="2:9" s="247" customFormat="1" x14ac:dyDescent="0.25">
      <c r="B222" s="249" t="s">
        <v>1672</v>
      </c>
      <c r="C222" s="69" t="s">
        <v>303</v>
      </c>
      <c r="D222" s="273" t="s">
        <v>667</v>
      </c>
      <c r="E222" s="69" t="s">
        <v>305</v>
      </c>
      <c r="F222" s="69">
        <v>21</v>
      </c>
      <c r="G222" s="74"/>
      <c r="H222" s="74"/>
      <c r="I222" s="74">
        <f t="shared" si="16"/>
        <v>0</v>
      </c>
    </row>
    <row r="223" spans="2:9" s="247" customFormat="1" x14ac:dyDescent="0.25">
      <c r="B223" s="249" t="s">
        <v>1673</v>
      </c>
      <c r="C223" s="69" t="s">
        <v>303</v>
      </c>
      <c r="D223" s="273" t="s">
        <v>479</v>
      </c>
      <c r="E223" s="82" t="s">
        <v>305</v>
      </c>
      <c r="F223" s="69">
        <v>21</v>
      </c>
      <c r="G223" s="74"/>
      <c r="H223" s="74"/>
      <c r="I223" s="74">
        <f t="shared" si="16"/>
        <v>0</v>
      </c>
    </row>
    <row r="224" spans="2:9" s="247" customFormat="1" x14ac:dyDescent="0.25">
      <c r="B224" s="249" t="s">
        <v>1674</v>
      </c>
      <c r="C224" s="69" t="s">
        <v>303</v>
      </c>
      <c r="D224" s="238" t="s">
        <v>670</v>
      </c>
      <c r="E224" s="82" t="s">
        <v>305</v>
      </c>
      <c r="F224" s="69">
        <v>21</v>
      </c>
      <c r="G224" s="74"/>
      <c r="H224" s="74"/>
      <c r="I224" s="74">
        <f t="shared" si="16"/>
        <v>0</v>
      </c>
    </row>
    <row r="225" spans="2:9" s="247" customFormat="1" x14ac:dyDescent="0.25">
      <c r="B225" s="249" t="s">
        <v>1675</v>
      </c>
      <c r="C225" s="69" t="s">
        <v>303</v>
      </c>
      <c r="D225" s="238" t="s">
        <v>584</v>
      </c>
      <c r="E225" s="82" t="s">
        <v>305</v>
      </c>
      <c r="F225" s="69">
        <v>21</v>
      </c>
      <c r="G225" s="74"/>
      <c r="H225" s="74"/>
      <c r="I225" s="74">
        <f t="shared" si="16"/>
        <v>0</v>
      </c>
    </row>
    <row r="226" spans="2:9" s="247" customFormat="1" x14ac:dyDescent="0.25">
      <c r="B226" s="249" t="s">
        <v>1676</v>
      </c>
      <c r="C226" s="69" t="s">
        <v>303</v>
      </c>
      <c r="D226" s="238" t="s">
        <v>673</v>
      </c>
      <c r="E226" s="82" t="s">
        <v>305</v>
      </c>
      <c r="F226" s="69">
        <v>21</v>
      </c>
      <c r="G226" s="74"/>
      <c r="H226" s="74"/>
      <c r="I226" s="74">
        <f t="shared" si="16"/>
        <v>0</v>
      </c>
    </row>
    <row r="227" spans="2:9" s="247" customFormat="1" x14ac:dyDescent="0.25">
      <c r="B227" s="248" t="s">
        <v>448</v>
      </c>
      <c r="C227" s="66"/>
      <c r="D227" s="67" t="s">
        <v>750</v>
      </c>
      <c r="E227" s="67"/>
      <c r="F227" s="67"/>
      <c r="G227" s="68"/>
      <c r="H227" s="68"/>
      <c r="I227" s="68">
        <f>SUM(I228:I259)</f>
        <v>0</v>
      </c>
    </row>
    <row r="228" spans="2:9" s="247" customFormat="1" x14ac:dyDescent="0.25">
      <c r="B228" s="249" t="s">
        <v>1677</v>
      </c>
      <c r="C228" s="69" t="s">
        <v>303</v>
      </c>
      <c r="D228" s="238" t="s">
        <v>588</v>
      </c>
      <c r="E228" s="82" t="s">
        <v>305</v>
      </c>
      <c r="F228" s="249">
        <v>15</v>
      </c>
      <c r="G228" s="74"/>
      <c r="H228" s="74"/>
      <c r="I228" s="74">
        <f t="shared" si="16"/>
        <v>0</v>
      </c>
    </row>
    <row r="229" spans="2:9" s="247" customFormat="1" x14ac:dyDescent="0.25">
      <c r="B229" s="249" t="s">
        <v>1678</v>
      </c>
      <c r="C229" s="69" t="s">
        <v>303</v>
      </c>
      <c r="D229" s="238" t="s">
        <v>590</v>
      </c>
      <c r="E229" s="82" t="s">
        <v>305</v>
      </c>
      <c r="F229" s="249">
        <v>15</v>
      </c>
      <c r="G229" s="74"/>
      <c r="H229" s="74"/>
      <c r="I229" s="74">
        <f t="shared" si="16"/>
        <v>0</v>
      </c>
    </row>
    <row r="230" spans="2:9" s="247" customFormat="1" x14ac:dyDescent="0.25">
      <c r="B230" s="249" t="s">
        <v>1679</v>
      </c>
      <c r="C230" s="69" t="s">
        <v>303</v>
      </c>
      <c r="D230" s="238" t="s">
        <v>592</v>
      </c>
      <c r="E230" s="82" t="s">
        <v>305</v>
      </c>
      <c r="F230" s="249">
        <v>15</v>
      </c>
      <c r="G230" s="74"/>
      <c r="H230" s="74"/>
      <c r="I230" s="74">
        <f t="shared" si="16"/>
        <v>0</v>
      </c>
    </row>
    <row r="231" spans="2:9" s="247" customFormat="1" x14ac:dyDescent="0.25">
      <c r="B231" s="249" t="s">
        <v>1680</v>
      </c>
      <c r="C231" s="69" t="s">
        <v>303</v>
      </c>
      <c r="D231" s="238" t="s">
        <v>681</v>
      </c>
      <c r="E231" s="82" t="s">
        <v>305</v>
      </c>
      <c r="F231" s="249">
        <v>15</v>
      </c>
      <c r="G231" s="74"/>
      <c r="H231" s="74"/>
      <c r="I231" s="74">
        <f t="shared" si="16"/>
        <v>0</v>
      </c>
    </row>
    <row r="232" spans="2:9" s="247" customFormat="1" x14ac:dyDescent="0.25">
      <c r="B232" s="249" t="s">
        <v>1681</v>
      </c>
      <c r="C232" s="69" t="s">
        <v>303</v>
      </c>
      <c r="D232" s="238" t="s">
        <v>756</v>
      </c>
      <c r="E232" s="82" t="s">
        <v>305</v>
      </c>
      <c r="F232" s="249">
        <v>15</v>
      </c>
      <c r="G232" s="74"/>
      <c r="H232" s="74"/>
      <c r="I232" s="74">
        <f t="shared" si="16"/>
        <v>0</v>
      </c>
    </row>
    <row r="233" spans="2:9" s="247" customFormat="1" x14ac:dyDescent="0.25">
      <c r="B233" s="249" t="s">
        <v>1682</v>
      </c>
      <c r="C233" s="69" t="s">
        <v>303</v>
      </c>
      <c r="D233" s="238" t="s">
        <v>758</v>
      </c>
      <c r="E233" s="82" t="s">
        <v>305</v>
      </c>
      <c r="F233" s="249">
        <v>15</v>
      </c>
      <c r="G233" s="74"/>
      <c r="H233" s="74"/>
      <c r="I233" s="74">
        <f t="shared" si="16"/>
        <v>0</v>
      </c>
    </row>
    <row r="234" spans="2:9" s="247" customFormat="1" x14ac:dyDescent="0.25">
      <c r="B234" s="249" t="s">
        <v>1683</v>
      </c>
      <c r="C234" s="69" t="s">
        <v>303</v>
      </c>
      <c r="D234" s="238" t="s">
        <v>760</v>
      </c>
      <c r="E234" s="82" t="s">
        <v>305</v>
      </c>
      <c r="F234" s="249">
        <v>15</v>
      </c>
      <c r="G234" s="74"/>
      <c r="H234" s="74"/>
      <c r="I234" s="74">
        <f t="shared" si="16"/>
        <v>0</v>
      </c>
    </row>
    <row r="235" spans="2:9" s="247" customFormat="1" x14ac:dyDescent="0.25">
      <c r="B235" s="249" t="s">
        <v>1684</v>
      </c>
      <c r="C235" s="69" t="s">
        <v>303</v>
      </c>
      <c r="D235" s="238" t="s">
        <v>601</v>
      </c>
      <c r="E235" s="82" t="s">
        <v>305</v>
      </c>
      <c r="F235" s="249">
        <v>15</v>
      </c>
      <c r="G235" s="74"/>
      <c r="H235" s="74"/>
      <c r="I235" s="74">
        <f t="shared" si="16"/>
        <v>0</v>
      </c>
    </row>
    <row r="236" spans="2:9" s="247" customFormat="1" x14ac:dyDescent="0.25">
      <c r="B236" s="249" t="s">
        <v>1685</v>
      </c>
      <c r="C236" s="69" t="s">
        <v>303</v>
      </c>
      <c r="D236" s="238" t="s">
        <v>763</v>
      </c>
      <c r="E236" s="82" t="s">
        <v>305</v>
      </c>
      <c r="F236" s="249">
        <v>15</v>
      </c>
      <c r="G236" s="74"/>
      <c r="H236" s="74"/>
      <c r="I236" s="74">
        <f t="shared" si="16"/>
        <v>0</v>
      </c>
    </row>
    <row r="237" spans="2:9" s="247" customFormat="1" x14ac:dyDescent="0.25">
      <c r="B237" s="249" t="s">
        <v>1686</v>
      </c>
      <c r="C237" s="69" t="s">
        <v>303</v>
      </c>
      <c r="D237" s="238" t="s">
        <v>765</v>
      </c>
      <c r="E237" s="82" t="s">
        <v>305</v>
      </c>
      <c r="F237" s="249">
        <v>15</v>
      </c>
      <c r="G237" s="74"/>
      <c r="H237" s="74"/>
      <c r="I237" s="74">
        <f t="shared" si="16"/>
        <v>0</v>
      </c>
    </row>
    <row r="238" spans="2:9" s="247" customFormat="1" x14ac:dyDescent="0.25">
      <c r="B238" s="249" t="s">
        <v>1687</v>
      </c>
      <c r="C238" s="69" t="s">
        <v>303</v>
      </c>
      <c r="D238" s="238" t="s">
        <v>588</v>
      </c>
      <c r="E238" s="82" t="s">
        <v>305</v>
      </c>
      <c r="F238" s="249">
        <v>15</v>
      </c>
      <c r="G238" s="74"/>
      <c r="H238" s="74"/>
      <c r="I238" s="74">
        <f t="shared" si="16"/>
        <v>0</v>
      </c>
    </row>
    <row r="239" spans="2:9" s="247" customFormat="1" x14ac:dyDescent="0.25">
      <c r="B239" s="249" t="s">
        <v>1688</v>
      </c>
      <c r="C239" s="69" t="s">
        <v>303</v>
      </c>
      <c r="D239" s="238" t="s">
        <v>608</v>
      </c>
      <c r="E239" s="82" t="s">
        <v>305</v>
      </c>
      <c r="F239" s="249">
        <v>15</v>
      </c>
      <c r="G239" s="74"/>
      <c r="H239" s="74"/>
      <c r="I239" s="74">
        <f t="shared" si="16"/>
        <v>0</v>
      </c>
    </row>
    <row r="240" spans="2:9" s="247" customFormat="1" x14ac:dyDescent="0.25">
      <c r="B240" s="249" t="s">
        <v>1689</v>
      </c>
      <c r="C240" s="69" t="s">
        <v>303</v>
      </c>
      <c r="D240" s="238" t="s">
        <v>590</v>
      </c>
      <c r="E240" s="82" t="s">
        <v>305</v>
      </c>
      <c r="F240" s="249">
        <v>15</v>
      </c>
      <c r="G240" s="74"/>
      <c r="H240" s="74"/>
      <c r="I240" s="74">
        <f t="shared" si="16"/>
        <v>0</v>
      </c>
    </row>
    <row r="241" spans="2:9" s="247" customFormat="1" x14ac:dyDescent="0.25">
      <c r="B241" s="249" t="s">
        <v>1690</v>
      </c>
      <c r="C241" s="69" t="s">
        <v>303</v>
      </c>
      <c r="D241" s="238" t="s">
        <v>611</v>
      </c>
      <c r="E241" s="82" t="s">
        <v>305</v>
      </c>
      <c r="F241" s="249">
        <v>15</v>
      </c>
      <c r="G241" s="74"/>
      <c r="H241" s="74"/>
      <c r="I241" s="74">
        <f t="shared" si="16"/>
        <v>0</v>
      </c>
    </row>
    <row r="242" spans="2:9" s="247" customFormat="1" x14ac:dyDescent="0.25">
      <c r="B242" s="249" t="s">
        <v>1691</v>
      </c>
      <c r="C242" s="69" t="s">
        <v>303</v>
      </c>
      <c r="D242" s="238" t="s">
        <v>613</v>
      </c>
      <c r="E242" s="82" t="s">
        <v>305</v>
      </c>
      <c r="F242" s="249">
        <v>15</v>
      </c>
      <c r="G242" s="74"/>
      <c r="H242" s="74"/>
      <c r="I242" s="74">
        <f t="shared" si="16"/>
        <v>0</v>
      </c>
    </row>
    <row r="243" spans="2:9" s="247" customFormat="1" x14ac:dyDescent="0.25">
      <c r="B243" s="249" t="s">
        <v>1692</v>
      </c>
      <c r="C243" s="69" t="s">
        <v>303</v>
      </c>
      <c r="D243" s="238" t="s">
        <v>772</v>
      </c>
      <c r="E243" s="82" t="s">
        <v>305</v>
      </c>
      <c r="F243" s="249">
        <v>15</v>
      </c>
      <c r="G243" s="74"/>
      <c r="H243" s="74"/>
      <c r="I243" s="74">
        <f t="shared" si="16"/>
        <v>0</v>
      </c>
    </row>
    <row r="244" spans="2:9" s="247" customFormat="1" x14ac:dyDescent="0.25">
      <c r="B244" s="249" t="s">
        <v>1693</v>
      </c>
      <c r="C244" s="69" t="s">
        <v>303</v>
      </c>
      <c r="D244" s="238" t="s">
        <v>617</v>
      </c>
      <c r="E244" s="82" t="s">
        <v>305</v>
      </c>
      <c r="F244" s="249">
        <v>15</v>
      </c>
      <c r="G244" s="74"/>
      <c r="H244" s="74"/>
      <c r="I244" s="74">
        <f t="shared" ref="I244:I277" si="17">ROUND((H244+G244)*F244,2)</f>
        <v>0</v>
      </c>
    </row>
    <row r="245" spans="2:9" s="247" customFormat="1" x14ac:dyDescent="0.25">
      <c r="B245" s="249" t="s">
        <v>1694</v>
      </c>
      <c r="C245" s="69" t="s">
        <v>303</v>
      </c>
      <c r="D245" s="238" t="s">
        <v>775</v>
      </c>
      <c r="E245" s="82" t="s">
        <v>305</v>
      </c>
      <c r="F245" s="249">
        <v>15</v>
      </c>
      <c r="G245" s="74"/>
      <c r="H245" s="74"/>
      <c r="I245" s="74">
        <f t="shared" si="17"/>
        <v>0</v>
      </c>
    </row>
    <row r="246" spans="2:9" s="247" customFormat="1" x14ac:dyDescent="0.25">
      <c r="B246" s="249" t="s">
        <v>1695</v>
      </c>
      <c r="C246" s="69" t="s">
        <v>303</v>
      </c>
      <c r="D246" s="238" t="s">
        <v>621</v>
      </c>
      <c r="E246" s="82" t="s">
        <v>305</v>
      </c>
      <c r="F246" s="249">
        <v>15</v>
      </c>
      <c r="G246" s="74"/>
      <c r="H246" s="74"/>
      <c r="I246" s="74">
        <f t="shared" si="17"/>
        <v>0</v>
      </c>
    </row>
    <row r="247" spans="2:9" s="247" customFormat="1" x14ac:dyDescent="0.25">
      <c r="B247" s="249" t="s">
        <v>1696</v>
      </c>
      <c r="C247" s="69" t="s">
        <v>303</v>
      </c>
      <c r="D247" s="238" t="s">
        <v>623</v>
      </c>
      <c r="E247" s="82" t="s">
        <v>305</v>
      </c>
      <c r="F247" s="249">
        <v>15</v>
      </c>
      <c r="G247" s="74"/>
      <c r="H247" s="74"/>
      <c r="I247" s="74">
        <f t="shared" si="17"/>
        <v>0</v>
      </c>
    </row>
    <row r="248" spans="2:9" s="247" customFormat="1" x14ac:dyDescent="0.25">
      <c r="B248" s="249" t="s">
        <v>1697</v>
      </c>
      <c r="C248" s="69" t="s">
        <v>303</v>
      </c>
      <c r="D248" s="238" t="s">
        <v>550</v>
      </c>
      <c r="E248" s="82" t="s">
        <v>305</v>
      </c>
      <c r="F248" s="249">
        <v>15</v>
      </c>
      <c r="G248" s="74"/>
      <c r="H248" s="74"/>
      <c r="I248" s="74">
        <f t="shared" si="17"/>
        <v>0</v>
      </c>
    </row>
    <row r="249" spans="2:9" s="247" customFormat="1" x14ac:dyDescent="0.25">
      <c r="B249" s="249" t="s">
        <v>1698</v>
      </c>
      <c r="C249" s="69" t="s">
        <v>303</v>
      </c>
      <c r="D249" s="238" t="s">
        <v>626</v>
      </c>
      <c r="E249" s="82" t="s">
        <v>305</v>
      </c>
      <c r="F249" s="249">
        <v>15</v>
      </c>
      <c r="G249" s="74"/>
      <c r="H249" s="74"/>
      <c r="I249" s="74">
        <f t="shared" si="17"/>
        <v>0</v>
      </c>
    </row>
    <row r="250" spans="2:9" s="247" customFormat="1" x14ac:dyDescent="0.25">
      <c r="B250" s="249" t="s">
        <v>1699</v>
      </c>
      <c r="C250" s="69" t="s">
        <v>303</v>
      </c>
      <c r="D250" s="238" t="s">
        <v>628</v>
      </c>
      <c r="E250" s="82" t="s">
        <v>305</v>
      </c>
      <c r="F250" s="249">
        <v>15</v>
      </c>
      <c r="G250" s="74"/>
      <c r="H250" s="74"/>
      <c r="I250" s="74">
        <f t="shared" si="17"/>
        <v>0</v>
      </c>
    </row>
    <row r="251" spans="2:9" s="247" customFormat="1" x14ac:dyDescent="0.25">
      <c r="B251" s="249" t="s">
        <v>1700</v>
      </c>
      <c r="C251" s="69" t="s">
        <v>303</v>
      </c>
      <c r="D251" s="238" t="s">
        <v>630</v>
      </c>
      <c r="E251" s="82" t="s">
        <v>305</v>
      </c>
      <c r="F251" s="249">
        <v>15</v>
      </c>
      <c r="G251" s="74"/>
      <c r="H251" s="74"/>
      <c r="I251" s="74">
        <f t="shared" si="17"/>
        <v>0</v>
      </c>
    </row>
    <row r="252" spans="2:9" s="247" customFormat="1" x14ac:dyDescent="0.25">
      <c r="B252" s="249" t="s">
        <v>1701</v>
      </c>
      <c r="C252" s="69" t="s">
        <v>303</v>
      </c>
      <c r="D252" s="238" t="s">
        <v>632</v>
      </c>
      <c r="E252" s="82" t="s">
        <v>305</v>
      </c>
      <c r="F252" s="249">
        <v>15</v>
      </c>
      <c r="G252" s="74"/>
      <c r="H252" s="74"/>
      <c r="I252" s="74">
        <f t="shared" si="17"/>
        <v>0</v>
      </c>
    </row>
    <row r="253" spans="2:9" s="247" customFormat="1" x14ac:dyDescent="0.25">
      <c r="B253" s="249" t="s">
        <v>1702</v>
      </c>
      <c r="C253" s="69" t="s">
        <v>303</v>
      </c>
      <c r="D253" s="238" t="s">
        <v>634</v>
      </c>
      <c r="E253" s="82" t="s">
        <v>305</v>
      </c>
      <c r="F253" s="249">
        <v>15</v>
      </c>
      <c r="G253" s="74"/>
      <c r="H253" s="74"/>
      <c r="I253" s="74">
        <f t="shared" si="17"/>
        <v>0</v>
      </c>
    </row>
    <row r="254" spans="2:9" s="247" customFormat="1" x14ac:dyDescent="0.25">
      <c r="B254" s="249" t="s">
        <v>1703</v>
      </c>
      <c r="C254" s="69" t="s">
        <v>303</v>
      </c>
      <c r="D254" s="238" t="s">
        <v>636</v>
      </c>
      <c r="E254" s="82" t="s">
        <v>305</v>
      </c>
      <c r="F254" s="249">
        <v>15</v>
      </c>
      <c r="G254" s="74"/>
      <c r="H254" s="74"/>
      <c r="I254" s="74">
        <f t="shared" si="17"/>
        <v>0</v>
      </c>
    </row>
    <row r="255" spans="2:9" s="247" customFormat="1" x14ac:dyDescent="0.25">
      <c r="B255" s="249" t="s">
        <v>1704</v>
      </c>
      <c r="C255" s="69" t="s">
        <v>303</v>
      </c>
      <c r="D255" s="238" t="s">
        <v>638</v>
      </c>
      <c r="E255" s="82" t="s">
        <v>305</v>
      </c>
      <c r="F255" s="249">
        <v>15</v>
      </c>
      <c r="G255" s="74"/>
      <c r="H255" s="74"/>
      <c r="I255" s="74">
        <f t="shared" si="17"/>
        <v>0</v>
      </c>
    </row>
    <row r="256" spans="2:9" s="247" customFormat="1" x14ac:dyDescent="0.25">
      <c r="B256" s="249" t="s">
        <v>1705</v>
      </c>
      <c r="C256" s="69" t="s">
        <v>303</v>
      </c>
      <c r="D256" s="238" t="s">
        <v>787</v>
      </c>
      <c r="E256" s="82" t="s">
        <v>305</v>
      </c>
      <c r="F256" s="249">
        <v>15</v>
      </c>
      <c r="G256" s="74"/>
      <c r="H256" s="74"/>
      <c r="I256" s="74">
        <f t="shared" si="17"/>
        <v>0</v>
      </c>
    </row>
    <row r="257" spans="2:9" s="247" customFormat="1" x14ac:dyDescent="0.25">
      <c r="B257" s="249" t="s">
        <v>1706</v>
      </c>
      <c r="C257" s="69" t="s">
        <v>303</v>
      </c>
      <c r="D257" s="238" t="s">
        <v>641</v>
      </c>
      <c r="E257" s="82" t="s">
        <v>305</v>
      </c>
      <c r="F257" s="249">
        <v>15</v>
      </c>
      <c r="G257" s="74"/>
      <c r="H257" s="74"/>
      <c r="I257" s="74">
        <f t="shared" si="17"/>
        <v>0</v>
      </c>
    </row>
    <row r="258" spans="2:9" s="247" customFormat="1" x14ac:dyDescent="0.25">
      <c r="B258" s="249" t="s">
        <v>1707</v>
      </c>
      <c r="C258" s="69" t="s">
        <v>303</v>
      </c>
      <c r="D258" s="238" t="s">
        <v>643</v>
      </c>
      <c r="E258" s="82" t="s">
        <v>305</v>
      </c>
      <c r="F258" s="249">
        <v>15</v>
      </c>
      <c r="G258" s="74"/>
      <c r="H258" s="74"/>
      <c r="I258" s="74">
        <f t="shared" si="17"/>
        <v>0</v>
      </c>
    </row>
    <row r="259" spans="2:9" s="247" customFormat="1" x14ac:dyDescent="0.25">
      <c r="B259" s="249" t="s">
        <v>1708</v>
      </c>
      <c r="C259" s="69" t="s">
        <v>303</v>
      </c>
      <c r="D259" s="238" t="s">
        <v>645</v>
      </c>
      <c r="E259" s="82" t="s">
        <v>305</v>
      </c>
      <c r="F259" s="249">
        <v>15</v>
      </c>
      <c r="G259" s="74"/>
      <c r="H259" s="74"/>
      <c r="I259" s="74">
        <f t="shared" si="17"/>
        <v>0</v>
      </c>
    </row>
    <row r="260" spans="2:9" s="247" customFormat="1" x14ac:dyDescent="0.25">
      <c r="B260" s="248" t="s">
        <v>450</v>
      </c>
      <c r="C260" s="66"/>
      <c r="D260" s="67" t="s">
        <v>792</v>
      </c>
      <c r="E260" s="67"/>
      <c r="F260" s="67"/>
      <c r="G260" s="68"/>
      <c r="H260" s="68"/>
      <c r="I260" s="68">
        <f>SUM(I261:I274)</f>
        <v>0</v>
      </c>
    </row>
    <row r="261" spans="2:9" s="247" customFormat="1" x14ac:dyDescent="0.25">
      <c r="B261" s="249" t="s">
        <v>1709</v>
      </c>
      <c r="C261" s="69" t="s">
        <v>303</v>
      </c>
      <c r="D261" s="238" t="s">
        <v>727</v>
      </c>
      <c r="E261" s="82" t="s">
        <v>305</v>
      </c>
      <c r="F261" s="249">
        <v>15</v>
      </c>
      <c r="G261" s="74"/>
      <c r="H261" s="74"/>
      <c r="I261" s="74">
        <f t="shared" si="17"/>
        <v>0</v>
      </c>
    </row>
    <row r="262" spans="2:9" s="247" customFormat="1" x14ac:dyDescent="0.25">
      <c r="B262" s="249" t="s">
        <v>1710</v>
      </c>
      <c r="C262" s="69" t="s">
        <v>303</v>
      </c>
      <c r="D262" s="273" t="s">
        <v>651</v>
      </c>
      <c r="E262" s="82" t="s">
        <v>305</v>
      </c>
      <c r="F262" s="249">
        <v>15</v>
      </c>
      <c r="G262" s="74"/>
      <c r="H262" s="74"/>
      <c r="I262" s="74">
        <f t="shared" si="17"/>
        <v>0</v>
      </c>
    </row>
    <row r="263" spans="2:9" s="247" customFormat="1" x14ac:dyDescent="0.25">
      <c r="B263" s="249" t="s">
        <v>1711</v>
      </c>
      <c r="C263" s="69" t="s">
        <v>303</v>
      </c>
      <c r="D263" s="273" t="s">
        <v>796</v>
      </c>
      <c r="E263" s="82" t="s">
        <v>305</v>
      </c>
      <c r="F263" s="249">
        <v>15</v>
      </c>
      <c r="G263" s="74"/>
      <c r="H263" s="74"/>
      <c r="I263" s="74">
        <f t="shared" si="17"/>
        <v>0</v>
      </c>
    </row>
    <row r="264" spans="2:9" s="247" customFormat="1" x14ac:dyDescent="0.25">
      <c r="B264" s="249" t="s">
        <v>1712</v>
      </c>
      <c r="C264" s="69" t="s">
        <v>303</v>
      </c>
      <c r="D264" s="273" t="s">
        <v>798</v>
      </c>
      <c r="E264" s="82" t="s">
        <v>305</v>
      </c>
      <c r="F264" s="249">
        <v>15</v>
      </c>
      <c r="G264" s="74"/>
      <c r="H264" s="74"/>
      <c r="I264" s="74">
        <f t="shared" si="17"/>
        <v>0</v>
      </c>
    </row>
    <row r="265" spans="2:9" s="247" customFormat="1" x14ac:dyDescent="0.25">
      <c r="B265" s="249" t="s">
        <v>1713</v>
      </c>
      <c r="C265" s="69" t="s">
        <v>303</v>
      </c>
      <c r="D265" s="273" t="s">
        <v>800</v>
      </c>
      <c r="E265" s="82" t="s">
        <v>305</v>
      </c>
      <c r="F265" s="249">
        <v>15</v>
      </c>
      <c r="G265" s="74"/>
      <c r="H265" s="74"/>
      <c r="I265" s="74">
        <f t="shared" si="17"/>
        <v>0</v>
      </c>
    </row>
    <row r="266" spans="2:9" s="247" customFormat="1" x14ac:dyDescent="0.25">
      <c r="B266" s="249" t="s">
        <v>1714</v>
      </c>
      <c r="C266" s="69" t="s">
        <v>303</v>
      </c>
      <c r="D266" s="238" t="s">
        <v>802</v>
      </c>
      <c r="E266" s="82" t="s">
        <v>305</v>
      </c>
      <c r="F266" s="249">
        <v>15</v>
      </c>
      <c r="G266" s="74"/>
      <c r="H266" s="74"/>
      <c r="I266" s="74">
        <f t="shared" si="17"/>
        <v>0</v>
      </c>
    </row>
    <row r="267" spans="2:9" s="247" customFormat="1" x14ac:dyDescent="0.25">
      <c r="B267" s="249" t="s">
        <v>1715</v>
      </c>
      <c r="C267" s="69" t="s">
        <v>303</v>
      </c>
      <c r="D267" s="238" t="s">
        <v>804</v>
      </c>
      <c r="E267" s="82" t="s">
        <v>305</v>
      </c>
      <c r="F267" s="249">
        <v>15</v>
      </c>
      <c r="G267" s="74"/>
      <c r="H267" s="74"/>
      <c r="I267" s="74">
        <f t="shared" si="17"/>
        <v>0</v>
      </c>
    </row>
    <row r="268" spans="2:9" s="247" customFormat="1" x14ac:dyDescent="0.25">
      <c r="B268" s="249" t="s">
        <v>1716</v>
      </c>
      <c r="C268" s="69" t="s">
        <v>303</v>
      </c>
      <c r="D268" s="238" t="s">
        <v>806</v>
      </c>
      <c r="E268" s="82" t="s">
        <v>305</v>
      </c>
      <c r="F268" s="249">
        <v>15</v>
      </c>
      <c r="G268" s="74"/>
      <c r="H268" s="74"/>
      <c r="I268" s="74">
        <f t="shared" si="17"/>
        <v>0</v>
      </c>
    </row>
    <row r="269" spans="2:9" s="247" customFormat="1" x14ac:dyDescent="0.25">
      <c r="B269" s="249" t="s">
        <v>1717</v>
      </c>
      <c r="C269" s="69" t="s">
        <v>303</v>
      </c>
      <c r="D269" s="238" t="s">
        <v>808</v>
      </c>
      <c r="E269" s="82" t="s">
        <v>305</v>
      </c>
      <c r="F269" s="249">
        <v>15</v>
      </c>
      <c r="G269" s="74"/>
      <c r="H269" s="74"/>
      <c r="I269" s="74">
        <f t="shared" si="17"/>
        <v>0</v>
      </c>
    </row>
    <row r="270" spans="2:9" s="247" customFormat="1" x14ac:dyDescent="0.25">
      <c r="B270" s="249" t="s">
        <v>1718</v>
      </c>
      <c r="C270" s="69" t="s">
        <v>303</v>
      </c>
      <c r="D270" s="238" t="s">
        <v>810</v>
      </c>
      <c r="E270" s="82" t="s">
        <v>305</v>
      </c>
      <c r="F270" s="249">
        <v>15</v>
      </c>
      <c r="G270" s="74"/>
      <c r="H270" s="74"/>
      <c r="I270" s="74">
        <f t="shared" si="17"/>
        <v>0</v>
      </c>
    </row>
    <row r="271" spans="2:9" s="247" customFormat="1" x14ac:dyDescent="0.25">
      <c r="B271" s="249" t="s">
        <v>1719</v>
      </c>
      <c r="C271" s="69" t="s">
        <v>303</v>
      </c>
      <c r="D271" s="238" t="s">
        <v>812</v>
      </c>
      <c r="E271" s="82" t="s">
        <v>305</v>
      </c>
      <c r="F271" s="249">
        <v>15</v>
      </c>
      <c r="G271" s="74"/>
      <c r="H271" s="74"/>
      <c r="I271" s="74">
        <f t="shared" si="17"/>
        <v>0</v>
      </c>
    </row>
    <row r="272" spans="2:9" s="247" customFormat="1" x14ac:dyDescent="0.25">
      <c r="B272" s="249" t="s">
        <v>1720</v>
      </c>
      <c r="C272" s="69" t="s">
        <v>303</v>
      </c>
      <c r="D272" s="238" t="s">
        <v>670</v>
      </c>
      <c r="E272" s="82" t="s">
        <v>305</v>
      </c>
      <c r="F272" s="249">
        <v>15</v>
      </c>
      <c r="G272" s="74"/>
      <c r="H272" s="74"/>
      <c r="I272" s="74">
        <f t="shared" si="17"/>
        <v>0</v>
      </c>
    </row>
    <row r="273" spans="2:9" s="247" customFormat="1" x14ac:dyDescent="0.25">
      <c r="B273" s="249" t="s">
        <v>1721</v>
      </c>
      <c r="C273" s="69" t="s">
        <v>303</v>
      </c>
      <c r="D273" s="238" t="s">
        <v>745</v>
      </c>
      <c r="E273" s="82" t="s">
        <v>305</v>
      </c>
      <c r="F273" s="249">
        <v>15</v>
      </c>
      <c r="G273" s="74"/>
      <c r="H273" s="74"/>
      <c r="I273" s="74">
        <f t="shared" si="17"/>
        <v>0</v>
      </c>
    </row>
    <row r="274" spans="2:9" s="247" customFormat="1" x14ac:dyDescent="0.25">
      <c r="B274" s="249" t="s">
        <v>1722</v>
      </c>
      <c r="C274" s="69" t="s">
        <v>303</v>
      </c>
      <c r="D274" s="238" t="s">
        <v>673</v>
      </c>
      <c r="E274" s="82" t="s">
        <v>305</v>
      </c>
      <c r="F274" s="249">
        <v>15</v>
      </c>
      <c r="G274" s="74"/>
      <c r="H274" s="74"/>
      <c r="I274" s="74">
        <f t="shared" si="17"/>
        <v>0</v>
      </c>
    </row>
    <row r="275" spans="2:9" s="247" customFormat="1" x14ac:dyDescent="0.25">
      <c r="B275" s="66" t="s">
        <v>452</v>
      </c>
      <c r="C275" s="66"/>
      <c r="D275" s="250" t="s">
        <v>873</v>
      </c>
      <c r="E275" s="67"/>
      <c r="F275" s="67"/>
      <c r="G275" s="68"/>
      <c r="H275" s="68"/>
      <c r="I275" s="68">
        <f>SUM(I276:I298)</f>
        <v>0</v>
      </c>
    </row>
    <row r="276" spans="2:9" s="247" customFormat="1" x14ac:dyDescent="0.25">
      <c r="B276" s="69" t="s">
        <v>1723</v>
      </c>
      <c r="C276" s="69" t="s">
        <v>303</v>
      </c>
      <c r="D276" s="238" t="s">
        <v>819</v>
      </c>
      <c r="E276" s="82" t="s">
        <v>305</v>
      </c>
      <c r="F276" s="249">
        <v>21</v>
      </c>
      <c r="G276" s="74"/>
      <c r="H276" s="74"/>
      <c r="I276" s="74">
        <f t="shared" si="17"/>
        <v>0</v>
      </c>
    </row>
    <row r="277" spans="2:9" s="247" customFormat="1" x14ac:dyDescent="0.25">
      <c r="B277" s="69" t="s">
        <v>1724</v>
      </c>
      <c r="C277" s="69" t="s">
        <v>303</v>
      </c>
      <c r="D277" s="238" t="s">
        <v>821</v>
      </c>
      <c r="E277" s="82" t="s">
        <v>305</v>
      </c>
      <c r="F277" s="249">
        <v>21</v>
      </c>
      <c r="G277" s="74"/>
      <c r="H277" s="74"/>
      <c r="I277" s="74">
        <f t="shared" si="17"/>
        <v>0</v>
      </c>
    </row>
    <row r="278" spans="2:9" s="247" customFormat="1" x14ac:dyDescent="0.25">
      <c r="B278" s="69" t="s">
        <v>1725</v>
      </c>
      <c r="C278" s="69" t="s">
        <v>303</v>
      </c>
      <c r="D278" s="238" t="s">
        <v>823</v>
      </c>
      <c r="E278" s="82" t="s">
        <v>305</v>
      </c>
      <c r="F278" s="249">
        <v>21</v>
      </c>
      <c r="G278" s="74"/>
      <c r="H278" s="74"/>
      <c r="I278" s="74">
        <f t="shared" ref="I278:I319" si="18">ROUND((H278+G278)*F278,2)</f>
        <v>0</v>
      </c>
    </row>
    <row r="279" spans="2:9" s="247" customFormat="1" x14ac:dyDescent="0.25">
      <c r="B279" s="69" t="s">
        <v>1726</v>
      </c>
      <c r="C279" s="69" t="s">
        <v>303</v>
      </c>
      <c r="D279" s="238" t="s">
        <v>825</v>
      </c>
      <c r="E279" s="82" t="s">
        <v>305</v>
      </c>
      <c r="F279" s="249">
        <v>21</v>
      </c>
      <c r="G279" s="74"/>
      <c r="H279" s="74"/>
      <c r="I279" s="74">
        <f t="shared" si="18"/>
        <v>0</v>
      </c>
    </row>
    <row r="280" spans="2:9" s="247" customFormat="1" x14ac:dyDescent="0.25">
      <c r="B280" s="69" t="s">
        <v>1727</v>
      </c>
      <c r="C280" s="69" t="s">
        <v>303</v>
      </c>
      <c r="D280" s="238" t="s">
        <v>638</v>
      </c>
      <c r="E280" s="82" t="s">
        <v>305</v>
      </c>
      <c r="F280" s="249">
        <v>21</v>
      </c>
      <c r="G280" s="74"/>
      <c r="H280" s="74"/>
      <c r="I280" s="74">
        <f t="shared" si="18"/>
        <v>0</v>
      </c>
    </row>
    <row r="281" spans="2:9" s="247" customFormat="1" x14ac:dyDescent="0.25">
      <c r="B281" s="69" t="s">
        <v>1728</v>
      </c>
      <c r="C281" s="69" t="s">
        <v>303</v>
      </c>
      <c r="D281" s="238" t="s">
        <v>479</v>
      </c>
      <c r="E281" s="82" t="s">
        <v>305</v>
      </c>
      <c r="F281" s="249">
        <v>21</v>
      </c>
      <c r="G281" s="74"/>
      <c r="H281" s="74"/>
      <c r="I281" s="74">
        <f t="shared" si="18"/>
        <v>0</v>
      </c>
    </row>
    <row r="282" spans="2:9" s="247" customFormat="1" x14ac:dyDescent="0.25">
      <c r="B282" s="69" t="s">
        <v>1729</v>
      </c>
      <c r="C282" s="69" t="s">
        <v>303</v>
      </c>
      <c r="D282" s="238" t="s">
        <v>829</v>
      </c>
      <c r="E282" s="82" t="s">
        <v>305</v>
      </c>
      <c r="F282" s="249">
        <v>21</v>
      </c>
      <c r="G282" s="74"/>
      <c r="H282" s="74"/>
      <c r="I282" s="74">
        <f t="shared" si="18"/>
        <v>0</v>
      </c>
    </row>
    <row r="283" spans="2:9" s="247" customFormat="1" x14ac:dyDescent="0.25">
      <c r="B283" s="69" t="s">
        <v>1730</v>
      </c>
      <c r="C283" s="69" t="s">
        <v>303</v>
      </c>
      <c r="D283" s="238" t="s">
        <v>831</v>
      </c>
      <c r="E283" s="82" t="s">
        <v>305</v>
      </c>
      <c r="F283" s="249">
        <v>21</v>
      </c>
      <c r="G283" s="74"/>
      <c r="H283" s="74"/>
      <c r="I283" s="74">
        <f t="shared" si="18"/>
        <v>0</v>
      </c>
    </row>
    <row r="284" spans="2:9" s="247" customFormat="1" x14ac:dyDescent="0.25">
      <c r="B284" s="69" t="s">
        <v>1731</v>
      </c>
      <c r="C284" s="69" t="s">
        <v>303</v>
      </c>
      <c r="D284" s="238" t="s">
        <v>638</v>
      </c>
      <c r="E284" s="82" t="s">
        <v>305</v>
      </c>
      <c r="F284" s="249">
        <v>21</v>
      </c>
      <c r="G284" s="74"/>
      <c r="H284" s="74"/>
      <c r="I284" s="74">
        <f t="shared" si="18"/>
        <v>0</v>
      </c>
    </row>
    <row r="285" spans="2:9" s="247" customFormat="1" x14ac:dyDescent="0.25">
      <c r="B285" s="69" t="s">
        <v>1732</v>
      </c>
      <c r="C285" s="69" t="s">
        <v>303</v>
      </c>
      <c r="D285" s="238" t="s">
        <v>834</v>
      </c>
      <c r="E285" s="82" t="s">
        <v>305</v>
      </c>
      <c r="F285" s="249">
        <v>21</v>
      </c>
      <c r="G285" s="74"/>
      <c r="H285" s="74"/>
      <c r="I285" s="74">
        <f t="shared" si="18"/>
        <v>0</v>
      </c>
    </row>
    <row r="286" spans="2:9" s="247" customFormat="1" x14ac:dyDescent="0.25">
      <c r="B286" s="69" t="s">
        <v>1733</v>
      </c>
      <c r="C286" s="69" t="s">
        <v>303</v>
      </c>
      <c r="D286" s="238" t="s">
        <v>836</v>
      </c>
      <c r="E286" s="82" t="s">
        <v>305</v>
      </c>
      <c r="F286" s="249">
        <v>21</v>
      </c>
      <c r="G286" s="74"/>
      <c r="H286" s="74"/>
      <c r="I286" s="74">
        <f t="shared" si="18"/>
        <v>0</v>
      </c>
    </row>
    <row r="287" spans="2:9" s="247" customFormat="1" x14ac:dyDescent="0.25">
      <c r="B287" s="69" t="s">
        <v>1734</v>
      </c>
      <c r="C287" s="69" t="s">
        <v>303</v>
      </c>
      <c r="D287" s="238" t="s">
        <v>838</v>
      </c>
      <c r="E287" s="82" t="s">
        <v>305</v>
      </c>
      <c r="F287" s="249">
        <v>21</v>
      </c>
      <c r="G287" s="74"/>
      <c r="H287" s="74"/>
      <c r="I287" s="74">
        <f t="shared" si="18"/>
        <v>0</v>
      </c>
    </row>
    <row r="288" spans="2:9" s="247" customFormat="1" x14ac:dyDescent="0.25">
      <c r="B288" s="69" t="s">
        <v>1735</v>
      </c>
      <c r="C288" s="69" t="s">
        <v>303</v>
      </c>
      <c r="D288" s="238" t="s">
        <v>840</v>
      </c>
      <c r="E288" s="82" t="s">
        <v>305</v>
      </c>
      <c r="F288" s="249">
        <v>21</v>
      </c>
      <c r="G288" s="74"/>
      <c r="H288" s="74"/>
      <c r="I288" s="74">
        <f t="shared" si="18"/>
        <v>0</v>
      </c>
    </row>
    <row r="289" spans="2:9" s="247" customFormat="1" x14ac:dyDescent="0.25">
      <c r="B289" s="69" t="s">
        <v>1736</v>
      </c>
      <c r="C289" s="69" t="s">
        <v>303</v>
      </c>
      <c r="D289" s="238" t="s">
        <v>842</v>
      </c>
      <c r="E289" s="82" t="s">
        <v>305</v>
      </c>
      <c r="F289" s="249">
        <v>21</v>
      </c>
      <c r="G289" s="74"/>
      <c r="H289" s="74"/>
      <c r="I289" s="74">
        <f t="shared" si="18"/>
        <v>0</v>
      </c>
    </row>
    <row r="290" spans="2:9" s="247" customFormat="1" x14ac:dyDescent="0.25">
      <c r="B290" s="69" t="s">
        <v>1737</v>
      </c>
      <c r="C290" s="69" t="s">
        <v>303</v>
      </c>
      <c r="D290" s="238" t="s">
        <v>844</v>
      </c>
      <c r="E290" s="82" t="s">
        <v>305</v>
      </c>
      <c r="F290" s="249">
        <v>21</v>
      </c>
      <c r="G290" s="74"/>
      <c r="H290" s="74"/>
      <c r="I290" s="74">
        <f t="shared" si="18"/>
        <v>0</v>
      </c>
    </row>
    <row r="291" spans="2:9" s="247" customFormat="1" x14ac:dyDescent="0.25">
      <c r="B291" s="69" t="s">
        <v>1738</v>
      </c>
      <c r="C291" s="69" t="s">
        <v>303</v>
      </c>
      <c r="D291" s="238" t="s">
        <v>846</v>
      </c>
      <c r="E291" s="82" t="s">
        <v>305</v>
      </c>
      <c r="F291" s="249">
        <v>21</v>
      </c>
      <c r="G291" s="74"/>
      <c r="H291" s="74"/>
      <c r="I291" s="74">
        <f t="shared" si="18"/>
        <v>0</v>
      </c>
    </row>
    <row r="292" spans="2:9" s="247" customFormat="1" x14ac:dyDescent="0.25">
      <c r="B292" s="69" t="s">
        <v>1739</v>
      </c>
      <c r="C292" s="69" t="s">
        <v>303</v>
      </c>
      <c r="D292" s="238" t="s">
        <v>848</v>
      </c>
      <c r="E292" s="82" t="s">
        <v>305</v>
      </c>
      <c r="F292" s="249">
        <v>21</v>
      </c>
      <c r="G292" s="74"/>
      <c r="H292" s="74"/>
      <c r="I292" s="74">
        <f t="shared" si="18"/>
        <v>0</v>
      </c>
    </row>
    <row r="293" spans="2:9" s="247" customFormat="1" x14ac:dyDescent="0.25">
      <c r="B293" s="69" t="s">
        <v>1740</v>
      </c>
      <c r="C293" s="69" t="s">
        <v>303</v>
      </c>
      <c r="D293" s="238" t="s">
        <v>850</v>
      </c>
      <c r="E293" s="82" t="s">
        <v>305</v>
      </c>
      <c r="F293" s="249">
        <v>21</v>
      </c>
      <c r="G293" s="74"/>
      <c r="H293" s="74"/>
      <c r="I293" s="74">
        <f t="shared" si="18"/>
        <v>0</v>
      </c>
    </row>
    <row r="294" spans="2:9" s="247" customFormat="1" x14ac:dyDescent="0.25">
      <c r="B294" s="69" t="s">
        <v>1741</v>
      </c>
      <c r="C294" s="69" t="s">
        <v>303</v>
      </c>
      <c r="D294" s="238" t="s">
        <v>852</v>
      </c>
      <c r="E294" s="82" t="s">
        <v>305</v>
      </c>
      <c r="F294" s="249">
        <v>21</v>
      </c>
      <c r="G294" s="74"/>
      <c r="H294" s="74"/>
      <c r="I294" s="74">
        <f t="shared" si="18"/>
        <v>0</v>
      </c>
    </row>
    <row r="295" spans="2:9" s="247" customFormat="1" x14ac:dyDescent="0.25">
      <c r="B295" s="69" t="s">
        <v>1742</v>
      </c>
      <c r="C295" s="69" t="s">
        <v>303</v>
      </c>
      <c r="D295" s="238" t="s">
        <v>854</v>
      </c>
      <c r="E295" s="82" t="s">
        <v>305</v>
      </c>
      <c r="F295" s="249">
        <v>21</v>
      </c>
      <c r="G295" s="74"/>
      <c r="H295" s="74"/>
      <c r="I295" s="74">
        <f t="shared" si="18"/>
        <v>0</v>
      </c>
    </row>
    <row r="296" spans="2:9" s="247" customFormat="1" x14ac:dyDescent="0.25">
      <c r="B296" s="69" t="s">
        <v>1743</v>
      </c>
      <c r="C296" s="69" t="s">
        <v>303</v>
      </c>
      <c r="D296" s="238" t="s">
        <v>856</v>
      </c>
      <c r="E296" s="82" t="s">
        <v>305</v>
      </c>
      <c r="F296" s="249">
        <v>21</v>
      </c>
      <c r="G296" s="74"/>
      <c r="H296" s="74"/>
      <c r="I296" s="74">
        <f t="shared" si="18"/>
        <v>0</v>
      </c>
    </row>
    <row r="297" spans="2:9" s="247" customFormat="1" x14ac:dyDescent="0.25">
      <c r="B297" s="69" t="s">
        <v>2012</v>
      </c>
      <c r="C297" s="69" t="s">
        <v>303</v>
      </c>
      <c r="D297" s="238" t="s">
        <v>896</v>
      </c>
      <c r="E297" s="69" t="s">
        <v>305</v>
      </c>
      <c r="F297" s="249">
        <v>21</v>
      </c>
      <c r="G297" s="74"/>
      <c r="H297" s="74"/>
      <c r="I297" s="74">
        <f t="shared" si="18"/>
        <v>0</v>
      </c>
    </row>
    <row r="298" spans="2:9" s="247" customFormat="1" x14ac:dyDescent="0.25">
      <c r="B298" s="69" t="s">
        <v>2013</v>
      </c>
      <c r="C298" s="69" t="s">
        <v>303</v>
      </c>
      <c r="D298" s="238" t="s">
        <v>898</v>
      </c>
      <c r="E298" s="69" t="s">
        <v>305</v>
      </c>
      <c r="F298" s="249">
        <v>21</v>
      </c>
      <c r="G298" s="74"/>
      <c r="H298" s="74"/>
      <c r="I298" s="74">
        <f t="shared" si="18"/>
        <v>0</v>
      </c>
    </row>
    <row r="299" spans="2:9" s="247" customFormat="1" x14ac:dyDescent="0.25">
      <c r="B299" s="66" t="s">
        <v>454</v>
      </c>
      <c r="C299" s="66"/>
      <c r="D299" s="250" t="s">
        <v>900</v>
      </c>
      <c r="E299" s="67"/>
      <c r="F299" s="67"/>
      <c r="G299" s="68"/>
      <c r="H299" s="68"/>
      <c r="I299" s="68">
        <f>SUM(I300:I306)</f>
        <v>0</v>
      </c>
    </row>
    <row r="300" spans="2:9" s="247" customFormat="1" x14ac:dyDescent="0.25">
      <c r="B300" s="69" t="s">
        <v>1744</v>
      </c>
      <c r="C300" s="69" t="s">
        <v>303</v>
      </c>
      <c r="D300" s="238" t="s">
        <v>651</v>
      </c>
      <c r="E300" s="82" t="s">
        <v>305</v>
      </c>
      <c r="F300" s="249">
        <v>21</v>
      </c>
      <c r="G300" s="74"/>
      <c r="H300" s="74"/>
      <c r="I300" s="74">
        <f t="shared" si="18"/>
        <v>0</v>
      </c>
    </row>
    <row r="301" spans="2:9" s="247" customFormat="1" x14ac:dyDescent="0.25">
      <c r="B301" s="69" t="s">
        <v>1745</v>
      </c>
      <c r="C301" s="69" t="s">
        <v>303</v>
      </c>
      <c r="D301" s="238" t="s">
        <v>903</v>
      </c>
      <c r="E301" s="69" t="s">
        <v>305</v>
      </c>
      <c r="F301" s="249">
        <v>21</v>
      </c>
      <c r="G301" s="74"/>
      <c r="H301" s="74"/>
      <c r="I301" s="74">
        <f t="shared" si="18"/>
        <v>0</v>
      </c>
    </row>
    <row r="302" spans="2:9" s="247" customFormat="1" x14ac:dyDescent="0.25">
      <c r="B302" s="69" t="s">
        <v>1746</v>
      </c>
      <c r="C302" s="69" t="s">
        <v>303</v>
      </c>
      <c r="D302" s="238" t="s">
        <v>905</v>
      </c>
      <c r="E302" s="82" t="s">
        <v>305</v>
      </c>
      <c r="F302" s="249">
        <v>21</v>
      </c>
      <c r="G302" s="74"/>
      <c r="H302" s="74"/>
      <c r="I302" s="74">
        <f t="shared" si="18"/>
        <v>0</v>
      </c>
    </row>
    <row r="303" spans="2:9" s="247" customFormat="1" x14ac:dyDescent="0.25">
      <c r="B303" s="69" t="s">
        <v>1747</v>
      </c>
      <c r="C303" s="69" t="s">
        <v>303</v>
      </c>
      <c r="D303" s="238" t="s">
        <v>865</v>
      </c>
      <c r="E303" s="82" t="s">
        <v>305</v>
      </c>
      <c r="F303" s="249">
        <v>21</v>
      </c>
      <c r="G303" s="74"/>
      <c r="H303" s="74"/>
      <c r="I303" s="74">
        <f t="shared" si="18"/>
        <v>0</v>
      </c>
    </row>
    <row r="304" spans="2:9" s="247" customFormat="1" x14ac:dyDescent="0.25">
      <c r="B304" s="69" t="s">
        <v>1748</v>
      </c>
      <c r="C304" s="69" t="s">
        <v>303</v>
      </c>
      <c r="D304" s="238" t="s">
        <v>867</v>
      </c>
      <c r="E304" s="82" t="s">
        <v>305</v>
      </c>
      <c r="F304" s="249">
        <v>21</v>
      </c>
      <c r="G304" s="74"/>
      <c r="H304" s="74"/>
      <c r="I304" s="74">
        <f t="shared" si="18"/>
        <v>0</v>
      </c>
    </row>
    <row r="305" spans="2:9" s="247" customFormat="1" x14ac:dyDescent="0.25">
      <c r="B305" s="69" t="s">
        <v>1749</v>
      </c>
      <c r="C305" s="69" t="s">
        <v>303</v>
      </c>
      <c r="D305" s="238" t="s">
        <v>869</v>
      </c>
      <c r="E305" s="82" t="s">
        <v>305</v>
      </c>
      <c r="F305" s="249">
        <v>21</v>
      </c>
      <c r="G305" s="74"/>
      <c r="H305" s="74"/>
      <c r="I305" s="74">
        <f t="shared" si="18"/>
        <v>0</v>
      </c>
    </row>
    <row r="306" spans="2:9" s="247" customFormat="1" x14ac:dyDescent="0.25">
      <c r="B306" s="69" t="s">
        <v>1750</v>
      </c>
      <c r="C306" s="69" t="s">
        <v>303</v>
      </c>
      <c r="D306" s="238" t="s">
        <v>910</v>
      </c>
      <c r="E306" s="82" t="s">
        <v>305</v>
      </c>
      <c r="F306" s="249">
        <v>21</v>
      </c>
      <c r="G306" s="74"/>
      <c r="H306" s="74"/>
      <c r="I306" s="74">
        <f t="shared" si="18"/>
        <v>0</v>
      </c>
    </row>
    <row r="307" spans="2:9" s="247" customFormat="1" x14ac:dyDescent="0.25">
      <c r="B307" s="66" t="s">
        <v>456</v>
      </c>
      <c r="C307" s="66"/>
      <c r="D307" s="250" t="s">
        <v>2401</v>
      </c>
      <c r="E307" s="67"/>
      <c r="F307" s="67"/>
      <c r="G307" s="68"/>
      <c r="H307" s="68"/>
      <c r="I307" s="68">
        <f>SUM(I308:I313)</f>
        <v>0</v>
      </c>
    </row>
    <row r="308" spans="2:9" s="247" customFormat="1" ht="15.75" customHeight="1" x14ac:dyDescent="0.25">
      <c r="B308" s="69" t="s">
        <v>1751</v>
      </c>
      <c r="C308" s="69" t="s">
        <v>303</v>
      </c>
      <c r="D308" s="238" t="s">
        <v>947</v>
      </c>
      <c r="E308" s="82" t="s">
        <v>305</v>
      </c>
      <c r="F308" s="249">
        <v>21</v>
      </c>
      <c r="G308" s="74"/>
      <c r="H308" s="74"/>
      <c r="I308" s="74">
        <f t="shared" ref="I308:I313" si="19">ROUND((H308+G308)*F308,2)</f>
        <v>0</v>
      </c>
    </row>
    <row r="309" spans="2:9" s="247" customFormat="1" x14ac:dyDescent="0.25">
      <c r="B309" s="69" t="s">
        <v>1752</v>
      </c>
      <c r="C309" s="69" t="s">
        <v>303</v>
      </c>
      <c r="D309" s="238" t="s">
        <v>949</v>
      </c>
      <c r="E309" s="82" t="s">
        <v>305</v>
      </c>
      <c r="F309" s="249">
        <v>21</v>
      </c>
      <c r="G309" s="74"/>
      <c r="H309" s="74"/>
      <c r="I309" s="74">
        <f t="shared" si="19"/>
        <v>0</v>
      </c>
    </row>
    <row r="310" spans="2:9" s="247" customFormat="1" x14ac:dyDescent="0.25">
      <c r="B310" s="69" t="s">
        <v>1753</v>
      </c>
      <c r="C310" s="69" t="s">
        <v>303</v>
      </c>
      <c r="D310" s="238" t="s">
        <v>951</v>
      </c>
      <c r="E310" s="82" t="s">
        <v>305</v>
      </c>
      <c r="F310" s="249">
        <v>21</v>
      </c>
      <c r="G310" s="74"/>
      <c r="H310" s="74"/>
      <c r="I310" s="74">
        <f t="shared" si="19"/>
        <v>0</v>
      </c>
    </row>
    <row r="311" spans="2:9" s="247" customFormat="1" x14ac:dyDescent="0.25">
      <c r="B311" s="69" t="s">
        <v>1754</v>
      </c>
      <c r="C311" s="69" t="s">
        <v>303</v>
      </c>
      <c r="D311" s="238" t="s">
        <v>953</v>
      </c>
      <c r="E311" s="82" t="s">
        <v>305</v>
      </c>
      <c r="F311" s="249">
        <v>21</v>
      </c>
      <c r="G311" s="74"/>
      <c r="H311" s="74"/>
      <c r="I311" s="74">
        <f t="shared" si="19"/>
        <v>0</v>
      </c>
    </row>
    <row r="312" spans="2:9" s="247" customFormat="1" x14ac:dyDescent="0.25">
      <c r="B312" s="69" t="s">
        <v>1755</v>
      </c>
      <c r="C312" s="69" t="s">
        <v>303</v>
      </c>
      <c r="D312" s="238" t="s">
        <v>955</v>
      </c>
      <c r="E312" s="82" t="s">
        <v>305</v>
      </c>
      <c r="F312" s="249">
        <v>21</v>
      </c>
      <c r="G312" s="74"/>
      <c r="H312" s="74"/>
      <c r="I312" s="74">
        <f t="shared" si="19"/>
        <v>0</v>
      </c>
    </row>
    <row r="313" spans="2:9" s="247" customFormat="1" x14ac:dyDescent="0.25">
      <c r="B313" s="69" t="s">
        <v>1756</v>
      </c>
      <c r="C313" s="69" t="s">
        <v>303</v>
      </c>
      <c r="D313" s="238" t="s">
        <v>957</v>
      </c>
      <c r="E313" s="82" t="s">
        <v>305</v>
      </c>
      <c r="F313" s="249">
        <v>21</v>
      </c>
      <c r="G313" s="74"/>
      <c r="H313" s="74"/>
      <c r="I313" s="74">
        <f t="shared" si="19"/>
        <v>0</v>
      </c>
    </row>
    <row r="314" spans="2:9" s="247" customFormat="1" x14ac:dyDescent="0.25">
      <c r="B314" s="66" t="s">
        <v>458</v>
      </c>
      <c r="C314" s="66"/>
      <c r="D314" s="250" t="s">
        <v>2402</v>
      </c>
      <c r="E314" s="93"/>
      <c r="F314" s="93"/>
      <c r="G314" s="96"/>
      <c r="H314" s="96"/>
      <c r="I314" s="68">
        <f>SUM(I315:I320)</f>
        <v>0</v>
      </c>
    </row>
    <row r="315" spans="2:9" s="247" customFormat="1" x14ac:dyDescent="0.25">
      <c r="B315" s="69" t="s">
        <v>1757</v>
      </c>
      <c r="C315" s="69" t="s">
        <v>303</v>
      </c>
      <c r="D315" s="98" t="s">
        <v>1763</v>
      </c>
      <c r="E315" s="95" t="s">
        <v>305</v>
      </c>
      <c r="F315" s="89">
        <v>21</v>
      </c>
      <c r="G315" s="74"/>
      <c r="H315" s="74"/>
      <c r="I315" s="74">
        <f t="shared" si="18"/>
        <v>0</v>
      </c>
    </row>
    <row r="316" spans="2:9" s="247" customFormat="1" x14ac:dyDescent="0.25">
      <c r="B316" s="69" t="s">
        <v>1758</v>
      </c>
      <c r="C316" s="69" t="s">
        <v>303</v>
      </c>
      <c r="D316" s="98" t="s">
        <v>1764</v>
      </c>
      <c r="E316" s="95" t="s">
        <v>305</v>
      </c>
      <c r="F316" s="89">
        <v>21</v>
      </c>
      <c r="G316" s="74"/>
      <c r="H316" s="74"/>
      <c r="I316" s="74">
        <f t="shared" si="18"/>
        <v>0</v>
      </c>
    </row>
    <row r="317" spans="2:9" s="247" customFormat="1" x14ac:dyDescent="0.25">
      <c r="B317" s="69" t="s">
        <v>1759</v>
      </c>
      <c r="C317" s="69" t="s">
        <v>303</v>
      </c>
      <c r="D317" s="98" t="s">
        <v>905</v>
      </c>
      <c r="E317" s="95" t="s">
        <v>305</v>
      </c>
      <c r="F317" s="89">
        <v>21</v>
      </c>
      <c r="G317" s="74"/>
      <c r="H317" s="74"/>
      <c r="I317" s="74">
        <f t="shared" si="18"/>
        <v>0</v>
      </c>
    </row>
    <row r="318" spans="2:9" s="247" customFormat="1" x14ac:dyDescent="0.25">
      <c r="B318" s="69" t="s">
        <v>1760</v>
      </c>
      <c r="C318" s="69" t="s">
        <v>303</v>
      </c>
      <c r="D318" s="98" t="s">
        <v>865</v>
      </c>
      <c r="E318" s="95" t="s">
        <v>305</v>
      </c>
      <c r="F318" s="89">
        <v>21</v>
      </c>
      <c r="G318" s="74"/>
      <c r="H318" s="74"/>
      <c r="I318" s="74">
        <f t="shared" si="18"/>
        <v>0</v>
      </c>
    </row>
    <row r="319" spans="2:9" s="247" customFormat="1" x14ac:dyDescent="0.25">
      <c r="B319" s="69" t="s">
        <v>1761</v>
      </c>
      <c r="C319" s="69" t="s">
        <v>303</v>
      </c>
      <c r="D319" s="98" t="s">
        <v>867</v>
      </c>
      <c r="E319" s="95" t="s">
        <v>305</v>
      </c>
      <c r="F319" s="89">
        <v>21</v>
      </c>
      <c r="G319" s="74"/>
      <c r="H319" s="74"/>
      <c r="I319" s="74">
        <f t="shared" si="18"/>
        <v>0</v>
      </c>
    </row>
    <row r="320" spans="2:9" s="247" customFormat="1" x14ac:dyDescent="0.25">
      <c r="B320" s="69" t="s">
        <v>1762</v>
      </c>
      <c r="C320" s="69" t="s">
        <v>303</v>
      </c>
      <c r="D320" s="98" t="s">
        <v>869</v>
      </c>
      <c r="E320" s="95" t="s">
        <v>305</v>
      </c>
      <c r="F320" s="89">
        <v>21</v>
      </c>
      <c r="G320" s="74"/>
      <c r="H320" s="74"/>
      <c r="I320" s="74">
        <f t="shared" ref="I320:I322" si="20">ROUND((H320+G320)*F320,2)</f>
        <v>0</v>
      </c>
    </row>
    <row r="321" spans="2:9" s="247" customFormat="1" x14ac:dyDescent="0.25">
      <c r="B321" s="63" t="s">
        <v>496</v>
      </c>
      <c r="C321" s="63"/>
      <c r="D321" s="64" t="s">
        <v>5</v>
      </c>
      <c r="E321" s="64"/>
      <c r="F321" s="64"/>
      <c r="G321" s="80">
        <f t="shared" ref="G321:H321" si="21">SUM(G322:G322)</f>
        <v>0</v>
      </c>
      <c r="H321" s="80">
        <f t="shared" si="21"/>
        <v>0</v>
      </c>
      <c r="I321" s="80">
        <f>SUM(I322:I322)</f>
        <v>0</v>
      </c>
    </row>
    <row r="322" spans="2:9" s="247" customFormat="1" x14ac:dyDescent="0.25">
      <c r="B322" s="69" t="s">
        <v>1802</v>
      </c>
      <c r="C322" s="69" t="s">
        <v>303</v>
      </c>
      <c r="D322" s="238" t="s">
        <v>1360</v>
      </c>
      <c r="E322" s="82" t="s">
        <v>305</v>
      </c>
      <c r="F322" s="249">
        <v>21</v>
      </c>
      <c r="G322" s="74">
        <f>Insumos!D100*6</f>
        <v>0</v>
      </c>
      <c r="H322" s="74">
        <f>G322*0.35</f>
        <v>0</v>
      </c>
      <c r="I322" s="74">
        <f t="shared" si="20"/>
        <v>0</v>
      </c>
    </row>
    <row r="323" spans="2:9" s="247" customFormat="1" x14ac:dyDescent="0.25">
      <c r="B323" s="267" t="s">
        <v>1002</v>
      </c>
      <c r="C323" s="267"/>
      <c r="D323" s="268" t="s">
        <v>1320</v>
      </c>
      <c r="E323" s="268"/>
      <c r="F323" s="268"/>
      <c r="G323" s="269"/>
      <c r="H323" s="269"/>
      <c r="I323" s="269">
        <f>SUM(I324,I350,I431)</f>
        <v>0</v>
      </c>
    </row>
    <row r="324" spans="2:9" s="247" customFormat="1" x14ac:dyDescent="0.25">
      <c r="B324" s="63" t="s">
        <v>1003</v>
      </c>
      <c r="C324" s="63"/>
      <c r="D324" s="64" t="s">
        <v>4</v>
      </c>
      <c r="E324" s="64"/>
      <c r="F324" s="64"/>
      <c r="G324" s="65"/>
      <c r="H324" s="65"/>
      <c r="I324" s="65">
        <f>SUM(I325,I326,I327,I330,I332,I336,I339,I341,I347)</f>
        <v>0</v>
      </c>
    </row>
    <row r="325" spans="2:9" s="247" customFormat="1" x14ac:dyDescent="0.25">
      <c r="B325" s="66" t="s">
        <v>1470</v>
      </c>
      <c r="C325" s="66" t="s">
        <v>1442</v>
      </c>
      <c r="D325" s="67" t="s">
        <v>251</v>
      </c>
      <c r="E325" s="66" t="s">
        <v>248</v>
      </c>
      <c r="F325" s="66">
        <v>1</v>
      </c>
      <c r="G325" s="68">
        <f>'Composição UNIT.'!H864</f>
        <v>0</v>
      </c>
      <c r="H325" s="68">
        <f>'Composição UNIT.'!H854</f>
        <v>0</v>
      </c>
      <c r="I325" s="68">
        <f t="shared" ref="I325:I329" si="22">ROUND(G325+H325,2)</f>
        <v>0</v>
      </c>
    </row>
    <row r="326" spans="2:9" s="247" customFormat="1" x14ac:dyDescent="0.25">
      <c r="B326" s="66" t="s">
        <v>1471</v>
      </c>
      <c r="C326" s="66" t="s">
        <v>1445</v>
      </c>
      <c r="D326" s="67" t="s">
        <v>272</v>
      </c>
      <c r="E326" s="66" t="s">
        <v>248</v>
      </c>
      <c r="F326" s="66">
        <v>1</v>
      </c>
      <c r="G326" s="68">
        <f>'Composição UNIT.'!H916</f>
        <v>0</v>
      </c>
      <c r="H326" s="68">
        <f>'Composição UNIT.'!H906</f>
        <v>0</v>
      </c>
      <c r="I326" s="68">
        <f t="shared" si="22"/>
        <v>0</v>
      </c>
    </row>
    <row r="327" spans="2:9" s="247" customFormat="1" x14ac:dyDescent="0.25">
      <c r="B327" s="66" t="s">
        <v>1472</v>
      </c>
      <c r="C327" s="66"/>
      <c r="D327" s="67" t="s">
        <v>273</v>
      </c>
      <c r="E327" s="67"/>
      <c r="F327" s="67"/>
      <c r="G327" s="68"/>
      <c r="H327" s="68"/>
      <c r="I327" s="68">
        <f>SUM(I328:I329)</f>
        <v>0</v>
      </c>
    </row>
    <row r="328" spans="2:9" s="247" customFormat="1" x14ac:dyDescent="0.25">
      <c r="B328" s="69" t="s">
        <v>1766</v>
      </c>
      <c r="C328" s="69" t="s">
        <v>1385</v>
      </c>
      <c r="D328" s="238" t="s">
        <v>2091</v>
      </c>
      <c r="E328" s="69" t="s">
        <v>248</v>
      </c>
      <c r="F328" s="69">
        <v>1</v>
      </c>
      <c r="G328" s="74">
        <f>'Composição UNIT.'!H468*10</f>
        <v>0</v>
      </c>
      <c r="H328" s="74">
        <f>'Composição UNIT.'!H458*10</f>
        <v>0</v>
      </c>
      <c r="I328" s="74">
        <f t="shared" si="22"/>
        <v>0</v>
      </c>
    </row>
    <row r="329" spans="2:9" s="247" customFormat="1" x14ac:dyDescent="0.25">
      <c r="B329" s="69" t="s">
        <v>2067</v>
      </c>
      <c r="C329" s="69" t="s">
        <v>1443</v>
      </c>
      <c r="D329" s="238" t="s">
        <v>1765</v>
      </c>
      <c r="E329" s="69" t="s">
        <v>248</v>
      </c>
      <c r="F329" s="69">
        <v>1</v>
      </c>
      <c r="G329" s="74">
        <f>'Composição UNIT.'!H890*2</f>
        <v>0</v>
      </c>
      <c r="H329" s="74">
        <f>'Composição UNIT.'!H880*2</f>
        <v>0</v>
      </c>
      <c r="I329" s="74">
        <f t="shared" si="22"/>
        <v>0</v>
      </c>
    </row>
    <row r="330" spans="2:9" s="247" customFormat="1" x14ac:dyDescent="0.25">
      <c r="B330" s="66" t="s">
        <v>1473</v>
      </c>
      <c r="C330" s="66"/>
      <c r="D330" s="239" t="s">
        <v>278</v>
      </c>
      <c r="E330" s="67"/>
      <c r="F330" s="67"/>
      <c r="G330" s="68"/>
      <c r="H330" s="68"/>
      <c r="I330" s="68">
        <f>SUM(I331)</f>
        <v>0</v>
      </c>
    </row>
    <row r="331" spans="2:9" s="247" customFormat="1" x14ac:dyDescent="0.25">
      <c r="B331" s="249" t="s">
        <v>1767</v>
      </c>
      <c r="C331" s="69" t="s">
        <v>1425</v>
      </c>
      <c r="D331" s="70" t="s">
        <v>1991</v>
      </c>
      <c r="E331" s="69" t="s">
        <v>248</v>
      </c>
      <c r="F331" s="69">
        <v>1</v>
      </c>
      <c r="G331" s="71">
        <f>'Composição UNIT.'!H520*1</f>
        <v>0</v>
      </c>
      <c r="H331" s="71">
        <f>'Composição UNIT.'!H510*1</f>
        <v>0</v>
      </c>
      <c r="I331" s="74">
        <f>ROUND(G331+H331,2)</f>
        <v>0</v>
      </c>
    </row>
    <row r="332" spans="2:9" s="247" customFormat="1" x14ac:dyDescent="0.25">
      <c r="B332" s="248" t="s">
        <v>1474</v>
      </c>
      <c r="C332" s="66"/>
      <c r="D332" s="67" t="s">
        <v>168</v>
      </c>
      <c r="E332" s="67"/>
      <c r="F332" s="67"/>
      <c r="G332" s="68"/>
      <c r="H332" s="68"/>
      <c r="I332" s="68">
        <f>SUM(I333:I335)</f>
        <v>0</v>
      </c>
    </row>
    <row r="333" spans="2:9" s="247" customFormat="1" x14ac:dyDescent="0.25">
      <c r="B333" s="249" t="s">
        <v>1768</v>
      </c>
      <c r="C333" s="69" t="s">
        <v>1426</v>
      </c>
      <c r="D333" s="238" t="s">
        <v>2030</v>
      </c>
      <c r="E333" s="69" t="s">
        <v>248</v>
      </c>
      <c r="F333" s="69">
        <v>1</v>
      </c>
      <c r="G333" s="74">
        <f>'Composição UNIT.'!H573*800</f>
        <v>0</v>
      </c>
      <c r="H333" s="74">
        <f>'Composição UNIT.'!H563*800</f>
        <v>0</v>
      </c>
      <c r="I333" s="74">
        <f t="shared" ref="I333:I335" si="23">ROUND(G333+H333,2)</f>
        <v>0</v>
      </c>
    </row>
    <row r="334" spans="2:9" s="247" customFormat="1" x14ac:dyDescent="0.25">
      <c r="B334" s="249" t="s">
        <v>1769</v>
      </c>
      <c r="C334" s="69" t="s">
        <v>1427</v>
      </c>
      <c r="D334" s="238" t="s">
        <v>2031</v>
      </c>
      <c r="E334" s="69" t="s">
        <v>248</v>
      </c>
      <c r="F334" s="69">
        <v>1</v>
      </c>
      <c r="G334" s="74">
        <f>'Composição UNIT.'!H599*400</f>
        <v>0</v>
      </c>
      <c r="H334" s="74">
        <f>'Composição UNIT.'!H589*400</f>
        <v>0</v>
      </c>
      <c r="I334" s="74">
        <f t="shared" si="23"/>
        <v>0</v>
      </c>
    </row>
    <row r="335" spans="2:9" s="247" customFormat="1" x14ac:dyDescent="0.25">
      <c r="B335" s="249" t="s">
        <v>2068</v>
      </c>
      <c r="C335" s="69" t="s">
        <v>1428</v>
      </c>
      <c r="D335" s="238" t="s">
        <v>2032</v>
      </c>
      <c r="E335" s="69" t="s">
        <v>248</v>
      </c>
      <c r="F335" s="69">
        <v>1</v>
      </c>
      <c r="G335" s="74">
        <f>'Composição UNIT.'!H625*60</f>
        <v>0</v>
      </c>
      <c r="H335" s="74">
        <f>'Composição UNIT.'!H615*60</f>
        <v>0</v>
      </c>
      <c r="I335" s="74">
        <f t="shared" si="23"/>
        <v>0</v>
      </c>
    </row>
    <row r="336" spans="2:9" s="247" customFormat="1" x14ac:dyDescent="0.25">
      <c r="B336" s="248" t="s">
        <v>1475</v>
      </c>
      <c r="C336" s="66"/>
      <c r="D336" s="67" t="s">
        <v>290</v>
      </c>
      <c r="E336" s="67"/>
      <c r="F336" s="67"/>
      <c r="G336" s="68"/>
      <c r="H336" s="68"/>
      <c r="I336" s="68">
        <f>SUM(I337:I338)</f>
        <v>0</v>
      </c>
    </row>
    <row r="337" spans="2:9" s="247" customFormat="1" x14ac:dyDescent="0.25">
      <c r="B337" s="249" t="s">
        <v>1770</v>
      </c>
      <c r="C337" s="69" t="s">
        <v>1429</v>
      </c>
      <c r="D337" s="238" t="s">
        <v>2082</v>
      </c>
      <c r="E337" s="69" t="s">
        <v>248</v>
      </c>
      <c r="F337" s="69">
        <v>1</v>
      </c>
      <c r="G337" s="74">
        <f>'Composição UNIT.'!H652*94</f>
        <v>0</v>
      </c>
      <c r="H337" s="74">
        <f>'Composição UNIT.'!H642*94</f>
        <v>0</v>
      </c>
      <c r="I337" s="74">
        <f t="shared" ref="I337:I338" si="24">ROUND(G337+H337,2)</f>
        <v>0</v>
      </c>
    </row>
    <row r="338" spans="2:9" s="247" customFormat="1" x14ac:dyDescent="0.25">
      <c r="B338" s="249" t="s">
        <v>1771</v>
      </c>
      <c r="C338" s="69" t="s">
        <v>1430</v>
      </c>
      <c r="D338" s="238" t="s">
        <v>2083</v>
      </c>
      <c r="E338" s="69" t="s">
        <v>248</v>
      </c>
      <c r="F338" s="69">
        <v>1</v>
      </c>
      <c r="G338" s="74">
        <f>'Composição UNIT.'!H679*14</f>
        <v>0</v>
      </c>
      <c r="H338" s="74">
        <f>'Composição UNIT.'!H669*14</f>
        <v>0</v>
      </c>
      <c r="I338" s="74">
        <f t="shared" si="24"/>
        <v>0</v>
      </c>
    </row>
    <row r="339" spans="2:9" s="247" customFormat="1" x14ac:dyDescent="0.25">
      <c r="B339" s="248" t="s">
        <v>1476</v>
      </c>
      <c r="C339" s="66"/>
      <c r="D339" s="67" t="s">
        <v>2427</v>
      </c>
      <c r="E339" s="67"/>
      <c r="F339" s="67"/>
      <c r="G339" s="68"/>
      <c r="H339" s="68"/>
      <c r="I339" s="68">
        <f>SUM(I340:I340)</f>
        <v>0</v>
      </c>
    </row>
    <row r="340" spans="2:9" s="247" customFormat="1" x14ac:dyDescent="0.25">
      <c r="B340" s="249" t="s">
        <v>1772</v>
      </c>
      <c r="C340" s="69" t="s">
        <v>1440</v>
      </c>
      <c r="D340" s="238" t="s">
        <v>2121</v>
      </c>
      <c r="E340" s="69" t="s">
        <v>248</v>
      </c>
      <c r="F340" s="69">
        <v>1</v>
      </c>
      <c r="G340" s="74">
        <f>'Composição UNIT.'!H838*1</f>
        <v>0</v>
      </c>
      <c r="H340" s="74">
        <f>'Composição UNIT.'!H828*1</f>
        <v>0</v>
      </c>
      <c r="I340" s="74">
        <f t="shared" ref="I340" si="25">ROUND(G340+H340,2)</f>
        <v>0</v>
      </c>
    </row>
    <row r="341" spans="2:9" s="247" customFormat="1" x14ac:dyDescent="0.25">
      <c r="B341" s="248" t="s">
        <v>2020</v>
      </c>
      <c r="C341" s="66"/>
      <c r="D341" s="67" t="s">
        <v>301</v>
      </c>
      <c r="E341" s="67"/>
      <c r="F341" s="67"/>
      <c r="G341" s="68"/>
      <c r="H341" s="68"/>
      <c r="I341" s="68">
        <f>SUM(I342:I346)</f>
        <v>0</v>
      </c>
    </row>
    <row r="342" spans="2:9" s="247" customFormat="1" x14ac:dyDescent="0.25">
      <c r="B342" s="249" t="s">
        <v>2069</v>
      </c>
      <c r="C342" s="69" t="s">
        <v>303</v>
      </c>
      <c r="D342" s="238" t="s">
        <v>1773</v>
      </c>
      <c r="E342" s="249" t="s">
        <v>305</v>
      </c>
      <c r="F342" s="69">
        <v>31</v>
      </c>
      <c r="G342" s="71">
        <f>Insumos!D88*180</f>
        <v>0</v>
      </c>
      <c r="H342" s="74">
        <f>G342*0.25</f>
        <v>0</v>
      </c>
      <c r="I342" s="74">
        <f t="shared" ref="I342:I349" si="26">ROUND(G342+H342,2)</f>
        <v>0</v>
      </c>
    </row>
    <row r="343" spans="2:9" s="247" customFormat="1" x14ac:dyDescent="0.25">
      <c r="B343" s="249" t="s">
        <v>2070</v>
      </c>
      <c r="C343" s="69" t="s">
        <v>303</v>
      </c>
      <c r="D343" s="238" t="s">
        <v>1774</v>
      </c>
      <c r="E343" s="249" t="s">
        <v>305</v>
      </c>
      <c r="F343" s="69">
        <v>31</v>
      </c>
      <c r="G343" s="71">
        <f>Insumos!D89*60</f>
        <v>0</v>
      </c>
      <c r="H343" s="74">
        <f t="shared" ref="H343:H346" si="27">G343*0.25</f>
        <v>0</v>
      </c>
      <c r="I343" s="74">
        <f t="shared" si="26"/>
        <v>0</v>
      </c>
    </row>
    <row r="344" spans="2:9" s="247" customFormat="1" x14ac:dyDescent="0.25">
      <c r="B344" s="249" t="s">
        <v>2420</v>
      </c>
      <c r="C344" s="69" t="s">
        <v>303</v>
      </c>
      <c r="D344" s="238" t="s">
        <v>1455</v>
      </c>
      <c r="E344" s="265" t="s">
        <v>305</v>
      </c>
      <c r="F344" s="69">
        <v>31</v>
      </c>
      <c r="G344" s="71">
        <f>Insumos!D90*3</f>
        <v>0</v>
      </c>
      <c r="H344" s="74">
        <f t="shared" si="27"/>
        <v>0</v>
      </c>
      <c r="I344" s="74">
        <f t="shared" si="26"/>
        <v>0</v>
      </c>
    </row>
    <row r="345" spans="2:9" s="247" customFormat="1" x14ac:dyDescent="0.25">
      <c r="B345" s="249" t="s">
        <v>2421</v>
      </c>
      <c r="C345" s="69" t="s">
        <v>303</v>
      </c>
      <c r="D345" s="238" t="s">
        <v>1456</v>
      </c>
      <c r="E345" s="265" t="s">
        <v>305</v>
      </c>
      <c r="F345" s="69">
        <v>31</v>
      </c>
      <c r="G345" s="71">
        <f>Insumos!D91*3</f>
        <v>0</v>
      </c>
      <c r="H345" s="74">
        <f t="shared" si="27"/>
        <v>0</v>
      </c>
      <c r="I345" s="74">
        <f t="shared" si="26"/>
        <v>0</v>
      </c>
    </row>
    <row r="346" spans="2:9" s="247" customFormat="1" x14ac:dyDescent="0.25">
      <c r="B346" s="249" t="s">
        <v>2422</v>
      </c>
      <c r="C346" s="69" t="s">
        <v>303</v>
      </c>
      <c r="D346" s="238" t="s">
        <v>1457</v>
      </c>
      <c r="E346" s="265" t="s">
        <v>305</v>
      </c>
      <c r="F346" s="69">
        <v>31</v>
      </c>
      <c r="G346" s="71">
        <f>Insumos!D92*400</f>
        <v>0</v>
      </c>
      <c r="H346" s="74">
        <f t="shared" si="27"/>
        <v>0</v>
      </c>
      <c r="I346" s="74">
        <f t="shared" si="26"/>
        <v>0</v>
      </c>
    </row>
    <row r="347" spans="2:9" s="247" customFormat="1" x14ac:dyDescent="0.25">
      <c r="B347" s="248" t="s">
        <v>2423</v>
      </c>
      <c r="C347" s="66"/>
      <c r="D347" s="67" t="s">
        <v>315</v>
      </c>
      <c r="E347" s="67"/>
      <c r="F347" s="67"/>
      <c r="G347" s="68"/>
      <c r="H347" s="68"/>
      <c r="I347" s="68">
        <f>SUM(I348:I349)</f>
        <v>0</v>
      </c>
    </row>
    <row r="348" spans="2:9" s="247" customFormat="1" x14ac:dyDescent="0.25">
      <c r="B348" s="249" t="s">
        <v>2424</v>
      </c>
      <c r="C348" s="69" t="s">
        <v>303</v>
      </c>
      <c r="D348" s="238" t="s">
        <v>2084</v>
      </c>
      <c r="E348" s="69" t="s">
        <v>305</v>
      </c>
      <c r="F348" s="69">
        <v>31</v>
      </c>
      <c r="G348" s="74">
        <f>Insumos!D94*192*0.75</f>
        <v>0</v>
      </c>
      <c r="H348" s="74">
        <f>Insumos!D94*192*0.25</f>
        <v>0</v>
      </c>
      <c r="I348" s="74">
        <f t="shared" si="26"/>
        <v>0</v>
      </c>
    </row>
    <row r="349" spans="2:9" s="247" customFormat="1" x14ac:dyDescent="0.25">
      <c r="B349" s="249" t="s">
        <v>2425</v>
      </c>
      <c r="C349" s="69" t="s">
        <v>303</v>
      </c>
      <c r="D349" s="238" t="s">
        <v>2085</v>
      </c>
      <c r="E349" s="69" t="s">
        <v>305</v>
      </c>
      <c r="F349" s="69">
        <v>31</v>
      </c>
      <c r="G349" s="74">
        <f>Insumos!D95*2*0.75</f>
        <v>0</v>
      </c>
      <c r="H349" s="74">
        <f>Insumos!D95*2*0.25</f>
        <v>0</v>
      </c>
      <c r="I349" s="74">
        <f t="shared" si="26"/>
        <v>0</v>
      </c>
    </row>
    <row r="350" spans="2:9" s="247" customFormat="1" x14ac:dyDescent="0.25">
      <c r="B350" s="63" t="s">
        <v>1005</v>
      </c>
      <c r="C350" s="63"/>
      <c r="D350" s="64" t="s">
        <v>333</v>
      </c>
      <c r="E350" s="64"/>
      <c r="F350" s="64"/>
      <c r="G350" s="80"/>
      <c r="H350" s="80"/>
      <c r="I350" s="80">
        <f>SUM(I351,I385,I401,I423)</f>
        <v>0</v>
      </c>
    </row>
    <row r="351" spans="2:9" s="247" customFormat="1" x14ac:dyDescent="0.25">
      <c r="B351" s="248" t="s">
        <v>1570</v>
      </c>
      <c r="C351" s="66"/>
      <c r="D351" s="250" t="s">
        <v>675</v>
      </c>
      <c r="E351" s="67"/>
      <c r="F351" s="67"/>
      <c r="G351" s="68"/>
      <c r="H351" s="68"/>
      <c r="I351" s="68">
        <f>SUM(I352:I384)</f>
        <v>0</v>
      </c>
    </row>
    <row r="352" spans="2:9" s="247" customFormat="1" x14ac:dyDescent="0.25">
      <c r="B352" s="249" t="s">
        <v>1571</v>
      </c>
      <c r="C352" s="69" t="s">
        <v>303</v>
      </c>
      <c r="D352" s="238" t="s">
        <v>677</v>
      </c>
      <c r="E352" s="82" t="s">
        <v>305</v>
      </c>
      <c r="F352" s="69">
        <v>12</v>
      </c>
      <c r="G352" s="74"/>
      <c r="H352" s="74"/>
      <c r="I352" s="74">
        <f t="shared" ref="I352:I444" si="28">ROUND((H352+G352)*F352,2)</f>
        <v>0</v>
      </c>
    </row>
    <row r="353" spans="2:9" s="247" customFormat="1" x14ac:dyDescent="0.25">
      <c r="B353" s="249" t="s">
        <v>1572</v>
      </c>
      <c r="C353" s="69" t="s">
        <v>303</v>
      </c>
      <c r="D353" s="238" t="s">
        <v>590</v>
      </c>
      <c r="E353" s="82" t="s">
        <v>305</v>
      </c>
      <c r="F353" s="69">
        <v>12</v>
      </c>
      <c r="G353" s="74"/>
      <c r="H353" s="74"/>
      <c r="I353" s="74">
        <f t="shared" si="28"/>
        <v>0</v>
      </c>
    </row>
    <row r="354" spans="2:9" s="247" customFormat="1" x14ac:dyDescent="0.25">
      <c r="B354" s="249" t="s">
        <v>1573</v>
      </c>
      <c r="C354" s="69" t="s">
        <v>303</v>
      </c>
      <c r="D354" s="238" t="s">
        <v>592</v>
      </c>
      <c r="E354" s="82" t="s">
        <v>305</v>
      </c>
      <c r="F354" s="69">
        <v>12</v>
      </c>
      <c r="G354" s="74"/>
      <c r="H354" s="74"/>
      <c r="I354" s="74">
        <f t="shared" si="28"/>
        <v>0</v>
      </c>
    </row>
    <row r="355" spans="2:9" s="247" customFormat="1" x14ac:dyDescent="0.25">
      <c r="B355" s="249" t="s">
        <v>1574</v>
      </c>
      <c r="C355" s="69" t="s">
        <v>303</v>
      </c>
      <c r="D355" s="238" t="s">
        <v>681</v>
      </c>
      <c r="E355" s="82" t="s">
        <v>305</v>
      </c>
      <c r="F355" s="69">
        <v>12</v>
      </c>
      <c r="G355" s="74"/>
      <c r="H355" s="74"/>
      <c r="I355" s="74">
        <f t="shared" si="28"/>
        <v>0</v>
      </c>
    </row>
    <row r="356" spans="2:9" s="247" customFormat="1" x14ac:dyDescent="0.25">
      <c r="B356" s="249" t="s">
        <v>1575</v>
      </c>
      <c r="C356" s="69" t="s">
        <v>303</v>
      </c>
      <c r="D356" s="238" t="s">
        <v>595</v>
      </c>
      <c r="E356" s="82" t="s">
        <v>305</v>
      </c>
      <c r="F356" s="69">
        <v>12</v>
      </c>
      <c r="G356" s="74"/>
      <c r="H356" s="74"/>
      <c r="I356" s="74">
        <f t="shared" si="28"/>
        <v>0</v>
      </c>
    </row>
    <row r="357" spans="2:9" s="247" customFormat="1" x14ac:dyDescent="0.25">
      <c r="B357" s="249" t="s">
        <v>1576</v>
      </c>
      <c r="C357" s="69" t="s">
        <v>303</v>
      </c>
      <c r="D357" s="238" t="s">
        <v>597</v>
      </c>
      <c r="E357" s="82" t="s">
        <v>305</v>
      </c>
      <c r="F357" s="69">
        <v>12</v>
      </c>
      <c r="G357" s="74"/>
      <c r="H357" s="74"/>
      <c r="I357" s="74">
        <f t="shared" si="28"/>
        <v>0</v>
      </c>
    </row>
    <row r="358" spans="2:9" s="247" customFormat="1" x14ac:dyDescent="0.25">
      <c r="B358" s="249" t="s">
        <v>1577</v>
      </c>
      <c r="C358" s="69" t="s">
        <v>303</v>
      </c>
      <c r="D358" s="238" t="s">
        <v>597</v>
      </c>
      <c r="E358" s="82" t="s">
        <v>305</v>
      </c>
      <c r="F358" s="69">
        <v>12</v>
      </c>
      <c r="G358" s="74"/>
      <c r="H358" s="74"/>
      <c r="I358" s="74">
        <f t="shared" si="28"/>
        <v>0</v>
      </c>
    </row>
    <row r="359" spans="2:9" s="247" customFormat="1" x14ac:dyDescent="0.25">
      <c r="B359" s="249" t="s">
        <v>1578</v>
      </c>
      <c r="C359" s="69" t="s">
        <v>303</v>
      </c>
      <c r="D359" s="238" t="s">
        <v>599</v>
      </c>
      <c r="E359" s="82" t="s">
        <v>305</v>
      </c>
      <c r="F359" s="69">
        <v>12</v>
      </c>
      <c r="G359" s="74"/>
      <c r="H359" s="74"/>
      <c r="I359" s="74">
        <f t="shared" si="28"/>
        <v>0</v>
      </c>
    </row>
    <row r="360" spans="2:9" s="247" customFormat="1" x14ac:dyDescent="0.25">
      <c r="B360" s="249" t="s">
        <v>1579</v>
      </c>
      <c r="C360" s="69" t="s">
        <v>303</v>
      </c>
      <c r="D360" s="238" t="s">
        <v>601</v>
      </c>
      <c r="E360" s="82" t="s">
        <v>305</v>
      </c>
      <c r="F360" s="69">
        <v>12</v>
      </c>
      <c r="G360" s="74"/>
      <c r="H360" s="74"/>
      <c r="I360" s="74">
        <f t="shared" si="28"/>
        <v>0</v>
      </c>
    </row>
    <row r="361" spans="2:9" s="247" customFormat="1" x14ac:dyDescent="0.25">
      <c r="B361" s="249" t="s">
        <v>1580</v>
      </c>
      <c r="C361" s="69" t="s">
        <v>303</v>
      </c>
      <c r="D361" s="238" t="s">
        <v>532</v>
      </c>
      <c r="E361" s="82" t="s">
        <v>305</v>
      </c>
      <c r="F361" s="69">
        <v>12</v>
      </c>
      <c r="G361" s="74"/>
      <c r="H361" s="74"/>
      <c r="I361" s="74">
        <f t="shared" si="28"/>
        <v>0</v>
      </c>
    </row>
    <row r="362" spans="2:9" s="247" customFormat="1" x14ac:dyDescent="0.25">
      <c r="B362" s="249" t="s">
        <v>1581</v>
      </c>
      <c r="C362" s="69" t="s">
        <v>303</v>
      </c>
      <c r="D362" s="238" t="s">
        <v>605</v>
      </c>
      <c r="E362" s="82" t="s">
        <v>305</v>
      </c>
      <c r="F362" s="69">
        <v>12</v>
      </c>
      <c r="G362" s="74"/>
      <c r="H362" s="74"/>
      <c r="I362" s="74">
        <f t="shared" si="28"/>
        <v>0</v>
      </c>
    </row>
    <row r="363" spans="2:9" s="247" customFormat="1" x14ac:dyDescent="0.25">
      <c r="B363" s="249" t="s">
        <v>1582</v>
      </c>
      <c r="C363" s="69" t="s">
        <v>303</v>
      </c>
      <c r="D363" s="238" t="s">
        <v>339</v>
      </c>
      <c r="E363" s="82" t="s">
        <v>305</v>
      </c>
      <c r="F363" s="69">
        <v>12</v>
      </c>
      <c r="G363" s="74"/>
      <c r="H363" s="74"/>
      <c r="I363" s="74">
        <f t="shared" si="28"/>
        <v>0</v>
      </c>
    </row>
    <row r="364" spans="2:9" s="247" customFormat="1" x14ac:dyDescent="0.25">
      <c r="B364" s="249" t="s">
        <v>1583</v>
      </c>
      <c r="C364" s="69" t="s">
        <v>303</v>
      </c>
      <c r="D364" s="238" t="s">
        <v>379</v>
      </c>
      <c r="E364" s="82" t="s">
        <v>305</v>
      </c>
      <c r="F364" s="69">
        <v>12</v>
      </c>
      <c r="G364" s="74"/>
      <c r="H364" s="74"/>
      <c r="I364" s="74">
        <f t="shared" si="28"/>
        <v>0</v>
      </c>
    </row>
    <row r="365" spans="2:9" s="247" customFormat="1" x14ac:dyDescent="0.25">
      <c r="B365" s="249" t="s">
        <v>1584</v>
      </c>
      <c r="C365" s="69" t="s">
        <v>303</v>
      </c>
      <c r="D365" s="238" t="s">
        <v>590</v>
      </c>
      <c r="E365" s="82" t="s">
        <v>305</v>
      </c>
      <c r="F365" s="69">
        <v>12</v>
      </c>
      <c r="G365" s="74"/>
      <c r="H365" s="74"/>
      <c r="I365" s="74">
        <f t="shared" si="28"/>
        <v>0</v>
      </c>
    </row>
    <row r="366" spans="2:9" s="247" customFormat="1" x14ac:dyDescent="0.25">
      <c r="B366" s="249" t="s">
        <v>1585</v>
      </c>
      <c r="C366" s="69" t="s">
        <v>303</v>
      </c>
      <c r="D366" s="238" t="s">
        <v>693</v>
      </c>
      <c r="E366" s="82" t="s">
        <v>305</v>
      </c>
      <c r="F366" s="69">
        <v>12</v>
      </c>
      <c r="G366" s="74"/>
      <c r="H366" s="74"/>
      <c r="I366" s="74">
        <f t="shared" si="28"/>
        <v>0</v>
      </c>
    </row>
    <row r="367" spans="2:9" s="247" customFormat="1" x14ac:dyDescent="0.25">
      <c r="B367" s="249" t="s">
        <v>1586</v>
      </c>
      <c r="C367" s="69" t="s">
        <v>303</v>
      </c>
      <c r="D367" s="238" t="s">
        <v>599</v>
      </c>
      <c r="E367" s="82" t="s">
        <v>305</v>
      </c>
      <c r="F367" s="69">
        <v>12</v>
      </c>
      <c r="G367" s="74"/>
      <c r="H367" s="74"/>
      <c r="I367" s="74">
        <f t="shared" si="28"/>
        <v>0</v>
      </c>
    </row>
    <row r="368" spans="2:9" s="247" customFormat="1" x14ac:dyDescent="0.25">
      <c r="B368" s="249" t="s">
        <v>1587</v>
      </c>
      <c r="C368" s="69" t="s">
        <v>303</v>
      </c>
      <c r="D368" s="238" t="s">
        <v>615</v>
      </c>
      <c r="E368" s="82" t="s">
        <v>305</v>
      </c>
      <c r="F368" s="69">
        <v>12</v>
      </c>
      <c r="G368" s="74"/>
      <c r="H368" s="74"/>
      <c r="I368" s="74">
        <f t="shared" si="28"/>
        <v>0</v>
      </c>
    </row>
    <row r="369" spans="2:9" s="247" customFormat="1" x14ac:dyDescent="0.25">
      <c r="B369" s="249" t="s">
        <v>1588</v>
      </c>
      <c r="C369" s="69" t="s">
        <v>303</v>
      </c>
      <c r="D369" s="238" t="s">
        <v>697</v>
      </c>
      <c r="E369" s="82" t="s">
        <v>305</v>
      </c>
      <c r="F369" s="69">
        <v>12</v>
      </c>
      <c r="G369" s="74"/>
      <c r="H369" s="74"/>
      <c r="I369" s="74">
        <f t="shared" si="28"/>
        <v>0</v>
      </c>
    </row>
    <row r="370" spans="2:9" s="247" customFormat="1" x14ac:dyDescent="0.25">
      <c r="B370" s="249" t="s">
        <v>1589</v>
      </c>
      <c r="C370" s="69" t="s">
        <v>303</v>
      </c>
      <c r="D370" s="238" t="s">
        <v>699</v>
      </c>
      <c r="E370" s="82" t="s">
        <v>305</v>
      </c>
      <c r="F370" s="69">
        <v>12</v>
      </c>
      <c r="G370" s="74"/>
      <c r="H370" s="74"/>
      <c r="I370" s="74">
        <f t="shared" si="28"/>
        <v>0</v>
      </c>
    </row>
    <row r="371" spans="2:9" s="247" customFormat="1" x14ac:dyDescent="0.25">
      <c r="B371" s="249" t="s">
        <v>1590</v>
      </c>
      <c r="C371" s="69" t="s">
        <v>303</v>
      </c>
      <c r="D371" s="238" t="s">
        <v>701</v>
      </c>
      <c r="E371" s="82" t="s">
        <v>305</v>
      </c>
      <c r="F371" s="69">
        <v>12</v>
      </c>
      <c r="G371" s="74"/>
      <c r="H371" s="74"/>
      <c r="I371" s="74">
        <f t="shared" si="28"/>
        <v>0</v>
      </c>
    </row>
    <row r="372" spans="2:9" s="247" customFormat="1" x14ac:dyDescent="0.25">
      <c r="B372" s="249" t="s">
        <v>1591</v>
      </c>
      <c r="C372" s="69" t="s">
        <v>303</v>
      </c>
      <c r="D372" s="238" t="s">
        <v>703</v>
      </c>
      <c r="E372" s="82" t="s">
        <v>305</v>
      </c>
      <c r="F372" s="69">
        <v>12</v>
      </c>
      <c r="G372" s="74"/>
      <c r="H372" s="74"/>
      <c r="I372" s="74">
        <f t="shared" si="28"/>
        <v>0</v>
      </c>
    </row>
    <row r="373" spans="2:9" s="247" customFormat="1" x14ac:dyDescent="0.25">
      <c r="B373" s="249" t="s">
        <v>1592</v>
      </c>
      <c r="C373" s="69" t="s">
        <v>303</v>
      </c>
      <c r="D373" s="238" t="s">
        <v>550</v>
      </c>
      <c r="E373" s="82" t="s">
        <v>305</v>
      </c>
      <c r="F373" s="69">
        <v>12</v>
      </c>
      <c r="G373" s="74"/>
      <c r="H373" s="74"/>
      <c r="I373" s="74">
        <f t="shared" si="28"/>
        <v>0</v>
      </c>
    </row>
    <row r="374" spans="2:9" s="247" customFormat="1" x14ac:dyDescent="0.25">
      <c r="B374" s="249" t="s">
        <v>1593</v>
      </c>
      <c r="C374" s="69" t="s">
        <v>303</v>
      </c>
      <c r="D374" s="238" t="s">
        <v>706</v>
      </c>
      <c r="E374" s="82" t="s">
        <v>305</v>
      </c>
      <c r="F374" s="69">
        <v>12</v>
      </c>
      <c r="G374" s="74"/>
      <c r="H374" s="74"/>
      <c r="I374" s="74">
        <f t="shared" si="28"/>
        <v>0</v>
      </c>
    </row>
    <row r="375" spans="2:9" s="247" customFormat="1" x14ac:dyDescent="0.25">
      <c r="B375" s="249" t="s">
        <v>1594</v>
      </c>
      <c r="C375" s="69" t="s">
        <v>303</v>
      </c>
      <c r="D375" s="238" t="s">
        <v>708</v>
      </c>
      <c r="E375" s="82" t="s">
        <v>305</v>
      </c>
      <c r="F375" s="69">
        <v>12</v>
      </c>
      <c r="G375" s="74"/>
      <c r="H375" s="74"/>
      <c r="I375" s="74">
        <f t="shared" si="28"/>
        <v>0</v>
      </c>
    </row>
    <row r="376" spans="2:9" s="247" customFormat="1" x14ac:dyDescent="0.25">
      <c r="B376" s="249" t="s">
        <v>1595</v>
      </c>
      <c r="C376" s="69" t="s">
        <v>303</v>
      </c>
      <c r="D376" s="238" t="s">
        <v>710</v>
      </c>
      <c r="E376" s="82" t="s">
        <v>305</v>
      </c>
      <c r="F376" s="69">
        <v>12</v>
      </c>
      <c r="G376" s="74"/>
      <c r="H376" s="74"/>
      <c r="I376" s="74">
        <f t="shared" si="28"/>
        <v>0</v>
      </c>
    </row>
    <row r="377" spans="2:9" s="247" customFormat="1" x14ac:dyDescent="0.25">
      <c r="B377" s="249" t="s">
        <v>1596</v>
      </c>
      <c r="C377" s="69" t="s">
        <v>303</v>
      </c>
      <c r="D377" s="238" t="s">
        <v>712</v>
      </c>
      <c r="E377" s="82" t="s">
        <v>305</v>
      </c>
      <c r="F377" s="69">
        <v>12</v>
      </c>
      <c r="G377" s="74"/>
      <c r="H377" s="74"/>
      <c r="I377" s="74">
        <f t="shared" si="28"/>
        <v>0</v>
      </c>
    </row>
    <row r="378" spans="2:9" s="247" customFormat="1" x14ac:dyDescent="0.25">
      <c r="B378" s="249" t="s">
        <v>1597</v>
      </c>
      <c r="C378" s="69" t="s">
        <v>303</v>
      </c>
      <c r="D378" s="238" t="s">
        <v>714</v>
      </c>
      <c r="E378" s="82" t="s">
        <v>305</v>
      </c>
      <c r="F378" s="69">
        <v>12</v>
      </c>
      <c r="G378" s="74"/>
      <c r="H378" s="74"/>
      <c r="I378" s="74">
        <f t="shared" si="28"/>
        <v>0</v>
      </c>
    </row>
    <row r="379" spans="2:9" s="247" customFormat="1" x14ac:dyDescent="0.25">
      <c r="B379" s="249" t="s">
        <v>1598</v>
      </c>
      <c r="C379" s="69" t="s">
        <v>303</v>
      </c>
      <c r="D379" s="238" t="s">
        <v>417</v>
      </c>
      <c r="E379" s="82" t="s">
        <v>305</v>
      </c>
      <c r="F379" s="69">
        <v>12</v>
      </c>
      <c r="G379" s="74"/>
      <c r="H379" s="74"/>
      <c r="I379" s="74">
        <f t="shared" si="28"/>
        <v>0</v>
      </c>
    </row>
    <row r="380" spans="2:9" s="247" customFormat="1" x14ac:dyDescent="0.25">
      <c r="B380" s="249" t="s">
        <v>1599</v>
      </c>
      <c r="C380" s="69" t="s">
        <v>303</v>
      </c>
      <c r="D380" s="238" t="s">
        <v>638</v>
      </c>
      <c r="E380" s="82" t="s">
        <v>305</v>
      </c>
      <c r="F380" s="69">
        <v>12</v>
      </c>
      <c r="G380" s="74"/>
      <c r="H380" s="74"/>
      <c r="I380" s="74">
        <f t="shared" si="28"/>
        <v>0</v>
      </c>
    </row>
    <row r="381" spans="2:9" s="247" customFormat="1" x14ac:dyDescent="0.25">
      <c r="B381" s="249" t="s">
        <v>1600</v>
      </c>
      <c r="C381" s="69" t="s">
        <v>303</v>
      </c>
      <c r="D381" s="238" t="s">
        <v>718</v>
      </c>
      <c r="E381" s="82" t="s">
        <v>305</v>
      </c>
      <c r="F381" s="69">
        <v>12</v>
      </c>
      <c r="G381" s="74"/>
      <c r="H381" s="74"/>
      <c r="I381" s="74">
        <f t="shared" si="28"/>
        <v>0</v>
      </c>
    </row>
    <row r="382" spans="2:9" s="247" customFormat="1" x14ac:dyDescent="0.25">
      <c r="B382" s="249" t="s">
        <v>1601</v>
      </c>
      <c r="C382" s="69" t="s">
        <v>303</v>
      </c>
      <c r="D382" s="238" t="s">
        <v>720</v>
      </c>
      <c r="E382" s="82" t="s">
        <v>305</v>
      </c>
      <c r="F382" s="69">
        <v>12</v>
      </c>
      <c r="G382" s="74"/>
      <c r="H382" s="74"/>
      <c r="I382" s="74">
        <f t="shared" si="28"/>
        <v>0</v>
      </c>
    </row>
    <row r="383" spans="2:9" s="247" customFormat="1" x14ac:dyDescent="0.25">
      <c r="B383" s="249" t="s">
        <v>1602</v>
      </c>
      <c r="C383" s="69" t="s">
        <v>303</v>
      </c>
      <c r="D383" s="238" t="s">
        <v>722</v>
      </c>
      <c r="E383" s="82" t="s">
        <v>305</v>
      </c>
      <c r="F383" s="69">
        <v>12</v>
      </c>
      <c r="G383" s="74"/>
      <c r="H383" s="74"/>
      <c r="I383" s="74">
        <f t="shared" si="28"/>
        <v>0</v>
      </c>
    </row>
    <row r="384" spans="2:9" s="247" customFormat="1" x14ac:dyDescent="0.25">
      <c r="B384" s="249" t="s">
        <v>1603</v>
      </c>
      <c r="C384" s="69" t="s">
        <v>303</v>
      </c>
      <c r="D384" s="238" t="s">
        <v>645</v>
      </c>
      <c r="E384" s="82" t="s">
        <v>305</v>
      </c>
      <c r="F384" s="69">
        <v>12</v>
      </c>
      <c r="G384" s="74"/>
      <c r="H384" s="74"/>
      <c r="I384" s="74">
        <f t="shared" si="28"/>
        <v>0</v>
      </c>
    </row>
    <row r="385" spans="2:9" s="247" customFormat="1" x14ac:dyDescent="0.25">
      <c r="B385" s="248" t="s">
        <v>1604</v>
      </c>
      <c r="C385" s="66"/>
      <c r="D385" s="250" t="s">
        <v>725</v>
      </c>
      <c r="E385" s="67"/>
      <c r="F385" s="67"/>
      <c r="G385" s="68"/>
      <c r="H385" s="68"/>
      <c r="I385" s="68">
        <f>SUM(I386:I400)</f>
        <v>0</v>
      </c>
    </row>
    <row r="386" spans="2:9" s="247" customFormat="1" x14ac:dyDescent="0.25">
      <c r="B386" s="249" t="s">
        <v>1605</v>
      </c>
      <c r="C386" s="69" t="s">
        <v>303</v>
      </c>
      <c r="D386" s="238" t="s">
        <v>727</v>
      </c>
      <c r="E386" s="69" t="s">
        <v>305</v>
      </c>
      <c r="F386" s="69">
        <v>12</v>
      </c>
      <c r="G386" s="74"/>
      <c r="H386" s="74"/>
      <c r="I386" s="74">
        <f t="shared" si="28"/>
        <v>0</v>
      </c>
    </row>
    <row r="387" spans="2:9" s="247" customFormat="1" x14ac:dyDescent="0.25">
      <c r="B387" s="249" t="s">
        <v>1606</v>
      </c>
      <c r="C387" s="69" t="s">
        <v>303</v>
      </c>
      <c r="D387" s="238" t="s">
        <v>651</v>
      </c>
      <c r="E387" s="69" t="s">
        <v>305</v>
      </c>
      <c r="F387" s="69">
        <v>12</v>
      </c>
      <c r="G387" s="74"/>
      <c r="H387" s="74"/>
      <c r="I387" s="74">
        <f t="shared" si="28"/>
        <v>0</v>
      </c>
    </row>
    <row r="388" spans="2:9" s="247" customFormat="1" x14ac:dyDescent="0.25">
      <c r="B388" s="249" t="s">
        <v>1607</v>
      </c>
      <c r="C388" s="69" t="s">
        <v>303</v>
      </c>
      <c r="D388" s="238" t="s">
        <v>653</v>
      </c>
      <c r="E388" s="69" t="s">
        <v>305</v>
      </c>
      <c r="F388" s="69">
        <v>12</v>
      </c>
      <c r="G388" s="74"/>
      <c r="H388" s="74"/>
      <c r="I388" s="74">
        <f t="shared" si="28"/>
        <v>0</v>
      </c>
    </row>
    <row r="389" spans="2:9" s="247" customFormat="1" x14ac:dyDescent="0.25">
      <c r="B389" s="249" t="s">
        <v>1608</v>
      </c>
      <c r="C389" s="69" t="s">
        <v>303</v>
      </c>
      <c r="D389" s="273" t="s">
        <v>731</v>
      </c>
      <c r="E389" s="69" t="s">
        <v>305</v>
      </c>
      <c r="F389" s="69">
        <v>12</v>
      </c>
      <c r="G389" s="74"/>
      <c r="H389" s="74"/>
      <c r="I389" s="74">
        <f t="shared" si="28"/>
        <v>0</v>
      </c>
    </row>
    <row r="390" spans="2:9" s="247" customFormat="1" x14ac:dyDescent="0.25">
      <c r="B390" s="249" t="s">
        <v>1609</v>
      </c>
      <c r="C390" s="69" t="s">
        <v>303</v>
      </c>
      <c r="D390" s="273" t="s">
        <v>657</v>
      </c>
      <c r="E390" s="82" t="s">
        <v>305</v>
      </c>
      <c r="F390" s="69">
        <v>12</v>
      </c>
      <c r="G390" s="74"/>
      <c r="H390" s="74"/>
      <c r="I390" s="74">
        <f t="shared" si="28"/>
        <v>0</v>
      </c>
    </row>
    <row r="391" spans="2:9" s="247" customFormat="1" x14ac:dyDescent="0.25">
      <c r="B391" s="249" t="s">
        <v>1610</v>
      </c>
      <c r="C391" s="69" t="s">
        <v>303</v>
      </c>
      <c r="D391" s="238" t="s">
        <v>734</v>
      </c>
      <c r="E391" s="82" t="s">
        <v>305</v>
      </c>
      <c r="F391" s="69">
        <v>12</v>
      </c>
      <c r="G391" s="74"/>
      <c r="H391" s="74"/>
      <c r="I391" s="74">
        <f t="shared" si="28"/>
        <v>0</v>
      </c>
    </row>
    <row r="392" spans="2:9" s="247" customFormat="1" x14ac:dyDescent="0.25">
      <c r="B392" s="249" t="s">
        <v>1611</v>
      </c>
      <c r="C392" s="69" t="s">
        <v>303</v>
      </c>
      <c r="D392" s="238" t="s">
        <v>736</v>
      </c>
      <c r="E392" s="82" t="s">
        <v>305</v>
      </c>
      <c r="F392" s="69">
        <v>12</v>
      </c>
      <c r="G392" s="74"/>
      <c r="H392" s="74"/>
      <c r="I392" s="74">
        <f t="shared" si="28"/>
        <v>0</v>
      </c>
    </row>
    <row r="393" spans="2:9" s="247" customFormat="1" x14ac:dyDescent="0.25">
      <c r="B393" s="249" t="s">
        <v>1612</v>
      </c>
      <c r="C393" s="69" t="s">
        <v>303</v>
      </c>
      <c r="D393" s="273" t="s">
        <v>663</v>
      </c>
      <c r="E393" s="82" t="s">
        <v>305</v>
      </c>
      <c r="F393" s="69">
        <v>12</v>
      </c>
      <c r="G393" s="74"/>
      <c r="H393" s="74"/>
      <c r="I393" s="74">
        <f t="shared" si="28"/>
        <v>0</v>
      </c>
    </row>
    <row r="394" spans="2:9" s="247" customFormat="1" x14ac:dyDescent="0.25">
      <c r="B394" s="249" t="s">
        <v>1613</v>
      </c>
      <c r="C394" s="69" t="s">
        <v>303</v>
      </c>
      <c r="D394" s="273" t="s">
        <v>665</v>
      </c>
      <c r="E394" s="82" t="s">
        <v>305</v>
      </c>
      <c r="F394" s="69">
        <v>12</v>
      </c>
      <c r="G394" s="74"/>
      <c r="H394" s="74"/>
      <c r="I394" s="74">
        <f t="shared" si="28"/>
        <v>0</v>
      </c>
    </row>
    <row r="395" spans="2:9" s="247" customFormat="1" x14ac:dyDescent="0.25">
      <c r="B395" s="249" t="s">
        <v>1614</v>
      </c>
      <c r="C395" s="69" t="s">
        <v>303</v>
      </c>
      <c r="D395" s="273" t="s">
        <v>740</v>
      </c>
      <c r="E395" s="82" t="s">
        <v>305</v>
      </c>
      <c r="F395" s="69">
        <v>12</v>
      </c>
      <c r="G395" s="74"/>
      <c r="H395" s="74"/>
      <c r="I395" s="74">
        <f t="shared" si="28"/>
        <v>0</v>
      </c>
    </row>
    <row r="396" spans="2:9" s="247" customFormat="1" x14ac:dyDescent="0.25">
      <c r="B396" s="249" t="s">
        <v>1615</v>
      </c>
      <c r="C396" s="69" t="s">
        <v>303</v>
      </c>
      <c r="D396" s="273" t="s">
        <v>479</v>
      </c>
      <c r="E396" s="82" t="s">
        <v>305</v>
      </c>
      <c r="F396" s="69">
        <v>12</v>
      </c>
      <c r="G396" s="74"/>
      <c r="H396" s="74"/>
      <c r="I396" s="74">
        <f t="shared" si="28"/>
        <v>0</v>
      </c>
    </row>
    <row r="397" spans="2:9" s="247" customFormat="1" x14ac:dyDescent="0.25">
      <c r="B397" s="249" t="s">
        <v>1616</v>
      </c>
      <c r="C397" s="69" t="s">
        <v>303</v>
      </c>
      <c r="D397" s="238" t="s">
        <v>743</v>
      </c>
      <c r="E397" s="82" t="s">
        <v>305</v>
      </c>
      <c r="F397" s="69">
        <v>12</v>
      </c>
      <c r="G397" s="74"/>
      <c r="H397" s="74"/>
      <c r="I397" s="74">
        <f t="shared" si="28"/>
        <v>0</v>
      </c>
    </row>
    <row r="398" spans="2:9" s="247" customFormat="1" x14ac:dyDescent="0.25">
      <c r="B398" s="249" t="s">
        <v>1617</v>
      </c>
      <c r="C398" s="69" t="s">
        <v>303</v>
      </c>
      <c r="D398" s="238" t="s">
        <v>745</v>
      </c>
      <c r="E398" s="82" t="s">
        <v>305</v>
      </c>
      <c r="F398" s="69">
        <v>12</v>
      </c>
      <c r="G398" s="74"/>
      <c r="H398" s="74"/>
      <c r="I398" s="74">
        <f t="shared" si="28"/>
        <v>0</v>
      </c>
    </row>
    <row r="399" spans="2:9" s="247" customFormat="1" x14ac:dyDescent="0.25">
      <c r="B399" s="249" t="s">
        <v>1618</v>
      </c>
      <c r="C399" s="69" t="s">
        <v>303</v>
      </c>
      <c r="D399" s="238" t="s">
        <v>673</v>
      </c>
      <c r="E399" s="82" t="s">
        <v>305</v>
      </c>
      <c r="F399" s="69">
        <v>12</v>
      </c>
      <c r="G399" s="74"/>
      <c r="H399" s="74"/>
      <c r="I399" s="74">
        <f t="shared" si="28"/>
        <v>0</v>
      </c>
    </row>
    <row r="400" spans="2:9" s="247" customFormat="1" x14ac:dyDescent="0.25">
      <c r="B400" s="249" t="s">
        <v>1619</v>
      </c>
      <c r="C400" s="69" t="s">
        <v>303</v>
      </c>
      <c r="D400" s="238" t="s">
        <v>748</v>
      </c>
      <c r="E400" s="82" t="s">
        <v>305</v>
      </c>
      <c r="F400" s="69">
        <v>12</v>
      </c>
      <c r="G400" s="74"/>
      <c r="H400" s="74"/>
      <c r="I400" s="74">
        <f t="shared" si="28"/>
        <v>0</v>
      </c>
    </row>
    <row r="401" spans="2:9" s="247" customFormat="1" x14ac:dyDescent="0.25">
      <c r="B401" s="248" t="s">
        <v>2037</v>
      </c>
      <c r="C401" s="66"/>
      <c r="D401" s="67" t="s">
        <v>817</v>
      </c>
      <c r="E401" s="67"/>
      <c r="F401" s="67"/>
      <c r="G401" s="68"/>
      <c r="H401" s="68"/>
      <c r="I401" s="68">
        <f>SUM(I402:I422)</f>
        <v>0</v>
      </c>
    </row>
    <row r="402" spans="2:9" s="247" customFormat="1" x14ac:dyDescent="0.25">
      <c r="B402" s="249" t="s">
        <v>2038</v>
      </c>
      <c r="C402" s="69" t="s">
        <v>303</v>
      </c>
      <c r="D402" s="238" t="s">
        <v>819</v>
      </c>
      <c r="E402" s="82" t="s">
        <v>305</v>
      </c>
      <c r="F402" s="249">
        <v>21</v>
      </c>
      <c r="G402" s="74"/>
      <c r="H402" s="74"/>
      <c r="I402" s="74">
        <f t="shared" ref="I402:I430" si="29">(H402+G402)*F402</f>
        <v>0</v>
      </c>
    </row>
    <row r="403" spans="2:9" s="247" customFormat="1" x14ac:dyDescent="0.25">
      <c r="B403" s="249" t="s">
        <v>2039</v>
      </c>
      <c r="C403" s="69" t="s">
        <v>303</v>
      </c>
      <c r="D403" s="238" t="s">
        <v>821</v>
      </c>
      <c r="E403" s="82" t="s">
        <v>305</v>
      </c>
      <c r="F403" s="249">
        <v>21</v>
      </c>
      <c r="G403" s="74"/>
      <c r="H403" s="74"/>
      <c r="I403" s="74">
        <f t="shared" si="29"/>
        <v>0</v>
      </c>
    </row>
    <row r="404" spans="2:9" s="247" customFormat="1" x14ac:dyDescent="0.25">
      <c r="B404" s="249" t="s">
        <v>2040</v>
      </c>
      <c r="C404" s="69" t="s">
        <v>303</v>
      </c>
      <c r="D404" s="238" t="s">
        <v>823</v>
      </c>
      <c r="E404" s="82" t="s">
        <v>305</v>
      </c>
      <c r="F404" s="249">
        <v>21</v>
      </c>
      <c r="G404" s="74"/>
      <c r="H404" s="74"/>
      <c r="I404" s="74">
        <f t="shared" si="29"/>
        <v>0</v>
      </c>
    </row>
    <row r="405" spans="2:9" s="247" customFormat="1" x14ac:dyDescent="0.25">
      <c r="B405" s="249" t="s">
        <v>2041</v>
      </c>
      <c r="C405" s="69" t="s">
        <v>303</v>
      </c>
      <c r="D405" s="238" t="s">
        <v>825</v>
      </c>
      <c r="E405" s="82" t="s">
        <v>305</v>
      </c>
      <c r="F405" s="249">
        <v>21</v>
      </c>
      <c r="G405" s="74"/>
      <c r="H405" s="74"/>
      <c r="I405" s="74">
        <f t="shared" si="29"/>
        <v>0</v>
      </c>
    </row>
    <row r="406" spans="2:9" s="247" customFormat="1" x14ac:dyDescent="0.25">
      <c r="B406" s="249" t="s">
        <v>2042</v>
      </c>
      <c r="C406" s="69" t="s">
        <v>303</v>
      </c>
      <c r="D406" s="238" t="s">
        <v>638</v>
      </c>
      <c r="E406" s="82" t="s">
        <v>305</v>
      </c>
      <c r="F406" s="249">
        <v>21</v>
      </c>
      <c r="G406" s="74"/>
      <c r="H406" s="74"/>
      <c r="I406" s="74">
        <f t="shared" si="29"/>
        <v>0</v>
      </c>
    </row>
    <row r="407" spans="2:9" s="247" customFormat="1" x14ac:dyDescent="0.25">
      <c r="B407" s="249" t="s">
        <v>2043</v>
      </c>
      <c r="C407" s="69" t="s">
        <v>303</v>
      </c>
      <c r="D407" s="238" t="s">
        <v>479</v>
      </c>
      <c r="E407" s="82" t="s">
        <v>305</v>
      </c>
      <c r="F407" s="249">
        <v>21</v>
      </c>
      <c r="G407" s="74"/>
      <c r="H407" s="74"/>
      <c r="I407" s="74">
        <f t="shared" si="29"/>
        <v>0</v>
      </c>
    </row>
    <row r="408" spans="2:9" s="247" customFormat="1" x14ac:dyDescent="0.25">
      <c r="B408" s="249" t="s">
        <v>2044</v>
      </c>
      <c r="C408" s="69" t="s">
        <v>303</v>
      </c>
      <c r="D408" s="238" t="s">
        <v>829</v>
      </c>
      <c r="E408" s="82" t="s">
        <v>305</v>
      </c>
      <c r="F408" s="249">
        <v>21</v>
      </c>
      <c r="G408" s="74"/>
      <c r="H408" s="74"/>
      <c r="I408" s="74">
        <f t="shared" si="29"/>
        <v>0</v>
      </c>
    </row>
    <row r="409" spans="2:9" s="247" customFormat="1" x14ac:dyDescent="0.25">
      <c r="B409" s="249" t="s">
        <v>2045</v>
      </c>
      <c r="C409" s="69" t="s">
        <v>303</v>
      </c>
      <c r="D409" s="238" t="s">
        <v>831</v>
      </c>
      <c r="E409" s="82" t="s">
        <v>305</v>
      </c>
      <c r="F409" s="249">
        <v>21</v>
      </c>
      <c r="G409" s="74"/>
      <c r="H409" s="74"/>
      <c r="I409" s="74">
        <f t="shared" si="29"/>
        <v>0</v>
      </c>
    </row>
    <row r="410" spans="2:9" s="247" customFormat="1" x14ac:dyDescent="0.25">
      <c r="B410" s="249" t="s">
        <v>2046</v>
      </c>
      <c r="C410" s="69" t="s">
        <v>303</v>
      </c>
      <c r="D410" s="238" t="s">
        <v>638</v>
      </c>
      <c r="E410" s="82" t="s">
        <v>305</v>
      </c>
      <c r="F410" s="249">
        <v>21</v>
      </c>
      <c r="G410" s="74"/>
      <c r="H410" s="74"/>
      <c r="I410" s="74">
        <f t="shared" si="29"/>
        <v>0</v>
      </c>
    </row>
    <row r="411" spans="2:9" s="247" customFormat="1" x14ac:dyDescent="0.25">
      <c r="B411" s="249" t="s">
        <v>2047</v>
      </c>
      <c r="C411" s="69" t="s">
        <v>303</v>
      </c>
      <c r="D411" s="238" t="s">
        <v>834</v>
      </c>
      <c r="E411" s="82" t="s">
        <v>305</v>
      </c>
      <c r="F411" s="249">
        <v>21</v>
      </c>
      <c r="G411" s="74"/>
      <c r="H411" s="74"/>
      <c r="I411" s="74">
        <f t="shared" si="29"/>
        <v>0</v>
      </c>
    </row>
    <row r="412" spans="2:9" s="247" customFormat="1" x14ac:dyDescent="0.25">
      <c r="B412" s="249" t="s">
        <v>2048</v>
      </c>
      <c r="C412" s="69" t="s">
        <v>303</v>
      </c>
      <c r="D412" s="238" t="s">
        <v>836</v>
      </c>
      <c r="E412" s="82" t="s">
        <v>305</v>
      </c>
      <c r="F412" s="249">
        <v>21</v>
      </c>
      <c r="G412" s="74"/>
      <c r="H412" s="74"/>
      <c r="I412" s="74">
        <f t="shared" si="29"/>
        <v>0</v>
      </c>
    </row>
    <row r="413" spans="2:9" s="247" customFormat="1" x14ac:dyDescent="0.25">
      <c r="B413" s="249" t="s">
        <v>2049</v>
      </c>
      <c r="C413" s="69" t="s">
        <v>303</v>
      </c>
      <c r="D413" s="238" t="s">
        <v>838</v>
      </c>
      <c r="E413" s="82" t="s">
        <v>305</v>
      </c>
      <c r="F413" s="249">
        <v>21</v>
      </c>
      <c r="G413" s="74"/>
      <c r="H413" s="74"/>
      <c r="I413" s="74">
        <f t="shared" si="29"/>
        <v>0</v>
      </c>
    </row>
    <row r="414" spans="2:9" s="247" customFormat="1" x14ac:dyDescent="0.25">
      <c r="B414" s="249" t="s">
        <v>2050</v>
      </c>
      <c r="C414" s="69" t="s">
        <v>303</v>
      </c>
      <c r="D414" s="238" t="s">
        <v>840</v>
      </c>
      <c r="E414" s="82" t="s">
        <v>305</v>
      </c>
      <c r="F414" s="249">
        <v>21</v>
      </c>
      <c r="G414" s="74"/>
      <c r="H414" s="74"/>
      <c r="I414" s="74">
        <f t="shared" si="29"/>
        <v>0</v>
      </c>
    </row>
    <row r="415" spans="2:9" s="247" customFormat="1" x14ac:dyDescent="0.25">
      <c r="B415" s="249" t="s">
        <v>2051</v>
      </c>
      <c r="C415" s="69" t="s">
        <v>303</v>
      </c>
      <c r="D415" s="238" t="s">
        <v>842</v>
      </c>
      <c r="E415" s="82" t="s">
        <v>305</v>
      </c>
      <c r="F415" s="249">
        <v>21</v>
      </c>
      <c r="G415" s="74"/>
      <c r="H415" s="74"/>
      <c r="I415" s="74">
        <f t="shared" si="29"/>
        <v>0</v>
      </c>
    </row>
    <row r="416" spans="2:9" s="247" customFormat="1" x14ac:dyDescent="0.25">
      <c r="B416" s="249" t="s">
        <v>2052</v>
      </c>
      <c r="C416" s="69" t="s">
        <v>303</v>
      </c>
      <c r="D416" s="238" t="s">
        <v>844</v>
      </c>
      <c r="E416" s="82" t="s">
        <v>305</v>
      </c>
      <c r="F416" s="249">
        <v>21</v>
      </c>
      <c r="G416" s="74"/>
      <c r="H416" s="74"/>
      <c r="I416" s="74">
        <f t="shared" si="29"/>
        <v>0</v>
      </c>
    </row>
    <row r="417" spans="2:9" s="247" customFormat="1" x14ac:dyDescent="0.25">
      <c r="B417" s="249" t="s">
        <v>2053</v>
      </c>
      <c r="C417" s="69" t="s">
        <v>303</v>
      </c>
      <c r="D417" s="238" t="s">
        <v>846</v>
      </c>
      <c r="E417" s="82" t="s">
        <v>305</v>
      </c>
      <c r="F417" s="249">
        <v>21</v>
      </c>
      <c r="G417" s="74"/>
      <c r="H417" s="74"/>
      <c r="I417" s="74">
        <f t="shared" si="29"/>
        <v>0</v>
      </c>
    </row>
    <row r="418" spans="2:9" s="247" customFormat="1" x14ac:dyDescent="0.25">
      <c r="B418" s="249" t="s">
        <v>2054</v>
      </c>
      <c r="C418" s="69" t="s">
        <v>303</v>
      </c>
      <c r="D418" s="238" t="s">
        <v>848</v>
      </c>
      <c r="E418" s="82" t="s">
        <v>305</v>
      </c>
      <c r="F418" s="249">
        <v>21</v>
      </c>
      <c r="G418" s="74"/>
      <c r="H418" s="74"/>
      <c r="I418" s="74">
        <f t="shared" si="29"/>
        <v>0</v>
      </c>
    </row>
    <row r="419" spans="2:9" s="247" customFormat="1" x14ac:dyDescent="0.25">
      <c r="B419" s="249" t="s">
        <v>2055</v>
      </c>
      <c r="C419" s="69" t="s">
        <v>303</v>
      </c>
      <c r="D419" s="238" t="s">
        <v>850</v>
      </c>
      <c r="E419" s="82" t="s">
        <v>305</v>
      </c>
      <c r="F419" s="249">
        <v>21</v>
      </c>
      <c r="G419" s="74"/>
      <c r="H419" s="74"/>
      <c r="I419" s="74">
        <f t="shared" si="29"/>
        <v>0</v>
      </c>
    </row>
    <row r="420" spans="2:9" s="247" customFormat="1" x14ac:dyDescent="0.25">
      <c r="B420" s="249" t="s">
        <v>2056</v>
      </c>
      <c r="C420" s="69" t="s">
        <v>303</v>
      </c>
      <c r="D420" s="238" t="s">
        <v>852</v>
      </c>
      <c r="E420" s="82" t="s">
        <v>305</v>
      </c>
      <c r="F420" s="249">
        <v>21</v>
      </c>
      <c r="G420" s="74"/>
      <c r="H420" s="74"/>
      <c r="I420" s="74">
        <f t="shared" si="29"/>
        <v>0</v>
      </c>
    </row>
    <row r="421" spans="2:9" s="247" customFormat="1" x14ac:dyDescent="0.25">
      <c r="B421" s="249" t="s">
        <v>2057</v>
      </c>
      <c r="C421" s="69" t="s">
        <v>303</v>
      </c>
      <c r="D421" s="238" t="s">
        <v>854</v>
      </c>
      <c r="E421" s="82" t="s">
        <v>305</v>
      </c>
      <c r="F421" s="249">
        <v>21</v>
      </c>
      <c r="G421" s="74"/>
      <c r="H421" s="74"/>
      <c r="I421" s="74">
        <f t="shared" si="29"/>
        <v>0</v>
      </c>
    </row>
    <row r="422" spans="2:9" s="247" customFormat="1" x14ac:dyDescent="0.25">
      <c r="B422" s="249" t="s">
        <v>2058</v>
      </c>
      <c r="C422" s="69" t="s">
        <v>303</v>
      </c>
      <c r="D422" s="238" t="s">
        <v>856</v>
      </c>
      <c r="E422" s="82" t="s">
        <v>305</v>
      </c>
      <c r="F422" s="249">
        <v>21</v>
      </c>
      <c r="G422" s="74"/>
      <c r="H422" s="74"/>
      <c r="I422" s="74">
        <f t="shared" si="29"/>
        <v>0</v>
      </c>
    </row>
    <row r="423" spans="2:9" s="247" customFormat="1" x14ac:dyDescent="0.25">
      <c r="B423" s="66" t="s">
        <v>2060</v>
      </c>
      <c r="C423" s="66"/>
      <c r="D423" s="67" t="s">
        <v>858</v>
      </c>
      <c r="E423" s="67"/>
      <c r="F423" s="67"/>
      <c r="G423" s="68"/>
      <c r="H423" s="68"/>
      <c r="I423" s="68">
        <f>SUM(I424:I430)</f>
        <v>0</v>
      </c>
    </row>
    <row r="424" spans="2:9" s="247" customFormat="1" x14ac:dyDescent="0.25">
      <c r="B424" s="69" t="s">
        <v>2059</v>
      </c>
      <c r="C424" s="69" t="s">
        <v>303</v>
      </c>
      <c r="D424" s="238" t="s">
        <v>651</v>
      </c>
      <c r="E424" s="82" t="s">
        <v>305</v>
      </c>
      <c r="F424" s="249">
        <v>21</v>
      </c>
      <c r="G424" s="74"/>
      <c r="H424" s="74"/>
      <c r="I424" s="74">
        <f t="shared" si="29"/>
        <v>0</v>
      </c>
    </row>
    <row r="425" spans="2:9" s="247" customFormat="1" x14ac:dyDescent="0.25">
      <c r="B425" s="69" t="s">
        <v>2061</v>
      </c>
      <c r="C425" s="69" t="s">
        <v>303</v>
      </c>
      <c r="D425" s="238" t="s">
        <v>861</v>
      </c>
      <c r="E425" s="82" t="s">
        <v>305</v>
      </c>
      <c r="F425" s="249">
        <v>21</v>
      </c>
      <c r="G425" s="74"/>
      <c r="H425" s="74"/>
      <c r="I425" s="74">
        <f t="shared" si="29"/>
        <v>0</v>
      </c>
    </row>
    <row r="426" spans="2:9" s="247" customFormat="1" x14ac:dyDescent="0.25">
      <c r="B426" s="69" t="s">
        <v>2062</v>
      </c>
      <c r="C426" s="69" t="s">
        <v>303</v>
      </c>
      <c r="D426" s="238" t="s">
        <v>863</v>
      </c>
      <c r="E426" s="82" t="s">
        <v>305</v>
      </c>
      <c r="F426" s="249">
        <v>21</v>
      </c>
      <c r="G426" s="74"/>
      <c r="H426" s="74"/>
      <c r="I426" s="74">
        <f t="shared" si="29"/>
        <v>0</v>
      </c>
    </row>
    <row r="427" spans="2:9" s="247" customFormat="1" x14ac:dyDescent="0.25">
      <c r="B427" s="69" t="s">
        <v>2063</v>
      </c>
      <c r="C427" s="69" t="s">
        <v>303</v>
      </c>
      <c r="D427" s="238" t="s">
        <v>865</v>
      </c>
      <c r="E427" s="82" t="s">
        <v>305</v>
      </c>
      <c r="F427" s="249">
        <v>21</v>
      </c>
      <c r="G427" s="74"/>
      <c r="H427" s="74"/>
      <c r="I427" s="74">
        <f t="shared" si="29"/>
        <v>0</v>
      </c>
    </row>
    <row r="428" spans="2:9" s="247" customFormat="1" x14ac:dyDescent="0.25">
      <c r="B428" s="69" t="s">
        <v>2064</v>
      </c>
      <c r="C428" s="69" t="s">
        <v>303</v>
      </c>
      <c r="D428" s="238" t="s">
        <v>867</v>
      </c>
      <c r="E428" s="82" t="s">
        <v>305</v>
      </c>
      <c r="F428" s="249">
        <v>21</v>
      </c>
      <c r="G428" s="74"/>
      <c r="H428" s="74"/>
      <c r="I428" s="74">
        <f t="shared" si="29"/>
        <v>0</v>
      </c>
    </row>
    <row r="429" spans="2:9" s="247" customFormat="1" x14ac:dyDescent="0.25">
      <c r="B429" s="69" t="s">
        <v>2065</v>
      </c>
      <c r="C429" s="69" t="s">
        <v>303</v>
      </c>
      <c r="D429" s="238" t="s">
        <v>869</v>
      </c>
      <c r="E429" s="82" t="s">
        <v>305</v>
      </c>
      <c r="F429" s="249">
        <v>21</v>
      </c>
      <c r="G429" s="74"/>
      <c r="H429" s="74"/>
      <c r="I429" s="74">
        <f t="shared" si="29"/>
        <v>0</v>
      </c>
    </row>
    <row r="430" spans="2:9" s="247" customFormat="1" x14ac:dyDescent="0.25">
      <c r="B430" s="69" t="s">
        <v>2066</v>
      </c>
      <c r="C430" s="69" t="s">
        <v>303</v>
      </c>
      <c r="D430" s="238" t="s">
        <v>871</v>
      </c>
      <c r="E430" s="82" t="s">
        <v>305</v>
      </c>
      <c r="F430" s="249">
        <v>21</v>
      </c>
      <c r="G430" s="74"/>
      <c r="H430" s="74"/>
      <c r="I430" s="74">
        <f t="shared" si="29"/>
        <v>0</v>
      </c>
    </row>
    <row r="431" spans="2:9" s="247" customFormat="1" x14ac:dyDescent="0.25">
      <c r="B431" s="63" t="s">
        <v>1007</v>
      </c>
      <c r="C431" s="63"/>
      <c r="D431" s="64" t="s">
        <v>5</v>
      </c>
      <c r="E431" s="64"/>
      <c r="F431" s="64"/>
      <c r="G431" s="80">
        <f t="shared" ref="G431:H431" si="30">G432+G433</f>
        <v>0</v>
      </c>
      <c r="H431" s="80">
        <f t="shared" si="30"/>
        <v>0</v>
      </c>
      <c r="I431" s="80">
        <f>SUM(I432:I433)</f>
        <v>0</v>
      </c>
    </row>
    <row r="432" spans="2:9" s="247" customFormat="1" x14ac:dyDescent="0.25">
      <c r="B432" s="69" t="s">
        <v>1390</v>
      </c>
      <c r="C432" s="69" t="s">
        <v>303</v>
      </c>
      <c r="D432" s="238" t="s">
        <v>1388</v>
      </c>
      <c r="E432" s="82" t="s">
        <v>305</v>
      </c>
      <c r="F432" s="249">
        <v>12</v>
      </c>
      <c r="G432" s="74">
        <f>Insumos!D100*2</f>
        <v>0</v>
      </c>
      <c r="H432" s="74">
        <f>G432*0.35</f>
        <v>0</v>
      </c>
      <c r="I432" s="74">
        <f t="shared" si="28"/>
        <v>0</v>
      </c>
    </row>
    <row r="433" spans="2:9" s="247" customFormat="1" x14ac:dyDescent="0.25">
      <c r="B433" s="69" t="s">
        <v>1391</v>
      </c>
      <c r="C433" s="69" t="s">
        <v>303</v>
      </c>
      <c r="D433" s="238" t="s">
        <v>1389</v>
      </c>
      <c r="E433" s="82" t="s">
        <v>305</v>
      </c>
      <c r="F433" s="249">
        <v>12</v>
      </c>
      <c r="G433" s="74">
        <f>Insumos!D101*3</f>
        <v>0</v>
      </c>
      <c r="H433" s="74">
        <f>G433*0.35</f>
        <v>0</v>
      </c>
      <c r="I433" s="74">
        <f t="shared" si="28"/>
        <v>0</v>
      </c>
    </row>
    <row r="434" spans="2:9" s="247" customFormat="1" x14ac:dyDescent="0.25">
      <c r="B434" s="267" t="s">
        <v>1011</v>
      </c>
      <c r="C434" s="267"/>
      <c r="D434" s="268" t="s">
        <v>1012</v>
      </c>
      <c r="E434" s="268"/>
      <c r="F434" s="268"/>
      <c r="G434" s="269"/>
      <c r="H434" s="269"/>
      <c r="I434" s="269">
        <f>SUM(I435:I449)</f>
        <v>0</v>
      </c>
    </row>
    <row r="435" spans="2:9" s="247" customFormat="1" x14ac:dyDescent="0.25">
      <c r="B435" s="69" t="s">
        <v>1775</v>
      </c>
      <c r="C435" s="69" t="s">
        <v>303</v>
      </c>
      <c r="D435" s="238" t="s">
        <v>2430</v>
      </c>
      <c r="E435" s="82" t="s">
        <v>305</v>
      </c>
      <c r="F435" s="69">
        <v>31</v>
      </c>
      <c r="G435" s="74"/>
      <c r="H435" s="74"/>
      <c r="I435" s="74">
        <f t="shared" si="28"/>
        <v>0</v>
      </c>
    </row>
    <row r="436" spans="2:9" s="247" customFormat="1" x14ac:dyDescent="0.25">
      <c r="B436" s="69" t="s">
        <v>1776</v>
      </c>
      <c r="C436" s="69" t="s">
        <v>303</v>
      </c>
      <c r="D436" s="238" t="s">
        <v>1016</v>
      </c>
      <c r="E436" s="82" t="s">
        <v>305</v>
      </c>
      <c r="F436" s="69">
        <v>31</v>
      </c>
      <c r="G436" s="74"/>
      <c r="H436" s="74"/>
      <c r="I436" s="74">
        <f t="shared" si="28"/>
        <v>0</v>
      </c>
    </row>
    <row r="437" spans="2:9" s="247" customFormat="1" x14ac:dyDescent="0.25">
      <c r="B437" s="69" t="s">
        <v>1777</v>
      </c>
      <c r="C437" s="69" t="s">
        <v>303</v>
      </c>
      <c r="D437" s="238" t="s">
        <v>1018</v>
      </c>
      <c r="E437" s="82" t="s">
        <v>305</v>
      </c>
      <c r="F437" s="69">
        <v>31</v>
      </c>
      <c r="G437" s="74"/>
      <c r="H437" s="74"/>
      <c r="I437" s="74">
        <f t="shared" si="28"/>
        <v>0</v>
      </c>
    </row>
    <row r="438" spans="2:9" s="247" customFormat="1" x14ac:dyDescent="0.25">
      <c r="B438" s="69" t="s">
        <v>1778</v>
      </c>
      <c r="C438" s="69" t="s">
        <v>303</v>
      </c>
      <c r="D438" s="238" t="s">
        <v>1020</v>
      </c>
      <c r="E438" s="82" t="s">
        <v>305</v>
      </c>
      <c r="F438" s="69">
        <v>31</v>
      </c>
      <c r="G438" s="74"/>
      <c r="H438" s="74"/>
      <c r="I438" s="74">
        <f t="shared" si="28"/>
        <v>0</v>
      </c>
    </row>
    <row r="439" spans="2:9" s="247" customFormat="1" x14ac:dyDescent="0.25">
      <c r="B439" s="69" t="s">
        <v>1779</v>
      </c>
      <c r="C439" s="69" t="s">
        <v>303</v>
      </c>
      <c r="D439" s="238" t="s">
        <v>1564</v>
      </c>
      <c r="E439" s="82" t="s">
        <v>305</v>
      </c>
      <c r="F439" s="69">
        <v>31</v>
      </c>
      <c r="G439" s="74"/>
      <c r="H439" s="74"/>
      <c r="I439" s="74">
        <f>ROUND((H439+G439),2)</f>
        <v>0</v>
      </c>
    </row>
    <row r="440" spans="2:9" s="247" customFormat="1" x14ac:dyDescent="0.25">
      <c r="B440" s="69" t="s">
        <v>1780</v>
      </c>
      <c r="C440" s="69" t="s">
        <v>303</v>
      </c>
      <c r="D440" s="238" t="s">
        <v>2429</v>
      </c>
      <c r="E440" s="82" t="s">
        <v>305</v>
      </c>
      <c r="F440" s="69">
        <v>31</v>
      </c>
      <c r="G440" s="74"/>
      <c r="H440" s="74"/>
      <c r="I440" s="74">
        <f t="shared" si="28"/>
        <v>0</v>
      </c>
    </row>
    <row r="441" spans="2:9" s="247" customFormat="1" x14ac:dyDescent="0.25">
      <c r="B441" s="69" t="s">
        <v>1781</v>
      </c>
      <c r="C441" s="69" t="s">
        <v>303</v>
      </c>
      <c r="D441" s="238" t="s">
        <v>1565</v>
      </c>
      <c r="E441" s="82" t="s">
        <v>305</v>
      </c>
      <c r="F441" s="69">
        <v>31</v>
      </c>
      <c r="G441" s="74"/>
      <c r="H441" s="74"/>
      <c r="I441" s="74">
        <f t="shared" si="28"/>
        <v>0</v>
      </c>
    </row>
    <row r="442" spans="2:9" s="247" customFormat="1" x14ac:dyDescent="0.25">
      <c r="B442" s="69" t="s">
        <v>1782</v>
      </c>
      <c r="C442" s="69" t="s">
        <v>303</v>
      </c>
      <c r="D442" s="238" t="s">
        <v>1566</v>
      </c>
      <c r="E442" s="82" t="s">
        <v>305</v>
      </c>
      <c r="F442" s="69">
        <v>31</v>
      </c>
      <c r="G442" s="74"/>
      <c r="H442" s="74"/>
      <c r="I442" s="74">
        <f t="shared" si="28"/>
        <v>0</v>
      </c>
    </row>
    <row r="443" spans="2:9" s="247" customFormat="1" x14ac:dyDescent="0.25">
      <c r="B443" s="69" t="s">
        <v>1783</v>
      </c>
      <c r="C443" s="69" t="s">
        <v>303</v>
      </c>
      <c r="D443" s="238" t="s">
        <v>2033</v>
      </c>
      <c r="E443" s="82" t="s">
        <v>305</v>
      </c>
      <c r="F443" s="69">
        <v>31</v>
      </c>
      <c r="G443" s="74"/>
      <c r="H443" s="74"/>
      <c r="I443" s="74">
        <f t="shared" si="28"/>
        <v>0</v>
      </c>
    </row>
    <row r="444" spans="2:9" s="247" customFormat="1" x14ac:dyDescent="0.25">
      <c r="B444" s="69" t="s">
        <v>1784</v>
      </c>
      <c r="C444" s="69" t="s">
        <v>303</v>
      </c>
      <c r="D444" s="238" t="s">
        <v>2034</v>
      </c>
      <c r="E444" s="82" t="s">
        <v>305</v>
      </c>
      <c r="F444" s="69">
        <v>31</v>
      </c>
      <c r="G444" s="74"/>
      <c r="H444" s="74"/>
      <c r="I444" s="74">
        <f t="shared" si="28"/>
        <v>0</v>
      </c>
    </row>
    <row r="445" spans="2:9" s="247" customFormat="1" x14ac:dyDescent="0.25">
      <c r="B445" s="69" t="s">
        <v>1785</v>
      </c>
      <c r="C445" s="69" t="s">
        <v>303</v>
      </c>
      <c r="D445" s="238" t="s">
        <v>2035</v>
      </c>
      <c r="E445" s="82" t="s">
        <v>305</v>
      </c>
      <c r="F445" s="69">
        <v>31</v>
      </c>
      <c r="G445" s="74"/>
      <c r="H445" s="74"/>
      <c r="I445" s="74">
        <f>ROUND((H445+G445),2)</f>
        <v>0</v>
      </c>
    </row>
    <row r="446" spans="2:9" s="247" customFormat="1" x14ac:dyDescent="0.25">
      <c r="B446" s="69" t="s">
        <v>1786</v>
      </c>
      <c r="C446" s="69" t="s">
        <v>303</v>
      </c>
      <c r="D446" s="238" t="s">
        <v>1567</v>
      </c>
      <c r="E446" s="82" t="s">
        <v>305</v>
      </c>
      <c r="F446" s="69">
        <v>31</v>
      </c>
      <c r="G446" s="74"/>
      <c r="H446" s="74"/>
      <c r="I446" s="74">
        <f>ROUND((H446+G446),2)</f>
        <v>0</v>
      </c>
    </row>
    <row r="447" spans="2:9" s="247" customFormat="1" x14ac:dyDescent="0.25">
      <c r="B447" s="69" t="s">
        <v>1787</v>
      </c>
      <c r="C447" s="69" t="s">
        <v>303</v>
      </c>
      <c r="D447" s="238" t="s">
        <v>1038</v>
      </c>
      <c r="E447" s="82" t="s">
        <v>305</v>
      </c>
      <c r="F447" s="69">
        <v>31</v>
      </c>
      <c r="G447" s="74"/>
      <c r="H447" s="74"/>
      <c r="I447" s="74">
        <f t="shared" ref="I447:I462" si="31">ROUND((H447+G447)*F447,2)</f>
        <v>0</v>
      </c>
    </row>
    <row r="448" spans="2:9" s="247" customFormat="1" x14ac:dyDescent="0.25">
      <c r="B448" s="69" t="s">
        <v>1788</v>
      </c>
      <c r="C448" s="69" t="s">
        <v>303</v>
      </c>
      <c r="D448" s="238" t="s">
        <v>2036</v>
      </c>
      <c r="E448" s="82" t="s">
        <v>305</v>
      </c>
      <c r="F448" s="69">
        <v>31</v>
      </c>
      <c r="G448" s="74"/>
      <c r="H448" s="74"/>
      <c r="I448" s="74">
        <f t="shared" si="31"/>
        <v>0</v>
      </c>
    </row>
    <row r="449" spans="2:9" s="247" customFormat="1" x14ac:dyDescent="0.25">
      <c r="B449" s="69" t="s">
        <v>1789</v>
      </c>
      <c r="C449" s="69" t="s">
        <v>303</v>
      </c>
      <c r="D449" s="238" t="s">
        <v>1568</v>
      </c>
      <c r="E449" s="82" t="s">
        <v>305</v>
      </c>
      <c r="F449" s="69">
        <v>31</v>
      </c>
      <c r="G449" s="74"/>
      <c r="H449" s="74"/>
      <c r="I449" s="74">
        <f t="shared" si="31"/>
        <v>0</v>
      </c>
    </row>
    <row r="450" spans="2:9" s="247" customFormat="1" x14ac:dyDescent="0.25">
      <c r="B450" s="267" t="s">
        <v>1039</v>
      </c>
      <c r="C450" s="267"/>
      <c r="D450" s="268" t="s">
        <v>6</v>
      </c>
      <c r="E450" s="268"/>
      <c r="F450" s="268"/>
      <c r="G450" s="269"/>
      <c r="H450" s="269"/>
      <c r="I450" s="269">
        <f>SUM(I451:I459)</f>
        <v>0</v>
      </c>
    </row>
    <row r="451" spans="2:9" s="247" customFormat="1" x14ac:dyDescent="0.25">
      <c r="B451" s="249" t="s">
        <v>1790</v>
      </c>
      <c r="C451" s="69" t="s">
        <v>303</v>
      </c>
      <c r="D451" s="238" t="s">
        <v>2443</v>
      </c>
      <c r="E451" s="82" t="s">
        <v>305</v>
      </c>
      <c r="F451" s="69">
        <v>21</v>
      </c>
      <c r="G451" s="74"/>
      <c r="H451" s="74"/>
      <c r="I451" s="74">
        <f t="shared" ref="I451:I452" si="32">ROUND((H451+G451)*F451,2)</f>
        <v>0</v>
      </c>
    </row>
    <row r="452" spans="2:9" s="247" customFormat="1" x14ac:dyDescent="0.25">
      <c r="B452" s="249" t="s">
        <v>1791</v>
      </c>
      <c r="C452" s="69" t="s">
        <v>303</v>
      </c>
      <c r="D452" s="238" t="s">
        <v>2440</v>
      </c>
      <c r="E452" s="82" t="s">
        <v>305</v>
      </c>
      <c r="F452" s="69">
        <v>21</v>
      </c>
      <c r="G452" s="74"/>
      <c r="H452" s="74"/>
      <c r="I452" s="74">
        <f t="shared" si="32"/>
        <v>0</v>
      </c>
    </row>
    <row r="453" spans="2:9" s="247" customFormat="1" x14ac:dyDescent="0.25">
      <c r="B453" s="249" t="s">
        <v>1792</v>
      </c>
      <c r="C453" s="69" t="s">
        <v>303</v>
      </c>
      <c r="D453" s="238" t="s">
        <v>2441</v>
      </c>
      <c r="E453" s="82" t="s">
        <v>305</v>
      </c>
      <c r="F453" s="69">
        <v>21</v>
      </c>
      <c r="G453" s="74"/>
      <c r="H453" s="74"/>
      <c r="I453" s="74">
        <f t="shared" ref="I453" si="33">ROUND((H453+G453)*F453,2)</f>
        <v>0</v>
      </c>
    </row>
    <row r="454" spans="2:9" s="247" customFormat="1" x14ac:dyDescent="0.25">
      <c r="B454" s="249" t="s">
        <v>1793</v>
      </c>
      <c r="C454" s="69" t="s">
        <v>303</v>
      </c>
      <c r="D454" s="238" t="s">
        <v>2442</v>
      </c>
      <c r="E454" s="82" t="s">
        <v>305</v>
      </c>
      <c r="F454" s="69">
        <v>21</v>
      </c>
      <c r="G454" s="74"/>
      <c r="H454" s="74"/>
      <c r="I454" s="74">
        <f t="shared" si="31"/>
        <v>0</v>
      </c>
    </row>
    <row r="455" spans="2:9" s="247" customFormat="1" x14ac:dyDescent="0.25">
      <c r="B455" s="249" t="s">
        <v>1794</v>
      </c>
      <c r="C455" s="69" t="s">
        <v>303</v>
      </c>
      <c r="D455" s="238" t="s">
        <v>1051</v>
      </c>
      <c r="E455" s="82" t="s">
        <v>305</v>
      </c>
      <c r="F455" s="69">
        <v>21</v>
      </c>
      <c r="G455" s="74"/>
      <c r="H455" s="74"/>
      <c r="I455" s="74">
        <f t="shared" si="31"/>
        <v>0</v>
      </c>
    </row>
    <row r="456" spans="2:9" s="247" customFormat="1" x14ac:dyDescent="0.25">
      <c r="B456" s="249" t="s">
        <v>1795</v>
      </c>
      <c r="C456" s="69" t="s">
        <v>303</v>
      </c>
      <c r="D456" s="238" t="s">
        <v>1053</v>
      </c>
      <c r="E456" s="82" t="s">
        <v>305</v>
      </c>
      <c r="F456" s="69">
        <v>21</v>
      </c>
      <c r="G456" s="74"/>
      <c r="H456" s="74"/>
      <c r="I456" s="74">
        <f t="shared" si="31"/>
        <v>0</v>
      </c>
    </row>
    <row r="457" spans="2:9" s="247" customFormat="1" x14ac:dyDescent="0.25">
      <c r="B457" s="249" t="s">
        <v>1796</v>
      </c>
      <c r="C457" s="69" t="s">
        <v>303</v>
      </c>
      <c r="D457" s="238" t="s">
        <v>1055</v>
      </c>
      <c r="E457" s="82" t="s">
        <v>305</v>
      </c>
      <c r="F457" s="69">
        <v>21</v>
      </c>
      <c r="G457" s="74"/>
      <c r="H457" s="74"/>
      <c r="I457" s="74">
        <f t="shared" si="31"/>
        <v>0</v>
      </c>
    </row>
    <row r="458" spans="2:9" s="247" customFormat="1" ht="25.5" x14ac:dyDescent="0.25">
      <c r="B458" s="249" t="s">
        <v>1797</v>
      </c>
      <c r="C458" s="69" t="s">
        <v>303</v>
      </c>
      <c r="D458" s="238" t="s">
        <v>1057</v>
      </c>
      <c r="E458" s="82" t="s">
        <v>305</v>
      </c>
      <c r="F458" s="69">
        <v>21</v>
      </c>
      <c r="G458" s="74"/>
      <c r="H458" s="74"/>
      <c r="I458" s="74">
        <f t="shared" si="31"/>
        <v>0</v>
      </c>
    </row>
    <row r="459" spans="2:9" s="247" customFormat="1" ht="25.5" x14ac:dyDescent="0.25">
      <c r="B459" s="249" t="s">
        <v>1798</v>
      </c>
      <c r="C459" s="69" t="s">
        <v>303</v>
      </c>
      <c r="D459" s="238" t="s">
        <v>1059</v>
      </c>
      <c r="E459" s="82" t="s">
        <v>305</v>
      </c>
      <c r="F459" s="69">
        <v>21</v>
      </c>
      <c r="G459" s="74"/>
      <c r="H459" s="74"/>
      <c r="I459" s="74">
        <f t="shared" si="31"/>
        <v>0</v>
      </c>
    </row>
    <row r="460" spans="2:9" s="247" customFormat="1" x14ac:dyDescent="0.25">
      <c r="B460" s="267" t="s">
        <v>1569</v>
      </c>
      <c r="C460" s="267"/>
      <c r="D460" s="268" t="s">
        <v>7</v>
      </c>
      <c r="E460" s="268"/>
      <c r="F460" s="268"/>
      <c r="G460" s="269"/>
      <c r="H460" s="269"/>
      <c r="I460" s="269">
        <f>SUM(I461:I462)</f>
        <v>0</v>
      </c>
    </row>
    <row r="461" spans="2:9" s="247" customFormat="1" x14ac:dyDescent="0.25">
      <c r="B461" s="69" t="s">
        <v>1799</v>
      </c>
      <c r="C461" s="69" t="s">
        <v>303</v>
      </c>
      <c r="D461" s="70" t="s">
        <v>1061</v>
      </c>
      <c r="E461" s="69" t="s">
        <v>305</v>
      </c>
      <c r="F461" s="69">
        <v>21</v>
      </c>
      <c r="G461" s="74"/>
      <c r="H461" s="74"/>
      <c r="I461" s="74">
        <f t="shared" si="31"/>
        <v>0</v>
      </c>
    </row>
    <row r="462" spans="2:9" s="247" customFormat="1" ht="25.5" x14ac:dyDescent="0.25">
      <c r="B462" s="381" t="s">
        <v>1800</v>
      </c>
      <c r="C462" s="381" t="s">
        <v>303</v>
      </c>
      <c r="D462" s="477" t="s">
        <v>1063</v>
      </c>
      <c r="E462" s="381" t="s">
        <v>305</v>
      </c>
      <c r="F462" s="381">
        <v>21</v>
      </c>
      <c r="G462" s="74"/>
      <c r="H462" s="74"/>
      <c r="I462" s="74">
        <f t="shared" si="31"/>
        <v>0</v>
      </c>
    </row>
    <row r="463" spans="2:9" s="247" customFormat="1" ht="25.5" x14ac:dyDescent="0.25">
      <c r="B463" s="267" t="s">
        <v>2139</v>
      </c>
      <c r="C463" s="267"/>
      <c r="D463" s="268" t="s">
        <v>2140</v>
      </c>
      <c r="E463" s="268"/>
      <c r="F463" s="268"/>
      <c r="G463" s="269" t="s">
        <v>2222</v>
      </c>
      <c r="H463" s="269" t="s">
        <v>2223</v>
      </c>
      <c r="I463" s="269">
        <f>I464+I502+I515</f>
        <v>0</v>
      </c>
    </row>
    <row r="464" spans="2:9" s="247" customFormat="1" x14ac:dyDescent="0.25">
      <c r="B464" s="474" t="s">
        <v>2224</v>
      </c>
      <c r="C464" s="474"/>
      <c r="D464" s="475" t="s">
        <v>2141</v>
      </c>
      <c r="E464" s="475"/>
      <c r="F464" s="475"/>
      <c r="G464" s="476"/>
      <c r="H464" s="476"/>
      <c r="I464" s="476">
        <f>I465+I472+I478+I482+I488+I498+I500</f>
        <v>0</v>
      </c>
    </row>
    <row r="465" spans="2:9" s="247" customFormat="1" x14ac:dyDescent="0.25">
      <c r="B465" s="454" t="s">
        <v>2225</v>
      </c>
      <c r="C465" s="454"/>
      <c r="D465" s="455" t="s">
        <v>2142</v>
      </c>
      <c r="E465" s="455"/>
      <c r="F465" s="455"/>
      <c r="G465" s="456"/>
      <c r="H465" s="457"/>
      <c r="I465" s="457">
        <f>SUM(I466:I471)</f>
        <v>0</v>
      </c>
    </row>
    <row r="466" spans="2:9" s="247" customFormat="1" ht="38.25" x14ac:dyDescent="0.25">
      <c r="B466" s="381" t="s">
        <v>2280</v>
      </c>
      <c r="C466" s="381" t="s">
        <v>2226</v>
      </c>
      <c r="D466" s="451" t="s">
        <v>2143</v>
      </c>
      <c r="E466" s="452" t="s">
        <v>2144</v>
      </c>
      <c r="F466" s="452">
        <v>100</v>
      </c>
      <c r="G466" s="453"/>
      <c r="H466" s="74">
        <f>ROUND(G466*(1+BDI!$G$20),2)</f>
        <v>0</v>
      </c>
      <c r="I466" s="74">
        <f>ROUND(H466*F466,2)</f>
        <v>0</v>
      </c>
    </row>
    <row r="467" spans="2:9" s="247" customFormat="1" ht="25.5" x14ac:dyDescent="0.25">
      <c r="B467" s="381" t="s">
        <v>2281</v>
      </c>
      <c r="C467" s="381" t="s">
        <v>2227</v>
      </c>
      <c r="D467" s="451" t="s">
        <v>2145</v>
      </c>
      <c r="E467" s="452" t="s">
        <v>2146</v>
      </c>
      <c r="F467" s="452">
        <v>35</v>
      </c>
      <c r="G467" s="453"/>
      <c r="H467" s="74">
        <f>ROUND(G467*(1+BDI!$G$20),2)</f>
        <v>0</v>
      </c>
      <c r="I467" s="74">
        <f t="shared" ref="I467:I530" si="34">ROUND(H467*F467,2)</f>
        <v>0</v>
      </c>
    </row>
    <row r="468" spans="2:9" s="247" customFormat="1" ht="38.25" x14ac:dyDescent="0.25">
      <c r="B468" s="381" t="s">
        <v>2282</v>
      </c>
      <c r="C468" s="381" t="s">
        <v>2228</v>
      </c>
      <c r="D468" s="451" t="s">
        <v>2147</v>
      </c>
      <c r="E468" s="452" t="s">
        <v>2146</v>
      </c>
      <c r="F468" s="452">
        <v>10.8</v>
      </c>
      <c r="G468" s="453"/>
      <c r="H468" s="74">
        <f>ROUND(G468*(1+BDI!$G$20),2)</f>
        <v>0</v>
      </c>
      <c r="I468" s="74">
        <f t="shared" si="34"/>
        <v>0</v>
      </c>
    </row>
    <row r="469" spans="2:9" s="247" customFormat="1" ht="25.5" x14ac:dyDescent="0.25">
      <c r="B469" s="381" t="s">
        <v>2283</v>
      </c>
      <c r="C469" s="381" t="s">
        <v>2229</v>
      </c>
      <c r="D469" s="451" t="s">
        <v>2148</v>
      </c>
      <c r="E469" s="452" t="s">
        <v>2144</v>
      </c>
      <c r="F469" s="452">
        <v>35</v>
      </c>
      <c r="G469" s="453"/>
      <c r="H469" s="74">
        <f>ROUND(G469*(1+BDI!$G$20),2)</f>
        <v>0</v>
      </c>
      <c r="I469" s="74">
        <f t="shared" si="34"/>
        <v>0</v>
      </c>
    </row>
    <row r="470" spans="2:9" s="247" customFormat="1" ht="25.5" x14ac:dyDescent="0.25">
      <c r="B470" s="381" t="s">
        <v>2284</v>
      </c>
      <c r="C470" s="381" t="s">
        <v>2230</v>
      </c>
      <c r="D470" s="451" t="s">
        <v>2149</v>
      </c>
      <c r="E470" s="452" t="s">
        <v>2144</v>
      </c>
      <c r="F470" s="452">
        <v>40</v>
      </c>
      <c r="G470" s="453"/>
      <c r="H470" s="74">
        <f>ROUND(G470*(1+BDI!$G$20),2)</f>
        <v>0</v>
      </c>
      <c r="I470" s="74">
        <f t="shared" si="34"/>
        <v>0</v>
      </c>
    </row>
    <row r="471" spans="2:9" s="247" customFormat="1" x14ac:dyDescent="0.25">
      <c r="B471" s="381" t="s">
        <v>2285</v>
      </c>
      <c r="C471" s="381" t="s">
        <v>2231</v>
      </c>
      <c r="D471" s="451" t="s">
        <v>2150</v>
      </c>
      <c r="E471" s="452" t="s">
        <v>1089</v>
      </c>
      <c r="F471" s="452">
        <v>40</v>
      </c>
      <c r="G471" s="453"/>
      <c r="H471" s="74">
        <f>ROUND(G471*(1+BDI!$G$20),2)</f>
        <v>0</v>
      </c>
      <c r="I471" s="74">
        <f t="shared" si="34"/>
        <v>0</v>
      </c>
    </row>
    <row r="472" spans="2:9" s="247" customFormat="1" x14ac:dyDescent="0.25">
      <c r="B472" s="454" t="s">
        <v>2286</v>
      </c>
      <c r="C472" s="454"/>
      <c r="D472" s="455" t="s">
        <v>2151</v>
      </c>
      <c r="E472" s="455"/>
      <c r="F472" s="455"/>
      <c r="G472" s="456"/>
      <c r="H472" s="456"/>
      <c r="I472" s="457">
        <f>SUM(I473:I477)</f>
        <v>0</v>
      </c>
    </row>
    <row r="473" spans="2:9" s="247" customFormat="1" ht="51" x14ac:dyDescent="0.25">
      <c r="B473" s="381" t="s">
        <v>2287</v>
      </c>
      <c r="C473" s="381" t="s">
        <v>2232</v>
      </c>
      <c r="D473" s="451" t="s">
        <v>2152</v>
      </c>
      <c r="E473" s="452" t="s">
        <v>1940</v>
      </c>
      <c r="F473" s="452">
        <v>60</v>
      </c>
      <c r="G473" s="453"/>
      <c r="H473" s="74">
        <f>ROUND(G473*(1+BDI!$G$20),2)</f>
        <v>0</v>
      </c>
      <c r="I473" s="74">
        <f t="shared" si="34"/>
        <v>0</v>
      </c>
    </row>
    <row r="474" spans="2:9" s="247" customFormat="1" ht="38.25" x14ac:dyDescent="0.25">
      <c r="B474" s="381" t="s">
        <v>2288</v>
      </c>
      <c r="C474" s="381" t="s">
        <v>2233</v>
      </c>
      <c r="D474" s="451" t="s">
        <v>2153</v>
      </c>
      <c r="E474" s="452" t="s">
        <v>2146</v>
      </c>
      <c r="F474" s="452">
        <v>13.2</v>
      </c>
      <c r="G474" s="453"/>
      <c r="H474" s="74">
        <f>ROUND(G474*(1+BDI!$G$20),2)</f>
        <v>0</v>
      </c>
      <c r="I474" s="74">
        <f t="shared" si="34"/>
        <v>0</v>
      </c>
    </row>
    <row r="475" spans="2:9" s="247" customFormat="1" ht="38.25" x14ac:dyDescent="0.25">
      <c r="B475" s="381" t="s">
        <v>2289</v>
      </c>
      <c r="C475" s="381" t="s">
        <v>2234</v>
      </c>
      <c r="D475" s="451" t="s">
        <v>2154</v>
      </c>
      <c r="E475" s="452" t="s">
        <v>2144</v>
      </c>
      <c r="F475" s="452">
        <v>50</v>
      </c>
      <c r="G475" s="453"/>
      <c r="H475" s="74">
        <f>ROUND(G475*(1+BDI!$G$20),2)</f>
        <v>0</v>
      </c>
      <c r="I475" s="74">
        <f t="shared" si="34"/>
        <v>0</v>
      </c>
    </row>
    <row r="476" spans="2:9" s="247" customFormat="1" ht="38.25" x14ac:dyDescent="0.25">
      <c r="B476" s="381" t="s">
        <v>2290</v>
      </c>
      <c r="C476" s="381" t="s">
        <v>2235</v>
      </c>
      <c r="D476" s="451" t="s">
        <v>2155</v>
      </c>
      <c r="E476" s="452" t="s">
        <v>2146</v>
      </c>
      <c r="F476" s="452">
        <v>1</v>
      </c>
      <c r="G476" s="453"/>
      <c r="H476" s="74">
        <f>ROUND(G476*(1+BDI!$G$20),2)</f>
        <v>0</v>
      </c>
      <c r="I476" s="74">
        <f t="shared" si="34"/>
        <v>0</v>
      </c>
    </row>
    <row r="477" spans="2:9" s="247" customFormat="1" ht="38.25" x14ac:dyDescent="0.25">
      <c r="B477" s="381" t="s">
        <v>2291</v>
      </c>
      <c r="C477" s="381" t="s">
        <v>2236</v>
      </c>
      <c r="D477" s="451" t="s">
        <v>2156</v>
      </c>
      <c r="E477" s="452" t="s">
        <v>2144</v>
      </c>
      <c r="F477" s="452">
        <v>40</v>
      </c>
      <c r="G477" s="453"/>
      <c r="H477" s="74">
        <f>ROUND(G477*(1+BDI!$G$20),2)</f>
        <v>0</v>
      </c>
      <c r="I477" s="74">
        <f t="shared" si="34"/>
        <v>0</v>
      </c>
    </row>
    <row r="478" spans="2:9" s="247" customFormat="1" x14ac:dyDescent="0.25">
      <c r="B478" s="454" t="s">
        <v>2292</v>
      </c>
      <c r="C478" s="454"/>
      <c r="D478" s="455" t="s">
        <v>2157</v>
      </c>
      <c r="E478" s="455"/>
      <c r="F478" s="455"/>
      <c r="G478" s="456"/>
      <c r="H478" s="456"/>
      <c r="I478" s="457">
        <f>SUM(I479:I481)</f>
        <v>0</v>
      </c>
    </row>
    <row r="479" spans="2:9" s="247" customFormat="1" ht="51" x14ac:dyDescent="0.25">
      <c r="B479" s="381" t="s">
        <v>2293</v>
      </c>
      <c r="C479" s="381" t="s">
        <v>2237</v>
      </c>
      <c r="D479" s="451" t="s">
        <v>2158</v>
      </c>
      <c r="E479" s="452" t="s">
        <v>2144</v>
      </c>
      <c r="F479" s="452">
        <v>19.5</v>
      </c>
      <c r="G479" s="453"/>
      <c r="H479" s="74">
        <f>ROUND(G479*(1+BDI!$G$20),2)</f>
        <v>0</v>
      </c>
      <c r="I479" s="74">
        <f t="shared" si="34"/>
        <v>0</v>
      </c>
    </row>
    <row r="480" spans="2:9" s="247" customFormat="1" ht="51" x14ac:dyDescent="0.25">
      <c r="B480" s="381" t="s">
        <v>2294</v>
      </c>
      <c r="C480" s="381" t="s">
        <v>2238</v>
      </c>
      <c r="D480" s="451" t="s">
        <v>2159</v>
      </c>
      <c r="E480" s="452" t="s">
        <v>2144</v>
      </c>
      <c r="F480" s="452">
        <v>39</v>
      </c>
      <c r="G480" s="453"/>
      <c r="H480" s="74">
        <f>ROUND(G480*(1+BDI!$G$20),2)</f>
        <v>0</v>
      </c>
      <c r="I480" s="74">
        <f t="shared" si="34"/>
        <v>0</v>
      </c>
    </row>
    <row r="481" spans="2:9" s="247" customFormat="1" ht="51" x14ac:dyDescent="0.25">
      <c r="B481" s="381" t="s">
        <v>2295</v>
      </c>
      <c r="C481" s="381" t="s">
        <v>2239</v>
      </c>
      <c r="D481" s="451" t="s">
        <v>2160</v>
      </c>
      <c r="E481" s="452" t="s">
        <v>2144</v>
      </c>
      <c r="F481" s="452">
        <v>39</v>
      </c>
      <c r="G481" s="453"/>
      <c r="H481" s="74">
        <f>ROUND(G481*(1+BDI!$G$20),2)</f>
        <v>0</v>
      </c>
      <c r="I481" s="74">
        <f t="shared" si="34"/>
        <v>0</v>
      </c>
    </row>
    <row r="482" spans="2:9" s="247" customFormat="1" x14ac:dyDescent="0.25">
      <c r="B482" s="454" t="s">
        <v>2296</v>
      </c>
      <c r="C482" s="454"/>
      <c r="D482" s="455" t="s">
        <v>2161</v>
      </c>
      <c r="E482" s="455"/>
      <c r="F482" s="455"/>
      <c r="G482" s="456"/>
      <c r="H482" s="456"/>
      <c r="I482" s="457">
        <f>SUM(I483:I487)</f>
        <v>0</v>
      </c>
    </row>
    <row r="483" spans="2:9" s="247" customFormat="1" x14ac:dyDescent="0.25">
      <c r="B483" s="381" t="s">
        <v>2297</v>
      </c>
      <c r="C483" s="381" t="s">
        <v>2240</v>
      </c>
      <c r="D483" s="451" t="s">
        <v>2162</v>
      </c>
      <c r="E483" s="452" t="s">
        <v>1119</v>
      </c>
      <c r="F483" s="452">
        <v>25</v>
      </c>
      <c r="G483" s="453"/>
      <c r="H483" s="74">
        <f>ROUND(G483*(1+BDI!$G$20),2)</f>
        <v>0</v>
      </c>
      <c r="I483" s="74">
        <f t="shared" si="34"/>
        <v>0</v>
      </c>
    </row>
    <row r="484" spans="2:9" s="247" customFormat="1" ht="25.5" x14ac:dyDescent="0.25">
      <c r="B484" s="381" t="s">
        <v>2298</v>
      </c>
      <c r="C484" s="381" t="s">
        <v>2241</v>
      </c>
      <c r="D484" s="451" t="s">
        <v>2163</v>
      </c>
      <c r="E484" s="452" t="s">
        <v>1119</v>
      </c>
      <c r="F484" s="452">
        <v>25</v>
      </c>
      <c r="G484" s="453"/>
      <c r="H484" s="74">
        <f>ROUND(G484*(1+BDI!$G$20),2)</f>
        <v>0</v>
      </c>
      <c r="I484" s="74">
        <f t="shared" si="34"/>
        <v>0</v>
      </c>
    </row>
    <row r="485" spans="2:9" s="247" customFormat="1" ht="63.75" x14ac:dyDescent="0.25">
      <c r="B485" s="381" t="s">
        <v>2299</v>
      </c>
      <c r="C485" s="381" t="s">
        <v>2242</v>
      </c>
      <c r="D485" s="451" t="s">
        <v>2164</v>
      </c>
      <c r="E485" s="452" t="s">
        <v>1940</v>
      </c>
      <c r="F485" s="452">
        <v>20</v>
      </c>
      <c r="G485" s="453"/>
      <c r="H485" s="74">
        <f>ROUND(G485*(1+BDI!$G$20),2)</f>
        <v>0</v>
      </c>
      <c r="I485" s="74">
        <f t="shared" si="34"/>
        <v>0</v>
      </c>
    </row>
    <row r="486" spans="2:9" s="247" customFormat="1" ht="25.5" x14ac:dyDescent="0.25">
      <c r="B486" s="381" t="s">
        <v>2300</v>
      </c>
      <c r="C486" s="381" t="s">
        <v>2243</v>
      </c>
      <c r="D486" s="451" t="s">
        <v>2165</v>
      </c>
      <c r="E486" s="452" t="s">
        <v>2144</v>
      </c>
      <c r="F486" s="452">
        <v>14.84</v>
      </c>
      <c r="G486" s="453"/>
      <c r="H486" s="74">
        <f>ROUND(G486*(1+BDI!$G$20),2)</f>
        <v>0</v>
      </c>
      <c r="I486" s="74">
        <f t="shared" si="34"/>
        <v>0</v>
      </c>
    </row>
    <row r="487" spans="2:9" s="247" customFormat="1" ht="25.5" x14ac:dyDescent="0.25">
      <c r="B487" s="381" t="s">
        <v>2301</v>
      </c>
      <c r="C487" s="381" t="s">
        <v>2244</v>
      </c>
      <c r="D487" s="451" t="s">
        <v>2166</v>
      </c>
      <c r="E487" s="452" t="s">
        <v>1940</v>
      </c>
      <c r="F487" s="452">
        <v>28</v>
      </c>
      <c r="G487" s="453"/>
      <c r="H487" s="74">
        <f>ROUND(G487*(1+BDI!$G$20),2)</f>
        <v>0</v>
      </c>
      <c r="I487" s="74">
        <f t="shared" si="34"/>
        <v>0</v>
      </c>
    </row>
    <row r="488" spans="2:9" s="247" customFormat="1" x14ac:dyDescent="0.25">
      <c r="B488" s="454" t="s">
        <v>2302</v>
      </c>
      <c r="C488" s="454"/>
      <c r="D488" s="455" t="s">
        <v>2167</v>
      </c>
      <c r="E488" s="455"/>
      <c r="F488" s="455"/>
      <c r="G488" s="456"/>
      <c r="H488" s="456"/>
      <c r="I488" s="457">
        <f>SUM(I489:I497)</f>
        <v>0</v>
      </c>
    </row>
    <row r="489" spans="2:9" s="247" customFormat="1" ht="25.5" x14ac:dyDescent="0.25">
      <c r="B489" s="381" t="s">
        <v>2303</v>
      </c>
      <c r="C489" s="381" t="s">
        <v>2245</v>
      </c>
      <c r="D489" s="451" t="s">
        <v>2169</v>
      </c>
      <c r="E489" s="452" t="s">
        <v>1119</v>
      </c>
      <c r="F489" s="452">
        <v>30</v>
      </c>
      <c r="G489" s="453"/>
      <c r="H489" s="74">
        <f>ROUND(G489*(1+BDI!$G$20),2)</f>
        <v>0</v>
      </c>
      <c r="I489" s="74">
        <f t="shared" si="34"/>
        <v>0</v>
      </c>
    </row>
    <row r="490" spans="2:9" s="247" customFormat="1" ht="25.5" x14ac:dyDescent="0.25">
      <c r="B490" s="381" t="s">
        <v>2304</v>
      </c>
      <c r="C490" s="381" t="s">
        <v>2246</v>
      </c>
      <c r="D490" s="451" t="s">
        <v>2170</v>
      </c>
      <c r="E490" s="452" t="s">
        <v>1940</v>
      </c>
      <c r="F490" s="452">
        <v>50</v>
      </c>
      <c r="G490" s="453"/>
      <c r="H490" s="74">
        <f>ROUND(G490*(1+BDI!$G$20),2)</f>
        <v>0</v>
      </c>
      <c r="I490" s="74">
        <f t="shared" si="34"/>
        <v>0</v>
      </c>
    </row>
    <row r="491" spans="2:9" s="247" customFormat="1" ht="25.5" x14ac:dyDescent="0.25">
      <c r="B491" s="381" t="s">
        <v>2305</v>
      </c>
      <c r="C491" s="381" t="s">
        <v>2247</v>
      </c>
      <c r="D491" s="451" t="s">
        <v>2171</v>
      </c>
      <c r="E491" s="452" t="s">
        <v>1940</v>
      </c>
      <c r="F491" s="452">
        <v>10</v>
      </c>
      <c r="G491" s="453"/>
      <c r="H491" s="74">
        <f>ROUND(G491*(1+BDI!$G$20),2)</f>
        <v>0</v>
      </c>
      <c r="I491" s="74">
        <f t="shared" si="34"/>
        <v>0</v>
      </c>
    </row>
    <row r="492" spans="2:9" s="247" customFormat="1" ht="25.5" x14ac:dyDescent="0.25">
      <c r="B492" s="381" t="s">
        <v>2306</v>
      </c>
      <c r="C492" s="381" t="s">
        <v>2248</v>
      </c>
      <c r="D492" s="451" t="s">
        <v>2172</v>
      </c>
      <c r="E492" s="452" t="s">
        <v>2173</v>
      </c>
      <c r="F492" s="452">
        <v>2</v>
      </c>
      <c r="G492" s="453"/>
      <c r="H492" s="74">
        <f>ROUND(G492*(1+BDI!$G$20),2)</f>
        <v>0</v>
      </c>
      <c r="I492" s="74">
        <f t="shared" si="34"/>
        <v>0</v>
      </c>
    </row>
    <row r="493" spans="2:9" s="247" customFormat="1" x14ac:dyDescent="0.25">
      <c r="B493" s="381" t="s">
        <v>2307</v>
      </c>
      <c r="C493" s="381" t="s">
        <v>2249</v>
      </c>
      <c r="D493" s="451" t="s">
        <v>2174</v>
      </c>
      <c r="E493" s="452" t="s">
        <v>2173</v>
      </c>
      <c r="F493" s="452">
        <v>6</v>
      </c>
      <c r="G493" s="453"/>
      <c r="H493" s="74">
        <f>ROUND(G493*(1+BDI!$G$20),2)</f>
        <v>0</v>
      </c>
      <c r="I493" s="74">
        <f t="shared" si="34"/>
        <v>0</v>
      </c>
    </row>
    <row r="494" spans="2:9" s="247" customFormat="1" ht="25.5" x14ac:dyDescent="0.25">
      <c r="B494" s="381" t="s">
        <v>2308</v>
      </c>
      <c r="C494" s="381" t="s">
        <v>2250</v>
      </c>
      <c r="D494" s="451" t="s">
        <v>2175</v>
      </c>
      <c r="E494" s="452" t="s">
        <v>2173</v>
      </c>
      <c r="F494" s="452">
        <v>10</v>
      </c>
      <c r="G494" s="453"/>
      <c r="H494" s="74">
        <f>ROUND(G494*(1+BDI!$G$20),2)</f>
        <v>0</v>
      </c>
      <c r="I494" s="74">
        <f t="shared" si="34"/>
        <v>0</v>
      </c>
    </row>
    <row r="495" spans="2:9" s="247" customFormat="1" ht="25.5" x14ac:dyDescent="0.25">
      <c r="B495" s="381" t="s">
        <v>2309</v>
      </c>
      <c r="C495" s="381" t="s">
        <v>2251</v>
      </c>
      <c r="D495" s="451" t="s">
        <v>2176</v>
      </c>
      <c r="E495" s="452" t="s">
        <v>2173</v>
      </c>
      <c r="F495" s="452">
        <v>10</v>
      </c>
      <c r="G495" s="453"/>
      <c r="H495" s="74">
        <f>ROUND(G495*(1+BDI!$G$20),2)</f>
        <v>0</v>
      </c>
      <c r="I495" s="74">
        <f t="shared" si="34"/>
        <v>0</v>
      </c>
    </row>
    <row r="496" spans="2:9" s="247" customFormat="1" ht="25.5" x14ac:dyDescent="0.25">
      <c r="B496" s="381" t="s">
        <v>2310</v>
      </c>
      <c r="C496" s="381" t="s">
        <v>2252</v>
      </c>
      <c r="D496" s="451" t="s">
        <v>2177</v>
      </c>
      <c r="E496" s="452" t="s">
        <v>2178</v>
      </c>
      <c r="F496" s="452">
        <v>40</v>
      </c>
      <c r="G496" s="453"/>
      <c r="H496" s="74">
        <f>ROUND(G496*(1+BDI!$G$20),2)</f>
        <v>0</v>
      </c>
      <c r="I496" s="74">
        <f t="shared" si="34"/>
        <v>0</v>
      </c>
    </row>
    <row r="497" spans="2:9" s="247" customFormat="1" ht="38.25" x14ac:dyDescent="0.25">
      <c r="B497" s="381" t="s">
        <v>2311</v>
      </c>
      <c r="C497" s="381" t="s">
        <v>2253</v>
      </c>
      <c r="D497" s="451" t="s">
        <v>2181</v>
      </c>
      <c r="E497" s="452" t="s">
        <v>1940</v>
      </c>
      <c r="F497" s="452">
        <v>40</v>
      </c>
      <c r="G497" s="453"/>
      <c r="H497" s="74">
        <f>ROUND(G497*(1+BDI!$G$20),2)</f>
        <v>0</v>
      </c>
      <c r="I497" s="74">
        <f t="shared" si="34"/>
        <v>0</v>
      </c>
    </row>
    <row r="498" spans="2:9" s="247" customFormat="1" x14ac:dyDescent="0.25">
      <c r="B498" s="454" t="s">
        <v>2312</v>
      </c>
      <c r="C498" s="454"/>
      <c r="D498" s="455" t="s">
        <v>2182</v>
      </c>
      <c r="E498" s="455"/>
      <c r="F498" s="455"/>
      <c r="G498" s="456"/>
      <c r="H498" s="456"/>
      <c r="I498" s="457">
        <f>SUM(I499)</f>
        <v>0</v>
      </c>
    </row>
    <row r="499" spans="2:9" s="247" customFormat="1" ht="51" x14ac:dyDescent="0.25">
      <c r="B499" s="381" t="s">
        <v>2313</v>
      </c>
      <c r="C499" s="381" t="s">
        <v>2254</v>
      </c>
      <c r="D499" s="451" t="s">
        <v>2183</v>
      </c>
      <c r="E499" s="452" t="s">
        <v>2144</v>
      </c>
      <c r="F499" s="452">
        <v>51.99</v>
      </c>
      <c r="G499" s="453"/>
      <c r="H499" s="74">
        <f>ROUND(G499*(1+BDI!$G$20),2)</f>
        <v>0</v>
      </c>
      <c r="I499" s="74">
        <f t="shared" si="34"/>
        <v>0</v>
      </c>
    </row>
    <row r="500" spans="2:9" s="247" customFormat="1" x14ac:dyDescent="0.25">
      <c r="B500" s="454" t="s">
        <v>2314</v>
      </c>
      <c r="C500" s="454"/>
      <c r="D500" s="455" t="s">
        <v>2184</v>
      </c>
      <c r="E500" s="455"/>
      <c r="F500" s="455"/>
      <c r="G500" s="456"/>
      <c r="H500" s="456"/>
      <c r="I500" s="457">
        <f>SUM(I501)</f>
        <v>0</v>
      </c>
    </row>
    <row r="501" spans="2:9" s="247" customFormat="1" ht="51" x14ac:dyDescent="0.25">
      <c r="B501" s="381" t="s">
        <v>2315</v>
      </c>
      <c r="C501" s="381" t="s">
        <v>2255</v>
      </c>
      <c r="D501" s="451" t="s">
        <v>2185</v>
      </c>
      <c r="E501" s="452" t="s">
        <v>2173</v>
      </c>
      <c r="F501" s="452">
        <v>5</v>
      </c>
      <c r="G501" s="453"/>
      <c r="H501" s="74">
        <f>ROUND(G501*(1+BDI!$G$20),2)</f>
        <v>0</v>
      </c>
      <c r="I501" s="74">
        <f t="shared" si="34"/>
        <v>0</v>
      </c>
    </row>
    <row r="502" spans="2:9" s="247" customFormat="1" x14ac:dyDescent="0.25">
      <c r="B502" s="474" t="s">
        <v>2316</v>
      </c>
      <c r="C502" s="474"/>
      <c r="D502" s="475" t="s">
        <v>2186</v>
      </c>
      <c r="E502" s="475"/>
      <c r="F502" s="475"/>
      <c r="G502" s="476"/>
      <c r="H502" s="476"/>
      <c r="I502" s="476">
        <f>I503+I506+I511+I513</f>
        <v>0</v>
      </c>
    </row>
    <row r="503" spans="2:9" s="247" customFormat="1" x14ac:dyDescent="0.25">
      <c r="B503" s="454" t="s">
        <v>2317</v>
      </c>
      <c r="C503" s="454"/>
      <c r="D503" s="455" t="s">
        <v>2187</v>
      </c>
      <c r="E503" s="455"/>
      <c r="F503" s="455"/>
      <c r="G503" s="456"/>
      <c r="H503" s="456"/>
      <c r="I503" s="457">
        <f>SUM(I504:I505)</f>
        <v>0</v>
      </c>
    </row>
    <row r="504" spans="2:9" s="247" customFormat="1" ht="25.5" x14ac:dyDescent="0.25">
      <c r="B504" s="381" t="s">
        <v>2318</v>
      </c>
      <c r="C504" s="381" t="s">
        <v>2256</v>
      </c>
      <c r="D504" s="451" t="s">
        <v>2189</v>
      </c>
      <c r="E504" s="452" t="s">
        <v>1940</v>
      </c>
      <c r="F504" s="452">
        <v>15</v>
      </c>
      <c r="G504" s="453"/>
      <c r="H504" s="74">
        <f>ROUND(G504*(1+BDI!$G$20),2)</f>
        <v>0</v>
      </c>
      <c r="I504" s="74">
        <f t="shared" si="34"/>
        <v>0</v>
      </c>
    </row>
    <row r="505" spans="2:9" s="247" customFormat="1" ht="25.5" x14ac:dyDescent="0.25">
      <c r="B505" s="381" t="s">
        <v>2319</v>
      </c>
      <c r="C505" s="381" t="s">
        <v>2257</v>
      </c>
      <c r="D505" s="451" t="s">
        <v>2190</v>
      </c>
      <c r="E505" s="452" t="s">
        <v>2144</v>
      </c>
      <c r="F505" s="452">
        <v>28</v>
      </c>
      <c r="G505" s="453"/>
      <c r="H505" s="74">
        <f>ROUND(G505*(1+BDI!$G$20),2)</f>
        <v>0</v>
      </c>
      <c r="I505" s="74">
        <f t="shared" si="34"/>
        <v>0</v>
      </c>
    </row>
    <row r="506" spans="2:9" s="247" customFormat="1" x14ac:dyDescent="0.25">
      <c r="B506" s="454" t="s">
        <v>2320</v>
      </c>
      <c r="C506" s="454"/>
      <c r="D506" s="455" t="s">
        <v>2191</v>
      </c>
      <c r="E506" s="455"/>
      <c r="F506" s="455"/>
      <c r="G506" s="456"/>
      <c r="H506" s="456"/>
      <c r="I506" s="457">
        <f>SUM(I507:I510)</f>
        <v>0</v>
      </c>
    </row>
    <row r="507" spans="2:9" s="247" customFormat="1" ht="25.5" x14ac:dyDescent="0.25">
      <c r="B507" s="381" t="s">
        <v>2321</v>
      </c>
      <c r="C507" s="381" t="s">
        <v>2258</v>
      </c>
      <c r="D507" s="451" t="s">
        <v>2193</v>
      </c>
      <c r="E507" s="452" t="s">
        <v>2144</v>
      </c>
      <c r="F507" s="452">
        <v>520.20000000000005</v>
      </c>
      <c r="G507" s="453"/>
      <c r="H507" s="74">
        <f>ROUND(G507*(1+BDI!$G$20),2)</f>
        <v>0</v>
      </c>
      <c r="I507" s="74">
        <f t="shared" si="34"/>
        <v>0</v>
      </c>
    </row>
    <row r="508" spans="2:9" s="247" customFormat="1" ht="25.5" x14ac:dyDescent="0.25">
      <c r="B508" s="381" t="s">
        <v>2322</v>
      </c>
      <c r="C508" s="381" t="s">
        <v>2259</v>
      </c>
      <c r="D508" s="451" t="s">
        <v>2195</v>
      </c>
      <c r="E508" s="452" t="s">
        <v>2144</v>
      </c>
      <c r="F508" s="452">
        <v>520.20000000000005</v>
      </c>
      <c r="G508" s="453"/>
      <c r="H508" s="74">
        <f>ROUND(G508*(1+BDI!$G$20),2)</f>
        <v>0</v>
      </c>
      <c r="I508" s="74">
        <f t="shared" si="34"/>
        <v>0</v>
      </c>
    </row>
    <row r="509" spans="2:9" s="247" customFormat="1" ht="25.5" x14ac:dyDescent="0.25">
      <c r="B509" s="381" t="s">
        <v>2323</v>
      </c>
      <c r="C509" s="381" t="s">
        <v>2259</v>
      </c>
      <c r="D509" s="451" t="s">
        <v>2195</v>
      </c>
      <c r="E509" s="452" t="s">
        <v>2144</v>
      </c>
      <c r="F509" s="452">
        <v>181</v>
      </c>
      <c r="G509" s="453"/>
      <c r="H509" s="74">
        <f>ROUND(G509*(1+BDI!$G$20),2)</f>
        <v>0</v>
      </c>
      <c r="I509" s="74">
        <f t="shared" si="34"/>
        <v>0</v>
      </c>
    </row>
    <row r="510" spans="2:9" s="247" customFormat="1" ht="25.5" x14ac:dyDescent="0.25">
      <c r="B510" s="381" t="s">
        <v>2324</v>
      </c>
      <c r="C510" s="381" t="s">
        <v>2258</v>
      </c>
      <c r="D510" s="451" t="s">
        <v>2193</v>
      </c>
      <c r="E510" s="452" t="s">
        <v>2144</v>
      </c>
      <c r="F510" s="452">
        <v>181</v>
      </c>
      <c r="G510" s="453"/>
      <c r="H510" s="74">
        <f>ROUND(G510*(1+BDI!$G$20),2)</f>
        <v>0</v>
      </c>
      <c r="I510" s="74">
        <f t="shared" si="34"/>
        <v>0</v>
      </c>
    </row>
    <row r="511" spans="2:9" s="247" customFormat="1" x14ac:dyDescent="0.25">
      <c r="B511" s="454" t="s">
        <v>2325</v>
      </c>
      <c r="C511" s="454"/>
      <c r="D511" s="455" t="s">
        <v>2196</v>
      </c>
      <c r="E511" s="455"/>
      <c r="F511" s="455"/>
      <c r="G511" s="456"/>
      <c r="H511" s="456"/>
      <c r="I511" s="457">
        <f>SUM(I512)</f>
        <v>0</v>
      </c>
    </row>
    <row r="512" spans="2:9" s="247" customFormat="1" ht="63.75" x14ac:dyDescent="0.25">
      <c r="B512" s="381" t="s">
        <v>2326</v>
      </c>
      <c r="C512" s="381" t="s">
        <v>2260</v>
      </c>
      <c r="D512" s="451" t="s">
        <v>2197</v>
      </c>
      <c r="E512" s="452" t="s">
        <v>2144</v>
      </c>
      <c r="F512" s="452">
        <v>20</v>
      </c>
      <c r="G512" s="453"/>
      <c r="H512" s="74">
        <f>ROUND(G512*(1+BDI!$G$20),2)</f>
        <v>0</v>
      </c>
      <c r="I512" s="74">
        <f t="shared" si="34"/>
        <v>0</v>
      </c>
    </row>
    <row r="513" spans="2:9" s="247" customFormat="1" x14ac:dyDescent="0.25">
      <c r="B513" s="454" t="s">
        <v>2327</v>
      </c>
      <c r="C513" s="454"/>
      <c r="D513" s="455" t="s">
        <v>2198</v>
      </c>
      <c r="E513" s="455"/>
      <c r="F513" s="455"/>
      <c r="G513" s="456"/>
      <c r="H513" s="456"/>
      <c r="I513" s="457">
        <f>SUM(I514)</f>
        <v>0</v>
      </c>
    </row>
    <row r="514" spans="2:9" s="247" customFormat="1" x14ac:dyDescent="0.25">
      <c r="B514" s="381" t="s">
        <v>2328</v>
      </c>
      <c r="C514" s="381" t="s">
        <v>2261</v>
      </c>
      <c r="D514" s="451" t="s">
        <v>2199</v>
      </c>
      <c r="E514" s="452" t="s">
        <v>2146</v>
      </c>
      <c r="F514" s="452">
        <v>6</v>
      </c>
      <c r="G514" s="453"/>
      <c r="H514" s="74">
        <f>ROUND(G514*(1+BDI!$G$20),2)</f>
        <v>0</v>
      </c>
      <c r="I514" s="74">
        <f t="shared" si="34"/>
        <v>0</v>
      </c>
    </row>
    <row r="515" spans="2:9" s="247" customFormat="1" x14ac:dyDescent="0.25">
      <c r="B515" s="474" t="s">
        <v>2329</v>
      </c>
      <c r="C515" s="474"/>
      <c r="D515" s="475" t="s">
        <v>2200</v>
      </c>
      <c r="E515" s="475"/>
      <c r="F515" s="475"/>
      <c r="G515" s="476"/>
      <c r="H515" s="476"/>
      <c r="I515" s="476">
        <f>I516+I520+I525+I544</f>
        <v>0</v>
      </c>
    </row>
    <row r="516" spans="2:9" s="247" customFormat="1" x14ac:dyDescent="0.25">
      <c r="B516" s="454" t="s">
        <v>2426</v>
      </c>
      <c r="C516" s="454"/>
      <c r="D516" s="455" t="s">
        <v>2201</v>
      </c>
      <c r="E516" s="455"/>
      <c r="F516" s="455"/>
      <c r="G516" s="456"/>
      <c r="H516" s="456"/>
      <c r="I516" s="457">
        <f>SUM(I517:I519)</f>
        <v>0</v>
      </c>
    </row>
    <row r="517" spans="2:9" s="247" customFormat="1" ht="38.25" x14ac:dyDescent="0.25">
      <c r="B517" s="381" t="s">
        <v>2330</v>
      </c>
      <c r="C517" s="381" t="s">
        <v>2226</v>
      </c>
      <c r="D517" s="451" t="s">
        <v>2143</v>
      </c>
      <c r="E517" s="452" t="s">
        <v>2144</v>
      </c>
      <c r="F517" s="452">
        <v>75</v>
      </c>
      <c r="G517" s="453"/>
      <c r="H517" s="74">
        <f>ROUND(G517*(1+BDI!$G$20),2)</f>
        <v>0</v>
      </c>
      <c r="I517" s="74">
        <f t="shared" si="34"/>
        <v>0</v>
      </c>
    </row>
    <row r="518" spans="2:9" s="247" customFormat="1" ht="25.5" x14ac:dyDescent="0.25">
      <c r="B518" s="381" t="s">
        <v>2331</v>
      </c>
      <c r="C518" s="381" t="s">
        <v>2227</v>
      </c>
      <c r="D518" s="451" t="s">
        <v>2145</v>
      </c>
      <c r="E518" s="452" t="s">
        <v>2146</v>
      </c>
      <c r="F518" s="452">
        <v>11.25</v>
      </c>
      <c r="G518" s="453"/>
      <c r="H518" s="74">
        <f>ROUND(G518*(1+BDI!$G$20),2)</f>
        <v>0</v>
      </c>
      <c r="I518" s="74">
        <f t="shared" si="34"/>
        <v>0</v>
      </c>
    </row>
    <row r="519" spans="2:9" s="247" customFormat="1" ht="63.75" x14ac:dyDescent="0.25">
      <c r="B519" s="381" t="s">
        <v>2332</v>
      </c>
      <c r="C519" s="381" t="s">
        <v>2260</v>
      </c>
      <c r="D519" s="451" t="s">
        <v>2197</v>
      </c>
      <c r="E519" s="452" t="s">
        <v>2144</v>
      </c>
      <c r="F519" s="452">
        <v>75</v>
      </c>
      <c r="G519" s="453"/>
      <c r="H519" s="74">
        <f>ROUND(G519*(1+BDI!$G$20),2)</f>
        <v>0</v>
      </c>
      <c r="I519" s="74">
        <f t="shared" si="34"/>
        <v>0</v>
      </c>
    </row>
    <row r="520" spans="2:9" s="247" customFormat="1" x14ac:dyDescent="0.25">
      <c r="B520" s="454" t="s">
        <v>2333</v>
      </c>
      <c r="C520" s="454"/>
      <c r="D520" s="455" t="s">
        <v>2202</v>
      </c>
      <c r="E520" s="455"/>
      <c r="F520" s="455"/>
      <c r="G520" s="456"/>
      <c r="H520" s="456"/>
      <c r="I520" s="457">
        <f>SUM(I521:I524)</f>
        <v>0</v>
      </c>
    </row>
    <row r="521" spans="2:9" s="247" customFormat="1" ht="25.5" x14ac:dyDescent="0.25">
      <c r="B521" s="381" t="s">
        <v>2334</v>
      </c>
      <c r="C521" s="381" t="s">
        <v>2262</v>
      </c>
      <c r="D521" s="451" t="s">
        <v>2203</v>
      </c>
      <c r="E521" s="452" t="s">
        <v>2146</v>
      </c>
      <c r="F521" s="452">
        <v>4.5</v>
      </c>
      <c r="G521" s="453"/>
      <c r="H521" s="74">
        <f>ROUND(G521*(1+BDI!$G$20),2)</f>
        <v>0</v>
      </c>
      <c r="I521" s="74">
        <f t="shared" si="34"/>
        <v>0</v>
      </c>
    </row>
    <row r="522" spans="2:9" s="247" customFormat="1" ht="51" x14ac:dyDescent="0.25">
      <c r="B522" s="381" t="s">
        <v>2335</v>
      </c>
      <c r="C522" s="381" t="s">
        <v>2237</v>
      </c>
      <c r="D522" s="451" t="s">
        <v>2158</v>
      </c>
      <c r="E522" s="452" t="s">
        <v>2144</v>
      </c>
      <c r="F522" s="452">
        <v>15</v>
      </c>
      <c r="G522" s="453"/>
      <c r="H522" s="74">
        <f>ROUND(G522*(1+BDI!$G$20),2)</f>
        <v>0</v>
      </c>
      <c r="I522" s="74">
        <f t="shared" si="34"/>
        <v>0</v>
      </c>
    </row>
    <row r="523" spans="2:9" s="247" customFormat="1" ht="51" x14ac:dyDescent="0.25">
      <c r="B523" s="381" t="s">
        <v>2336</v>
      </c>
      <c r="C523" s="381" t="s">
        <v>2238</v>
      </c>
      <c r="D523" s="451" t="s">
        <v>2159</v>
      </c>
      <c r="E523" s="452" t="s">
        <v>2144</v>
      </c>
      <c r="F523" s="452">
        <v>39</v>
      </c>
      <c r="G523" s="453"/>
      <c r="H523" s="74">
        <f>ROUND(G523*(1+BDI!$G$20),2)</f>
        <v>0</v>
      </c>
      <c r="I523" s="74">
        <f t="shared" si="34"/>
        <v>0</v>
      </c>
    </row>
    <row r="524" spans="2:9" s="247" customFormat="1" ht="51" x14ac:dyDescent="0.25">
      <c r="B524" s="381" t="s">
        <v>2337</v>
      </c>
      <c r="C524" s="381" t="s">
        <v>2239</v>
      </c>
      <c r="D524" s="451" t="s">
        <v>2160</v>
      </c>
      <c r="E524" s="452" t="s">
        <v>2144</v>
      </c>
      <c r="F524" s="452">
        <v>39</v>
      </c>
      <c r="G524" s="453"/>
      <c r="H524" s="74">
        <f>ROUND(G524*(1+BDI!$G$20),2)</f>
        <v>0</v>
      </c>
      <c r="I524" s="74">
        <f t="shared" si="34"/>
        <v>0</v>
      </c>
    </row>
    <row r="525" spans="2:9" s="247" customFormat="1" x14ac:dyDescent="0.25">
      <c r="B525" s="454" t="s">
        <v>2338</v>
      </c>
      <c r="C525" s="454"/>
      <c r="D525" s="455" t="s">
        <v>2204</v>
      </c>
      <c r="E525" s="455"/>
      <c r="F525" s="455"/>
      <c r="G525" s="456"/>
      <c r="H525" s="456"/>
      <c r="I525" s="457">
        <f>SUM(I526:I543)</f>
        <v>0</v>
      </c>
    </row>
    <row r="526" spans="2:9" s="247" customFormat="1" ht="25.5" x14ac:dyDescent="0.25">
      <c r="B526" s="381" t="s">
        <v>2339</v>
      </c>
      <c r="C526" s="381" t="s">
        <v>2263</v>
      </c>
      <c r="D526" s="451" t="s">
        <v>2205</v>
      </c>
      <c r="E526" s="452" t="s">
        <v>1940</v>
      </c>
      <c r="F526" s="452">
        <v>50</v>
      </c>
      <c r="G526" s="453"/>
      <c r="H526" s="74">
        <f>ROUND(G526*(1+BDI!$G$20),2)</f>
        <v>0</v>
      </c>
      <c r="I526" s="74">
        <f t="shared" si="34"/>
        <v>0</v>
      </c>
    </row>
    <row r="527" spans="2:9" s="247" customFormat="1" ht="25.5" x14ac:dyDescent="0.25">
      <c r="B527" s="381" t="s">
        <v>2340</v>
      </c>
      <c r="C527" s="381" t="s">
        <v>2264</v>
      </c>
      <c r="D527" s="451" t="s">
        <v>2206</v>
      </c>
      <c r="E527" s="452" t="s">
        <v>1940</v>
      </c>
      <c r="F527" s="452">
        <v>50</v>
      </c>
      <c r="G527" s="453"/>
      <c r="H527" s="74">
        <f>ROUND(G527*(1+BDI!$G$20),2)</f>
        <v>0</v>
      </c>
      <c r="I527" s="74">
        <f t="shared" si="34"/>
        <v>0</v>
      </c>
    </row>
    <row r="528" spans="2:9" s="247" customFormat="1" ht="25.5" x14ac:dyDescent="0.25">
      <c r="B528" s="381" t="s">
        <v>2341</v>
      </c>
      <c r="C528" s="381" t="s">
        <v>2265</v>
      </c>
      <c r="D528" s="451" t="s">
        <v>2207</v>
      </c>
      <c r="E528" s="452" t="s">
        <v>1940</v>
      </c>
      <c r="F528" s="452">
        <v>150</v>
      </c>
      <c r="G528" s="453"/>
      <c r="H528" s="74">
        <f>ROUND(G528*(1+BDI!$G$20),2)</f>
        <v>0</v>
      </c>
      <c r="I528" s="74">
        <f t="shared" si="34"/>
        <v>0</v>
      </c>
    </row>
    <row r="529" spans="2:9" s="247" customFormat="1" ht="38.25" x14ac:dyDescent="0.25">
      <c r="B529" s="381" t="s">
        <v>2342</v>
      </c>
      <c r="C529" s="381" t="s">
        <v>2266</v>
      </c>
      <c r="D529" s="451" t="s">
        <v>2208</v>
      </c>
      <c r="E529" s="452" t="s">
        <v>2173</v>
      </c>
      <c r="F529" s="452">
        <v>5</v>
      </c>
      <c r="G529" s="453"/>
      <c r="H529" s="74">
        <f>ROUND(G529*(1+BDI!$G$20),2)</f>
        <v>0</v>
      </c>
      <c r="I529" s="74">
        <f t="shared" si="34"/>
        <v>0</v>
      </c>
    </row>
    <row r="530" spans="2:9" s="247" customFormat="1" ht="38.25" x14ac:dyDescent="0.25">
      <c r="B530" s="381" t="s">
        <v>2343</v>
      </c>
      <c r="C530" s="381" t="s">
        <v>2267</v>
      </c>
      <c r="D530" s="451" t="s">
        <v>2209</v>
      </c>
      <c r="E530" s="452" t="s">
        <v>2173</v>
      </c>
      <c r="F530" s="452">
        <v>5</v>
      </c>
      <c r="G530" s="453"/>
      <c r="H530" s="74">
        <f>ROUND(G530*(1+BDI!$G$20),2)</f>
        <v>0</v>
      </c>
      <c r="I530" s="74">
        <f t="shared" si="34"/>
        <v>0</v>
      </c>
    </row>
    <row r="531" spans="2:9" s="247" customFormat="1" ht="25.5" x14ac:dyDescent="0.25">
      <c r="B531" s="381" t="s">
        <v>2344</v>
      </c>
      <c r="C531" s="381" t="s">
        <v>2268</v>
      </c>
      <c r="D531" s="451" t="s">
        <v>2210</v>
      </c>
      <c r="E531" s="452" t="s">
        <v>1323</v>
      </c>
      <c r="F531" s="452">
        <v>10</v>
      </c>
      <c r="G531" s="453"/>
      <c r="H531" s="74">
        <f>ROUND(G531*(1+BDI!$G$20),2)</f>
        <v>0</v>
      </c>
      <c r="I531" s="74">
        <f t="shared" ref="I531:I545" si="35">ROUND(H531*F531,2)</f>
        <v>0</v>
      </c>
    </row>
    <row r="532" spans="2:9" s="247" customFormat="1" ht="25.5" x14ac:dyDescent="0.25">
      <c r="B532" s="381" t="s">
        <v>2345</v>
      </c>
      <c r="C532" s="381" t="s">
        <v>2269</v>
      </c>
      <c r="D532" s="451" t="s">
        <v>2211</v>
      </c>
      <c r="E532" s="452" t="s">
        <v>1323</v>
      </c>
      <c r="F532" s="452">
        <v>5</v>
      </c>
      <c r="G532" s="453"/>
      <c r="H532" s="74">
        <f>ROUND(G532*(1+BDI!$G$20),2)</f>
        <v>0</v>
      </c>
      <c r="I532" s="74">
        <f t="shared" si="35"/>
        <v>0</v>
      </c>
    </row>
    <row r="533" spans="2:9" s="247" customFormat="1" ht="25.5" x14ac:dyDescent="0.25">
      <c r="B533" s="381" t="s">
        <v>2346</v>
      </c>
      <c r="C533" s="381" t="s">
        <v>2270</v>
      </c>
      <c r="D533" s="451" t="s">
        <v>2211</v>
      </c>
      <c r="E533" s="452" t="s">
        <v>1323</v>
      </c>
      <c r="F533" s="452">
        <v>5</v>
      </c>
      <c r="G533" s="453"/>
      <c r="H533" s="74">
        <f>ROUND(G533*(1+BDI!$G$20),2)</f>
        <v>0</v>
      </c>
      <c r="I533" s="74">
        <f t="shared" si="35"/>
        <v>0</v>
      </c>
    </row>
    <row r="534" spans="2:9" s="247" customFormat="1" ht="25.5" x14ac:dyDescent="0.25">
      <c r="B534" s="381" t="s">
        <v>2347</v>
      </c>
      <c r="C534" s="381" t="s">
        <v>2271</v>
      </c>
      <c r="D534" s="451" t="s">
        <v>2212</v>
      </c>
      <c r="E534" s="452" t="s">
        <v>1323</v>
      </c>
      <c r="F534" s="452">
        <v>10</v>
      </c>
      <c r="G534" s="453"/>
      <c r="H534" s="74">
        <f>ROUND(G534*(1+BDI!$G$20),2)</f>
        <v>0</v>
      </c>
      <c r="I534" s="74">
        <f t="shared" si="35"/>
        <v>0</v>
      </c>
    </row>
    <row r="535" spans="2:9" s="247" customFormat="1" ht="25.5" x14ac:dyDescent="0.25">
      <c r="B535" s="381" t="s">
        <v>2348</v>
      </c>
      <c r="C535" s="381" t="s">
        <v>2272</v>
      </c>
      <c r="D535" s="451" t="s">
        <v>2213</v>
      </c>
      <c r="E535" s="452" t="s">
        <v>1323</v>
      </c>
      <c r="F535" s="452">
        <v>15</v>
      </c>
      <c r="G535" s="453"/>
      <c r="H535" s="74">
        <f>ROUND(G535*(1+BDI!$G$20),2)</f>
        <v>0</v>
      </c>
      <c r="I535" s="74">
        <f t="shared" si="35"/>
        <v>0</v>
      </c>
    </row>
    <row r="536" spans="2:9" s="247" customFormat="1" ht="25.5" x14ac:dyDescent="0.25">
      <c r="B536" s="381" t="s">
        <v>2349</v>
      </c>
      <c r="C536" s="381" t="s">
        <v>2273</v>
      </c>
      <c r="D536" s="451" t="s">
        <v>2214</v>
      </c>
      <c r="E536" s="452" t="s">
        <v>1162</v>
      </c>
      <c r="F536" s="452">
        <v>1</v>
      </c>
      <c r="G536" s="453"/>
      <c r="H536" s="74">
        <f>ROUND(G536*(1+BDI!$G$20),2)</f>
        <v>0</v>
      </c>
      <c r="I536" s="74">
        <f t="shared" si="35"/>
        <v>0</v>
      </c>
    </row>
    <row r="537" spans="2:9" s="247" customFormat="1" ht="25.5" x14ac:dyDescent="0.25">
      <c r="B537" s="381" t="s">
        <v>2350</v>
      </c>
      <c r="C537" s="381" t="s">
        <v>2274</v>
      </c>
      <c r="D537" s="451" t="s">
        <v>2215</v>
      </c>
      <c r="E537" s="452" t="s">
        <v>2173</v>
      </c>
      <c r="F537" s="452">
        <v>15</v>
      </c>
      <c r="G537" s="453"/>
      <c r="H537" s="74">
        <f>ROUND(G537*(1+BDI!$G$20),2)</f>
        <v>0</v>
      </c>
      <c r="I537" s="74">
        <f t="shared" si="35"/>
        <v>0</v>
      </c>
    </row>
    <row r="538" spans="2:9" s="247" customFormat="1" ht="25.5" x14ac:dyDescent="0.25">
      <c r="B538" s="381" t="s">
        <v>2351</v>
      </c>
      <c r="C538" s="381" t="s">
        <v>2275</v>
      </c>
      <c r="D538" s="451" t="s">
        <v>2216</v>
      </c>
      <c r="E538" s="452" t="s">
        <v>2173</v>
      </c>
      <c r="F538" s="452">
        <v>3</v>
      </c>
      <c r="G538" s="453"/>
      <c r="H538" s="74">
        <f>ROUND(G538*(1+BDI!$G$20),2)</f>
        <v>0</v>
      </c>
      <c r="I538" s="74">
        <f t="shared" si="35"/>
        <v>0</v>
      </c>
    </row>
    <row r="539" spans="2:9" s="247" customFormat="1" ht="25.5" x14ac:dyDescent="0.25">
      <c r="B539" s="381" t="s">
        <v>2352</v>
      </c>
      <c r="C539" s="381" t="s">
        <v>2276</v>
      </c>
      <c r="D539" s="451" t="s">
        <v>2217</v>
      </c>
      <c r="E539" s="452" t="s">
        <v>2173</v>
      </c>
      <c r="F539" s="452">
        <v>3</v>
      </c>
      <c r="G539" s="453"/>
      <c r="H539" s="74">
        <f>ROUND(G539*(1+BDI!$G$20),2)</f>
        <v>0</v>
      </c>
      <c r="I539" s="74">
        <f t="shared" si="35"/>
        <v>0</v>
      </c>
    </row>
    <row r="540" spans="2:9" s="247" customFormat="1" x14ac:dyDescent="0.25">
      <c r="B540" s="381" t="s">
        <v>2353</v>
      </c>
      <c r="C540" s="381" t="s">
        <v>2277</v>
      </c>
      <c r="D540" s="451" t="s">
        <v>2218</v>
      </c>
      <c r="E540" s="452" t="s">
        <v>1119</v>
      </c>
      <c r="F540" s="452">
        <v>40</v>
      </c>
      <c r="G540" s="453"/>
      <c r="H540" s="74">
        <f>ROUND(G540*(1+BDI!$G$20),2)</f>
        <v>0</v>
      </c>
      <c r="I540" s="74">
        <f t="shared" si="35"/>
        <v>0</v>
      </c>
    </row>
    <row r="541" spans="2:9" s="247" customFormat="1" ht="25.5" x14ac:dyDescent="0.25">
      <c r="B541" s="381" t="s">
        <v>2354</v>
      </c>
      <c r="C541" s="381" t="s">
        <v>2245</v>
      </c>
      <c r="D541" s="451" t="s">
        <v>2169</v>
      </c>
      <c r="E541" s="452" t="s">
        <v>1119</v>
      </c>
      <c r="F541" s="452">
        <v>40</v>
      </c>
      <c r="G541" s="453"/>
      <c r="H541" s="74">
        <f>ROUND(G541*(1+BDI!$G$20),2)</f>
        <v>0</v>
      </c>
      <c r="I541" s="74">
        <f t="shared" si="35"/>
        <v>0</v>
      </c>
    </row>
    <row r="542" spans="2:9" s="247" customFormat="1" ht="51" x14ac:dyDescent="0.25">
      <c r="B542" s="381" t="s">
        <v>2355</v>
      </c>
      <c r="C542" s="381" t="s">
        <v>2278</v>
      </c>
      <c r="D542" s="451" t="s">
        <v>2220</v>
      </c>
      <c r="E542" s="452" t="s">
        <v>1323</v>
      </c>
      <c r="F542" s="452">
        <v>2</v>
      </c>
      <c r="G542" s="453"/>
      <c r="H542" s="74">
        <f>ROUND(G542*(1+BDI!$G$20),2)</f>
        <v>0</v>
      </c>
      <c r="I542" s="74">
        <f t="shared" si="35"/>
        <v>0</v>
      </c>
    </row>
    <row r="543" spans="2:9" s="247" customFormat="1" ht="38.25" x14ac:dyDescent="0.25">
      <c r="B543" s="381" t="s">
        <v>2356</v>
      </c>
      <c r="C543" s="381" t="s">
        <v>2279</v>
      </c>
      <c r="D543" s="451" t="s">
        <v>2221</v>
      </c>
      <c r="E543" s="452" t="s">
        <v>2173</v>
      </c>
      <c r="F543" s="452">
        <v>2</v>
      </c>
      <c r="G543" s="453"/>
      <c r="H543" s="74">
        <f>ROUND(G543*(1+BDI!$G$20),2)</f>
        <v>0</v>
      </c>
      <c r="I543" s="74">
        <f t="shared" si="35"/>
        <v>0</v>
      </c>
    </row>
    <row r="544" spans="2:9" s="247" customFormat="1" x14ac:dyDescent="0.25">
      <c r="B544" s="454" t="s">
        <v>2357</v>
      </c>
      <c r="C544" s="454"/>
      <c r="D544" s="455" t="s">
        <v>2198</v>
      </c>
      <c r="E544" s="455"/>
      <c r="F544" s="455"/>
      <c r="G544" s="456"/>
      <c r="H544" s="456"/>
      <c r="I544" s="457">
        <f>SUM(I545)</f>
        <v>0</v>
      </c>
    </row>
    <row r="545" spans="2:9" s="247" customFormat="1" x14ac:dyDescent="0.25">
      <c r="B545" s="381" t="s">
        <v>2358</v>
      </c>
      <c r="C545" s="381" t="s">
        <v>2261</v>
      </c>
      <c r="D545" s="451" t="s">
        <v>2199</v>
      </c>
      <c r="E545" s="452" t="s">
        <v>2146</v>
      </c>
      <c r="F545" s="452">
        <v>5</v>
      </c>
      <c r="G545" s="453"/>
      <c r="H545" s="74">
        <f>ROUND(G545*(1+BDI!$G$20),2)</f>
        <v>0</v>
      </c>
      <c r="I545" s="74">
        <f t="shared" si="35"/>
        <v>0</v>
      </c>
    </row>
    <row r="546" spans="2:9" x14ac:dyDescent="0.25">
      <c r="B546" s="493" t="s">
        <v>1064</v>
      </c>
      <c r="C546" s="494"/>
      <c r="D546" s="494"/>
      <c r="E546" s="494"/>
      <c r="F546" s="494"/>
      <c r="G546" s="494"/>
      <c r="H546" s="494"/>
      <c r="I546" s="296">
        <f>SUM(I323,I140,I5,I434,I450,I460,I463)</f>
        <v>0</v>
      </c>
    </row>
    <row r="547" spans="2:9" x14ac:dyDescent="0.25">
      <c r="I547" s="297"/>
    </row>
  </sheetData>
  <mergeCells count="3">
    <mergeCell ref="B1:I2"/>
    <mergeCell ref="B3:I3"/>
    <mergeCell ref="B546:H546"/>
  </mergeCells>
  <pageMargins left="0.511811024" right="0.511811024" top="0.78740157499999996" bottom="0.78740157499999996" header="0.31496062000000002" footer="0.31496062000000002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5"/>
  <sheetViews>
    <sheetView view="pageBreakPreview" topLeftCell="A613" zoomScale="70" zoomScaleNormal="70" zoomScaleSheetLayoutView="70" workbookViewId="0">
      <selection activeCell="B3" sqref="B3:G15"/>
    </sheetView>
  </sheetViews>
  <sheetFormatPr defaultRowHeight="15" x14ac:dyDescent="0.25"/>
  <cols>
    <col min="1" max="1" width="1.28515625" customWidth="1"/>
    <col min="2" max="2" width="17.28515625" customWidth="1"/>
    <col min="3" max="3" width="13.5703125" customWidth="1"/>
    <col min="4" max="4" width="55.85546875" bestFit="1" customWidth="1"/>
    <col min="5" max="5" width="9.28515625" bestFit="1" customWidth="1"/>
    <col min="6" max="6" width="16.7109375" customWidth="1"/>
    <col min="7" max="7" width="15.85546875" customWidth="1"/>
    <col min="8" max="8" width="17.7109375" customWidth="1"/>
    <col min="9" max="9" width="1" customWidth="1"/>
  </cols>
  <sheetData>
    <row r="1" spans="1:8" s="295" customFormat="1" ht="26.25" x14ac:dyDescent="0.4">
      <c r="B1" s="573" t="s">
        <v>9</v>
      </c>
      <c r="C1" s="574"/>
      <c r="D1" s="574"/>
      <c r="E1" s="574"/>
      <c r="F1" s="574"/>
      <c r="G1" s="574"/>
      <c r="H1" s="575"/>
    </row>
    <row r="2" spans="1:8" x14ac:dyDescent="0.25">
      <c r="A2" s="302"/>
      <c r="B2" s="11" t="s">
        <v>12</v>
      </c>
      <c r="C2" s="12">
        <v>1</v>
      </c>
      <c r="D2" s="518" t="s">
        <v>10</v>
      </c>
      <c r="E2" s="517"/>
      <c r="F2" s="517"/>
      <c r="G2" s="517"/>
      <c r="H2" s="553"/>
    </row>
    <row r="3" spans="1:8" x14ac:dyDescent="0.25">
      <c r="B3" s="521" t="s">
        <v>11</v>
      </c>
      <c r="C3" s="522"/>
      <c r="D3" s="13" t="s">
        <v>12</v>
      </c>
      <c r="E3" s="14" t="s">
        <v>13</v>
      </c>
      <c r="F3" s="15" t="s">
        <v>14</v>
      </c>
      <c r="G3" s="14" t="s">
        <v>15</v>
      </c>
      <c r="H3" s="16" t="s">
        <v>16</v>
      </c>
    </row>
    <row r="4" spans="1:8" x14ac:dyDescent="0.25">
      <c r="B4" s="523"/>
      <c r="C4" s="524"/>
      <c r="D4" s="17" t="s">
        <v>17</v>
      </c>
      <c r="E4" s="18" t="s">
        <v>18</v>
      </c>
      <c r="F4" s="19">
        <v>400</v>
      </c>
      <c r="G4" s="20">
        <f>Insumos!Q21</f>
        <v>0</v>
      </c>
      <c r="H4" s="21">
        <f>F4*G4</f>
        <v>0</v>
      </c>
    </row>
    <row r="5" spans="1:8" x14ac:dyDescent="0.25">
      <c r="B5" s="523"/>
      <c r="C5" s="524"/>
      <c r="D5" s="17" t="s">
        <v>19</v>
      </c>
      <c r="E5" s="18" t="s">
        <v>18</v>
      </c>
      <c r="F5" s="19">
        <v>480</v>
      </c>
      <c r="G5" s="20">
        <f>Insumos!Q22</f>
        <v>0</v>
      </c>
      <c r="H5" s="21">
        <f t="shared" ref="H5:H10" si="0">F5*G5</f>
        <v>0</v>
      </c>
    </row>
    <row r="6" spans="1:8" x14ac:dyDescent="0.25">
      <c r="B6" s="523"/>
      <c r="C6" s="524"/>
      <c r="D6" s="17" t="s">
        <v>20</v>
      </c>
      <c r="E6" s="18" t="s">
        <v>18</v>
      </c>
      <c r="F6" s="19">
        <v>2800</v>
      </c>
      <c r="G6" s="20">
        <f>Insumos!Q23</f>
        <v>0</v>
      </c>
      <c r="H6" s="21">
        <f t="shared" si="0"/>
        <v>0</v>
      </c>
    </row>
    <row r="7" spans="1:8" x14ac:dyDescent="0.25">
      <c r="B7" s="523"/>
      <c r="C7" s="524"/>
      <c r="D7" s="17" t="s">
        <v>21</v>
      </c>
      <c r="E7" s="18" t="s">
        <v>18</v>
      </c>
      <c r="F7" s="19">
        <v>400</v>
      </c>
      <c r="G7" s="20">
        <f>Insumos!Q24</f>
        <v>0</v>
      </c>
      <c r="H7" s="21">
        <f t="shared" si="0"/>
        <v>0</v>
      </c>
    </row>
    <row r="8" spans="1:8" x14ac:dyDescent="0.25">
      <c r="B8" s="523"/>
      <c r="C8" s="524"/>
      <c r="D8" s="17" t="s">
        <v>22</v>
      </c>
      <c r="E8" s="18" t="s">
        <v>18</v>
      </c>
      <c r="F8" s="19">
        <v>400</v>
      </c>
      <c r="G8" s="20">
        <f>Insumos!Q25</f>
        <v>0</v>
      </c>
      <c r="H8" s="21">
        <f t="shared" si="0"/>
        <v>0</v>
      </c>
    </row>
    <row r="9" spans="1:8" x14ac:dyDescent="0.25">
      <c r="B9" s="523"/>
      <c r="C9" s="524"/>
      <c r="D9" s="17" t="s">
        <v>23</v>
      </c>
      <c r="E9" s="18" t="s">
        <v>18</v>
      </c>
      <c r="F9" s="19">
        <v>450</v>
      </c>
      <c r="G9" s="20">
        <f>Insumos!Q26</f>
        <v>0</v>
      </c>
      <c r="H9" s="21">
        <f t="shared" si="0"/>
        <v>0</v>
      </c>
    </row>
    <row r="10" spans="1:8" x14ac:dyDescent="0.25">
      <c r="B10" s="523"/>
      <c r="C10" s="524"/>
      <c r="D10" s="17" t="s">
        <v>24</v>
      </c>
      <c r="E10" s="18" t="s">
        <v>18</v>
      </c>
      <c r="F10" s="19">
        <v>600</v>
      </c>
      <c r="G10" s="20">
        <f>Insumos!Q27</f>
        <v>0</v>
      </c>
      <c r="H10" s="21">
        <f t="shared" si="0"/>
        <v>0</v>
      </c>
    </row>
    <row r="11" spans="1:8" x14ac:dyDescent="0.25">
      <c r="B11" s="523"/>
      <c r="C11" s="524"/>
      <c r="D11" s="525"/>
      <c r="E11" s="526"/>
      <c r="F11" s="531" t="s">
        <v>25</v>
      </c>
      <c r="G11" s="515"/>
      <c r="H11" s="22">
        <f>SUM(H4:H10)</f>
        <v>0</v>
      </c>
    </row>
    <row r="12" spans="1:8" ht="30.75" customHeight="1" x14ac:dyDescent="0.25">
      <c r="B12" s="523"/>
      <c r="C12" s="524"/>
      <c r="D12" s="527"/>
      <c r="E12" s="528"/>
      <c r="F12" s="23" t="s">
        <v>26</v>
      </c>
      <c r="G12" s="24">
        <f>Insumos!$K$28</f>
        <v>0.70109999999999995</v>
      </c>
      <c r="H12" s="25">
        <f>H11*G12</f>
        <v>0</v>
      </c>
    </row>
    <row r="13" spans="1:8" x14ac:dyDescent="0.25">
      <c r="B13" s="523"/>
      <c r="C13" s="524"/>
      <c r="D13" s="527"/>
      <c r="E13" s="528"/>
      <c r="F13" s="531" t="s">
        <v>8</v>
      </c>
      <c r="G13" s="515"/>
      <c r="H13" s="22">
        <f>H11+H12</f>
        <v>0</v>
      </c>
    </row>
    <row r="14" spans="1:8" x14ac:dyDescent="0.25">
      <c r="B14" s="523"/>
      <c r="C14" s="524"/>
      <c r="D14" s="527"/>
      <c r="E14" s="528"/>
      <c r="F14" s="26" t="s">
        <v>27</v>
      </c>
      <c r="G14" s="24">
        <f>BDI!$C$20</f>
        <v>0.2492</v>
      </c>
      <c r="H14" s="25">
        <f>H13*G14</f>
        <v>0</v>
      </c>
    </row>
    <row r="15" spans="1:8" x14ac:dyDescent="0.25">
      <c r="B15" s="523"/>
      <c r="C15" s="524"/>
      <c r="D15" s="527"/>
      <c r="E15" s="528"/>
      <c r="F15" s="576" t="s">
        <v>28</v>
      </c>
      <c r="G15" s="526"/>
      <c r="H15" s="27">
        <f>H14+H13</f>
        <v>0</v>
      </c>
    </row>
    <row r="16" spans="1:8" x14ac:dyDescent="0.25">
      <c r="B16" s="532" t="s">
        <v>29</v>
      </c>
      <c r="C16" s="28"/>
      <c r="D16" s="29" t="s">
        <v>12</v>
      </c>
      <c r="E16" s="30" t="s">
        <v>13</v>
      </c>
      <c r="F16" s="31" t="s">
        <v>14</v>
      </c>
      <c r="G16" s="32" t="s">
        <v>15</v>
      </c>
      <c r="H16" s="33" t="s">
        <v>16</v>
      </c>
    </row>
    <row r="17" spans="2:8" x14ac:dyDescent="0.25">
      <c r="B17" s="533"/>
      <c r="C17" s="34" t="s">
        <v>30</v>
      </c>
      <c r="D17" s="35" t="s">
        <v>31</v>
      </c>
      <c r="E17" s="36" t="s">
        <v>32</v>
      </c>
      <c r="F17" s="37">
        <v>1</v>
      </c>
      <c r="G17" s="21">
        <f>'1 Palco Grande Porte'!K33</f>
        <v>0</v>
      </c>
      <c r="H17" s="21">
        <f t="shared" ref="H17:H22" si="1">F17*G17</f>
        <v>0</v>
      </c>
    </row>
    <row r="18" spans="2:8" x14ac:dyDescent="0.25">
      <c r="B18" s="533"/>
      <c r="C18" s="34" t="s">
        <v>33</v>
      </c>
      <c r="D18" s="35" t="s">
        <v>34</v>
      </c>
      <c r="E18" s="36" t="s">
        <v>35</v>
      </c>
      <c r="F18" s="37">
        <v>1</v>
      </c>
      <c r="G18" s="21">
        <f>'1 Palco Grande Porte'!K43</f>
        <v>0</v>
      </c>
      <c r="H18" s="21">
        <f t="shared" si="1"/>
        <v>0</v>
      </c>
    </row>
    <row r="19" spans="2:8" ht="30" x14ac:dyDescent="0.25">
      <c r="B19" s="543"/>
      <c r="C19" s="34" t="s">
        <v>36</v>
      </c>
      <c r="D19" s="35" t="s">
        <v>37</v>
      </c>
      <c r="E19" s="38" t="s">
        <v>32</v>
      </c>
      <c r="F19" s="39">
        <v>1</v>
      </c>
      <c r="G19" s="21">
        <f>'1 Palco Grande Porte'!K59</f>
        <v>0</v>
      </c>
      <c r="H19" s="21">
        <f t="shared" si="1"/>
        <v>0</v>
      </c>
    </row>
    <row r="20" spans="2:8" x14ac:dyDescent="0.25">
      <c r="B20" s="577" t="s">
        <v>38</v>
      </c>
      <c r="C20" s="34" t="s">
        <v>39</v>
      </c>
      <c r="D20" s="40" t="s">
        <v>40</v>
      </c>
      <c r="E20" s="41" t="s">
        <v>35</v>
      </c>
      <c r="F20" s="42">
        <v>1</v>
      </c>
      <c r="G20" s="21">
        <f>'1 Palco Grande Porte'!K64</f>
        <v>0</v>
      </c>
      <c r="H20" s="21">
        <f t="shared" si="1"/>
        <v>0</v>
      </c>
    </row>
    <row r="21" spans="2:8" x14ac:dyDescent="0.25">
      <c r="B21" s="578"/>
      <c r="C21" s="34" t="s">
        <v>41</v>
      </c>
      <c r="D21" s="43" t="s">
        <v>42</v>
      </c>
      <c r="E21" s="18" t="s">
        <v>35</v>
      </c>
      <c r="F21" s="37">
        <v>1</v>
      </c>
      <c r="G21" s="21">
        <f>'1 Palco Grande Porte'!K69</f>
        <v>0</v>
      </c>
      <c r="H21" s="21">
        <f t="shared" si="1"/>
        <v>0</v>
      </c>
    </row>
    <row r="22" spans="2:8" x14ac:dyDescent="0.25">
      <c r="B22" s="579"/>
      <c r="C22" s="34" t="s">
        <v>43</v>
      </c>
      <c r="D22" s="43" t="s">
        <v>44</v>
      </c>
      <c r="E22" s="18" t="s">
        <v>35</v>
      </c>
      <c r="F22" s="37">
        <v>1</v>
      </c>
      <c r="G22" s="21">
        <f>'1 Palco Grande Porte'!K76</f>
        <v>0</v>
      </c>
      <c r="H22" s="21">
        <f t="shared" si="1"/>
        <v>0</v>
      </c>
    </row>
    <row r="23" spans="2:8" x14ac:dyDescent="0.25">
      <c r="B23" s="534"/>
      <c r="C23" s="535"/>
      <c r="D23" s="525"/>
      <c r="E23" s="526"/>
      <c r="F23" s="531" t="s">
        <v>25</v>
      </c>
      <c r="G23" s="515"/>
      <c r="H23" s="22">
        <f>SUM(H17:H22)</f>
        <v>0</v>
      </c>
    </row>
    <row r="24" spans="2:8" x14ac:dyDescent="0.25">
      <c r="B24" s="536"/>
      <c r="C24" s="537"/>
      <c r="D24" s="527"/>
      <c r="E24" s="528"/>
      <c r="F24" s="26" t="s">
        <v>27</v>
      </c>
      <c r="G24" s="24">
        <f>BDI!$C$20</f>
        <v>0.2492</v>
      </c>
      <c r="H24" s="25">
        <f>G24*H23</f>
        <v>0</v>
      </c>
    </row>
    <row r="25" spans="2:8" x14ac:dyDescent="0.25">
      <c r="B25" s="538"/>
      <c r="C25" s="539"/>
      <c r="D25" s="529"/>
      <c r="E25" s="530"/>
      <c r="F25" s="514" t="s">
        <v>45</v>
      </c>
      <c r="G25" s="515"/>
      <c r="H25" s="44">
        <f>H24+H23</f>
        <v>0</v>
      </c>
    </row>
    <row r="26" spans="2:8" x14ac:dyDescent="0.25">
      <c r="B26" s="516" t="s">
        <v>46</v>
      </c>
      <c r="C26" s="517"/>
      <c r="D26" s="517"/>
      <c r="E26" s="517"/>
      <c r="F26" s="517"/>
      <c r="G26" s="515"/>
      <c r="H26" s="45">
        <f>H25+H15</f>
        <v>0</v>
      </c>
    </row>
    <row r="27" spans="2:8" x14ac:dyDescent="0.25">
      <c r="B27" s="46"/>
      <c r="C27" s="47"/>
      <c r="D27" s="48"/>
      <c r="E27" s="48"/>
      <c r="F27" s="49"/>
      <c r="G27" s="48"/>
      <c r="H27" s="50"/>
    </row>
    <row r="28" spans="2:8" x14ac:dyDescent="0.25">
      <c r="B28" s="11" t="s">
        <v>12</v>
      </c>
      <c r="C28" s="12">
        <v>2</v>
      </c>
      <c r="D28" s="54" t="s">
        <v>1334</v>
      </c>
      <c r="E28" s="55"/>
      <c r="F28" s="56"/>
      <c r="G28" s="57"/>
      <c r="H28" s="58"/>
    </row>
    <row r="29" spans="2:8" x14ac:dyDescent="0.25">
      <c r="B29" s="521" t="s">
        <v>11</v>
      </c>
      <c r="C29" s="522"/>
      <c r="D29" s="13" t="s">
        <v>12</v>
      </c>
      <c r="E29" s="14" t="s">
        <v>13</v>
      </c>
      <c r="F29" s="15" t="s">
        <v>14</v>
      </c>
      <c r="G29" s="14" t="s">
        <v>15</v>
      </c>
      <c r="H29" s="16" t="s">
        <v>16</v>
      </c>
    </row>
    <row r="30" spans="2:8" x14ac:dyDescent="0.25">
      <c r="B30" s="523"/>
      <c r="C30" s="524"/>
      <c r="D30" s="17" t="s">
        <v>17</v>
      </c>
      <c r="E30" s="18" t="s">
        <v>18</v>
      </c>
      <c r="F30" s="19">
        <v>60</v>
      </c>
      <c r="G30" s="20">
        <f>Insumos!Q21</f>
        <v>0</v>
      </c>
      <c r="H30" s="21">
        <f t="shared" ref="H30:H36" si="2">F30*G30</f>
        <v>0</v>
      </c>
    </row>
    <row r="31" spans="2:8" x14ac:dyDescent="0.25">
      <c r="B31" s="523"/>
      <c r="C31" s="524"/>
      <c r="D31" s="17" t="s">
        <v>19</v>
      </c>
      <c r="E31" s="18" t="s">
        <v>18</v>
      </c>
      <c r="F31" s="19">
        <v>1600</v>
      </c>
      <c r="G31" s="20">
        <f>Insumos!Q22</f>
        <v>0</v>
      </c>
      <c r="H31" s="21">
        <f t="shared" si="2"/>
        <v>0</v>
      </c>
    </row>
    <row r="32" spans="2:8" x14ac:dyDescent="0.25">
      <c r="B32" s="523"/>
      <c r="C32" s="524"/>
      <c r="D32" s="17" t="s">
        <v>20</v>
      </c>
      <c r="E32" s="18" t="s">
        <v>18</v>
      </c>
      <c r="F32" s="19">
        <v>1600</v>
      </c>
      <c r="G32" s="20">
        <f>Insumos!Q23</f>
        <v>0</v>
      </c>
      <c r="H32" s="21">
        <f t="shared" si="2"/>
        <v>0</v>
      </c>
    </row>
    <row r="33" spans="2:8" x14ac:dyDescent="0.25">
      <c r="B33" s="523"/>
      <c r="C33" s="524"/>
      <c r="D33" s="17" t="s">
        <v>21</v>
      </c>
      <c r="E33" s="18" t="s">
        <v>18</v>
      </c>
      <c r="F33" s="19">
        <v>360</v>
      </c>
      <c r="G33" s="20">
        <f>Insumos!Q24</f>
        <v>0</v>
      </c>
      <c r="H33" s="21">
        <f t="shared" si="2"/>
        <v>0</v>
      </c>
    </row>
    <row r="34" spans="2:8" x14ac:dyDescent="0.25">
      <c r="B34" s="523"/>
      <c r="C34" s="524"/>
      <c r="D34" s="17" t="s">
        <v>22</v>
      </c>
      <c r="E34" s="18" t="s">
        <v>18</v>
      </c>
      <c r="F34" s="19">
        <v>160</v>
      </c>
      <c r="G34" s="20">
        <f>Insumos!Q25</f>
        <v>0</v>
      </c>
      <c r="H34" s="21">
        <f t="shared" si="2"/>
        <v>0</v>
      </c>
    </row>
    <row r="35" spans="2:8" x14ac:dyDescent="0.25">
      <c r="B35" s="523"/>
      <c r="C35" s="524"/>
      <c r="D35" s="17" t="s">
        <v>23</v>
      </c>
      <c r="E35" s="18" t="s">
        <v>18</v>
      </c>
      <c r="F35" s="19">
        <v>120</v>
      </c>
      <c r="G35" s="20">
        <f>Insumos!Q26</f>
        <v>0</v>
      </c>
      <c r="H35" s="21">
        <f t="shared" si="2"/>
        <v>0</v>
      </c>
    </row>
    <row r="36" spans="2:8" x14ac:dyDescent="0.25">
      <c r="B36" s="523"/>
      <c r="C36" s="524"/>
      <c r="D36" s="17" t="s">
        <v>24</v>
      </c>
      <c r="E36" s="18" t="s">
        <v>18</v>
      </c>
      <c r="F36" s="19">
        <v>240</v>
      </c>
      <c r="G36" s="20">
        <f>Insumos!Q27</f>
        <v>0</v>
      </c>
      <c r="H36" s="21">
        <f t="shared" si="2"/>
        <v>0</v>
      </c>
    </row>
    <row r="37" spans="2:8" x14ac:dyDescent="0.25">
      <c r="B37" s="523"/>
      <c r="C37" s="524"/>
      <c r="D37" s="525"/>
      <c r="E37" s="526"/>
      <c r="F37" s="531" t="s">
        <v>25</v>
      </c>
      <c r="G37" s="515"/>
      <c r="H37" s="22">
        <f>SUM(H30:H36)</f>
        <v>0</v>
      </c>
    </row>
    <row r="38" spans="2:8" ht="30" x14ac:dyDescent="0.25">
      <c r="B38" s="523"/>
      <c r="C38" s="524"/>
      <c r="D38" s="527"/>
      <c r="E38" s="528"/>
      <c r="F38" s="26" t="s">
        <v>26</v>
      </c>
      <c r="G38" s="24">
        <f>Insumos!$K$28</f>
        <v>0.70109999999999995</v>
      </c>
      <c r="H38" s="25">
        <f>H37*G38</f>
        <v>0</v>
      </c>
    </row>
    <row r="39" spans="2:8" x14ac:dyDescent="0.25">
      <c r="B39" s="523"/>
      <c r="C39" s="524"/>
      <c r="D39" s="527"/>
      <c r="E39" s="528"/>
      <c r="F39" s="531" t="s">
        <v>8</v>
      </c>
      <c r="G39" s="515"/>
      <c r="H39" s="22">
        <f>H38+H37</f>
        <v>0</v>
      </c>
    </row>
    <row r="40" spans="2:8" x14ac:dyDescent="0.25">
      <c r="B40" s="523"/>
      <c r="C40" s="524"/>
      <c r="D40" s="527"/>
      <c r="E40" s="528"/>
      <c r="F40" s="26" t="s">
        <v>27</v>
      </c>
      <c r="G40" s="24">
        <f>BDI!$C$20</f>
        <v>0.2492</v>
      </c>
      <c r="H40" s="25">
        <f>H39*G40</f>
        <v>0</v>
      </c>
    </row>
    <row r="41" spans="2:8" x14ac:dyDescent="0.25">
      <c r="B41" s="523"/>
      <c r="C41" s="524"/>
      <c r="D41" s="529"/>
      <c r="E41" s="530"/>
      <c r="F41" s="514" t="s">
        <v>28</v>
      </c>
      <c r="G41" s="515"/>
      <c r="H41" s="27">
        <f>TRUNC(H40+H39,2)</f>
        <v>0</v>
      </c>
    </row>
    <row r="42" spans="2:8" x14ac:dyDescent="0.25">
      <c r="B42" s="532" t="s">
        <v>29</v>
      </c>
      <c r="C42" s="28"/>
      <c r="D42" s="13" t="s">
        <v>12</v>
      </c>
      <c r="E42" s="14" t="s">
        <v>13</v>
      </c>
      <c r="F42" s="15" t="s">
        <v>14</v>
      </c>
      <c r="G42" s="14" t="s">
        <v>15</v>
      </c>
      <c r="H42" s="52" t="s">
        <v>16</v>
      </c>
    </row>
    <row r="43" spans="2:8" x14ac:dyDescent="0.25">
      <c r="B43" s="533"/>
      <c r="C43" s="34" t="s">
        <v>49</v>
      </c>
      <c r="D43" s="43" t="s">
        <v>31</v>
      </c>
      <c r="E43" s="18" t="s">
        <v>32</v>
      </c>
      <c r="F43" s="37">
        <v>1</v>
      </c>
      <c r="G43" s="53">
        <f>'2 Camarote Institucional'!K30</f>
        <v>0</v>
      </c>
      <c r="H43" s="21">
        <f t="shared" ref="H43:H48" si="3">F43*G43</f>
        <v>0</v>
      </c>
    </row>
    <row r="44" spans="2:8" x14ac:dyDescent="0.25">
      <c r="B44" s="533"/>
      <c r="C44" s="34" t="s">
        <v>50</v>
      </c>
      <c r="D44" s="59" t="s">
        <v>65</v>
      </c>
      <c r="E44" s="18" t="s">
        <v>35</v>
      </c>
      <c r="F44" s="37">
        <v>1</v>
      </c>
      <c r="G44" s="53">
        <f>'2 Camarote Institucional'!K41</f>
        <v>0</v>
      </c>
      <c r="H44" s="21">
        <f t="shared" si="3"/>
        <v>0</v>
      </c>
    </row>
    <row r="45" spans="2:8" ht="30" x14ac:dyDescent="0.25">
      <c r="B45" s="543"/>
      <c r="C45" s="34" t="s">
        <v>51</v>
      </c>
      <c r="D45" s="43" t="s">
        <v>37</v>
      </c>
      <c r="E45" s="18" t="s">
        <v>32</v>
      </c>
      <c r="F45" s="37">
        <v>1</v>
      </c>
      <c r="G45" s="53">
        <f>'2 Camarote Institucional'!K57</f>
        <v>0</v>
      </c>
      <c r="H45" s="21">
        <f t="shared" si="3"/>
        <v>0</v>
      </c>
    </row>
    <row r="46" spans="2:8" x14ac:dyDescent="0.25">
      <c r="B46" s="544" t="s">
        <v>38</v>
      </c>
      <c r="C46" s="34" t="s">
        <v>52</v>
      </c>
      <c r="D46" s="43" t="s">
        <v>40</v>
      </c>
      <c r="E46" s="18" t="s">
        <v>35</v>
      </c>
      <c r="F46" s="37">
        <v>1</v>
      </c>
      <c r="G46" s="53">
        <f>'2 Camarote Institucional'!K62</f>
        <v>0</v>
      </c>
      <c r="H46" s="21">
        <f t="shared" si="3"/>
        <v>0</v>
      </c>
    </row>
    <row r="47" spans="2:8" x14ac:dyDescent="0.25">
      <c r="B47" s="545"/>
      <c r="C47" s="34" t="s">
        <v>53</v>
      </c>
      <c r="D47" s="43" t="s">
        <v>42</v>
      </c>
      <c r="E47" s="18" t="s">
        <v>35</v>
      </c>
      <c r="F47" s="37">
        <v>1</v>
      </c>
      <c r="G47" s="53">
        <f>'2 Camarote Institucional'!K67</f>
        <v>0</v>
      </c>
      <c r="H47" s="21">
        <f t="shared" si="3"/>
        <v>0</v>
      </c>
    </row>
    <row r="48" spans="2:8" x14ac:dyDescent="0.25">
      <c r="B48" s="546"/>
      <c r="C48" s="34" t="s">
        <v>54</v>
      </c>
      <c r="D48" s="43" t="s">
        <v>44</v>
      </c>
      <c r="E48" s="18" t="s">
        <v>35</v>
      </c>
      <c r="F48" s="37">
        <v>1</v>
      </c>
      <c r="G48" s="53">
        <f>'2 Camarote Institucional'!K74</f>
        <v>0</v>
      </c>
      <c r="H48" s="21">
        <f t="shared" si="3"/>
        <v>0</v>
      </c>
    </row>
    <row r="49" spans="2:8" x14ac:dyDescent="0.25">
      <c r="B49" s="534"/>
      <c r="C49" s="535"/>
      <c r="D49" s="525"/>
      <c r="E49" s="526"/>
      <c r="F49" s="531" t="s">
        <v>25</v>
      </c>
      <c r="G49" s="515"/>
      <c r="H49" s="22">
        <f>SUM(H42:H48)</f>
        <v>0</v>
      </c>
    </row>
    <row r="50" spans="2:8" x14ac:dyDescent="0.25">
      <c r="B50" s="536"/>
      <c r="C50" s="537"/>
      <c r="D50" s="527"/>
      <c r="E50" s="528"/>
      <c r="F50" s="26" t="s">
        <v>27</v>
      </c>
      <c r="G50" s="24">
        <f>BDI!$C$20</f>
        <v>0.2492</v>
      </c>
      <c r="H50" s="25">
        <f>H49*G50</f>
        <v>0</v>
      </c>
    </row>
    <row r="51" spans="2:8" x14ac:dyDescent="0.25">
      <c r="B51" s="538"/>
      <c r="C51" s="539"/>
      <c r="D51" s="529"/>
      <c r="E51" s="530"/>
      <c r="F51" s="514" t="s">
        <v>45</v>
      </c>
      <c r="G51" s="515"/>
      <c r="H51" s="27">
        <f>TRUNC(H50+H49,2)</f>
        <v>0</v>
      </c>
    </row>
    <row r="52" spans="2:8" x14ac:dyDescent="0.25">
      <c r="B52" s="516" t="s">
        <v>46</v>
      </c>
      <c r="C52" s="517"/>
      <c r="D52" s="517"/>
      <c r="E52" s="517"/>
      <c r="F52" s="517"/>
      <c r="G52" s="515"/>
      <c r="H52" s="45">
        <f>H51+H41</f>
        <v>0</v>
      </c>
    </row>
    <row r="53" spans="2:8" x14ac:dyDescent="0.25">
      <c r="B53" s="46"/>
      <c r="C53" s="47"/>
      <c r="D53" s="48"/>
      <c r="E53" s="48"/>
      <c r="F53" s="49"/>
      <c r="G53" s="48"/>
      <c r="H53" s="50"/>
    </row>
    <row r="54" spans="2:8" hidden="1" x14ac:dyDescent="0.25">
      <c r="B54" s="11" t="s">
        <v>62</v>
      </c>
      <c r="C54" s="12"/>
      <c r="D54" s="54" t="s">
        <v>70</v>
      </c>
      <c r="E54" s="55"/>
      <c r="F54" s="56"/>
      <c r="G54" s="57"/>
      <c r="H54" s="58"/>
    </row>
    <row r="55" spans="2:8" hidden="1" x14ac:dyDescent="0.25">
      <c r="B55" s="521" t="s">
        <v>11</v>
      </c>
      <c r="C55" s="522"/>
      <c r="D55" s="13" t="s">
        <v>12</v>
      </c>
      <c r="E55" s="14" t="s">
        <v>13</v>
      </c>
      <c r="F55" s="15" t="s">
        <v>14</v>
      </c>
      <c r="G55" s="14" t="s">
        <v>15</v>
      </c>
      <c r="H55" s="16" t="s">
        <v>16</v>
      </c>
    </row>
    <row r="56" spans="2:8" hidden="1" x14ac:dyDescent="0.25">
      <c r="B56" s="523"/>
      <c r="C56" s="524"/>
      <c r="D56" s="17" t="s">
        <v>17</v>
      </c>
      <c r="E56" s="18" t="s">
        <v>18</v>
      </c>
      <c r="F56" s="19">
        <v>48</v>
      </c>
      <c r="G56" s="20">
        <v>26.169818181818179</v>
      </c>
      <c r="H56" s="21">
        <v>1256.1512727272725</v>
      </c>
    </row>
    <row r="57" spans="2:8" hidden="1" x14ac:dyDescent="0.25">
      <c r="B57" s="523"/>
      <c r="C57" s="524"/>
      <c r="D57" s="17" t="s">
        <v>19</v>
      </c>
      <c r="E57" s="18" t="s">
        <v>18</v>
      </c>
      <c r="F57" s="19">
        <v>1440</v>
      </c>
      <c r="G57" s="20">
        <v>14.195636363636364</v>
      </c>
      <c r="H57" s="21">
        <v>20441.716363636366</v>
      </c>
    </row>
    <row r="58" spans="2:8" hidden="1" x14ac:dyDescent="0.25">
      <c r="B58" s="523"/>
      <c r="C58" s="524"/>
      <c r="D58" s="17" t="s">
        <v>20</v>
      </c>
      <c r="E58" s="18" t="s">
        <v>18</v>
      </c>
      <c r="F58" s="19">
        <v>1440</v>
      </c>
      <c r="G58" s="20">
        <v>9.9844090909090912</v>
      </c>
      <c r="H58" s="21">
        <v>14377.549090909091</v>
      </c>
    </row>
    <row r="59" spans="2:8" hidden="1" x14ac:dyDescent="0.25">
      <c r="B59" s="523"/>
      <c r="C59" s="524"/>
      <c r="D59" s="17" t="s">
        <v>21</v>
      </c>
      <c r="E59" s="18" t="s">
        <v>18</v>
      </c>
      <c r="F59" s="19">
        <v>384</v>
      </c>
      <c r="G59" s="20">
        <v>13.159863636363637</v>
      </c>
      <c r="H59" s="21">
        <v>5053.3876363636364</v>
      </c>
    </row>
    <row r="60" spans="2:8" hidden="1" x14ac:dyDescent="0.25">
      <c r="B60" s="523"/>
      <c r="C60" s="524"/>
      <c r="D60" s="17" t="s">
        <v>22</v>
      </c>
      <c r="E60" s="18" t="s">
        <v>18</v>
      </c>
      <c r="F60" s="19">
        <v>160</v>
      </c>
      <c r="G60" s="20">
        <v>12.136863636363637</v>
      </c>
      <c r="H60" s="21">
        <v>1941.8981818181819</v>
      </c>
    </row>
    <row r="61" spans="2:8" hidden="1" x14ac:dyDescent="0.25">
      <c r="B61" s="523"/>
      <c r="C61" s="524"/>
      <c r="D61" s="17" t="s">
        <v>23</v>
      </c>
      <c r="E61" s="18" t="s">
        <v>18</v>
      </c>
      <c r="F61" s="19">
        <v>96</v>
      </c>
      <c r="G61" s="20">
        <v>10.089818181818183</v>
      </c>
      <c r="H61" s="21">
        <v>968.62254545454562</v>
      </c>
    </row>
    <row r="62" spans="2:8" hidden="1" x14ac:dyDescent="0.25">
      <c r="B62" s="523"/>
      <c r="C62" s="524"/>
      <c r="D62" s="17" t="s">
        <v>24</v>
      </c>
      <c r="E62" s="18" t="s">
        <v>18</v>
      </c>
      <c r="F62" s="19">
        <v>192</v>
      </c>
      <c r="G62" s="20">
        <v>7.6355909090909089</v>
      </c>
      <c r="H62" s="21">
        <v>1466.0334545454546</v>
      </c>
    </row>
    <row r="63" spans="2:8" hidden="1" x14ac:dyDescent="0.25">
      <c r="B63" s="523"/>
      <c r="C63" s="524"/>
      <c r="D63" s="525"/>
      <c r="E63" s="526"/>
      <c r="F63" s="531" t="s">
        <v>25</v>
      </c>
      <c r="G63" s="515"/>
      <c r="H63" s="22">
        <f>SUM(H56:H62)</f>
        <v>45505.358545454554</v>
      </c>
    </row>
    <row r="64" spans="2:8" ht="30" hidden="1" x14ac:dyDescent="0.25">
      <c r="B64" s="523"/>
      <c r="C64" s="524"/>
      <c r="D64" s="527"/>
      <c r="E64" s="528"/>
      <c r="F64" s="26" t="s">
        <v>26</v>
      </c>
      <c r="G64" s="24">
        <v>0.6976</v>
      </c>
      <c r="H64" s="25">
        <f>H63*G64</f>
        <v>31744.538121309095</v>
      </c>
    </row>
    <row r="65" spans="2:8" hidden="1" x14ac:dyDescent="0.25">
      <c r="B65" s="523"/>
      <c r="C65" s="524"/>
      <c r="D65" s="527"/>
      <c r="E65" s="528"/>
      <c r="F65" s="531" t="s">
        <v>8</v>
      </c>
      <c r="G65" s="515"/>
      <c r="H65" s="22">
        <f>H64+H63</f>
        <v>77249.896666763641</v>
      </c>
    </row>
    <row r="66" spans="2:8" hidden="1" x14ac:dyDescent="0.25">
      <c r="B66" s="523"/>
      <c r="C66" s="524"/>
      <c r="D66" s="527"/>
      <c r="E66" s="528"/>
      <c r="F66" s="26" t="s">
        <v>27</v>
      </c>
      <c r="G66" s="24">
        <v>0.1323180193684208</v>
      </c>
      <c r="H66" s="25">
        <f>H65*G66</f>
        <v>10221.553323361337</v>
      </c>
    </row>
    <row r="67" spans="2:8" hidden="1" x14ac:dyDescent="0.25">
      <c r="B67" s="523"/>
      <c r="C67" s="524"/>
      <c r="D67" s="529"/>
      <c r="E67" s="530"/>
      <c r="F67" s="514" t="s">
        <v>28</v>
      </c>
      <c r="G67" s="515"/>
      <c r="H67" s="27">
        <f>TRUNC(H66+H65,2)</f>
        <v>87471.44</v>
      </c>
    </row>
    <row r="68" spans="2:8" hidden="1" x14ac:dyDescent="0.25">
      <c r="B68" s="532" t="s">
        <v>29</v>
      </c>
      <c r="C68" s="28"/>
      <c r="D68" s="13" t="s">
        <v>12</v>
      </c>
      <c r="E68" s="14" t="s">
        <v>13</v>
      </c>
      <c r="F68" s="15" t="s">
        <v>14</v>
      </c>
      <c r="G68" s="14" t="s">
        <v>15</v>
      </c>
      <c r="H68" s="52" t="s">
        <v>16</v>
      </c>
    </row>
    <row r="69" spans="2:8" hidden="1" x14ac:dyDescent="0.25">
      <c r="B69" s="533"/>
      <c r="C69" s="34" t="s">
        <v>63</v>
      </c>
      <c r="D69" s="43" t="s">
        <v>31</v>
      </c>
      <c r="E69" s="18" t="s">
        <v>32</v>
      </c>
      <c r="F69" s="37">
        <v>1</v>
      </c>
      <c r="G69" s="53">
        <f>'1.5 CAMAROTE_B'!K15</f>
        <v>0</v>
      </c>
      <c r="H69" s="21">
        <f t="shared" ref="H69:H74" si="4">G69*F69</f>
        <v>0</v>
      </c>
    </row>
    <row r="70" spans="2:8" hidden="1" x14ac:dyDescent="0.25">
      <c r="B70" s="533"/>
      <c r="C70" s="34" t="s">
        <v>64</v>
      </c>
      <c r="D70" s="59" t="s">
        <v>65</v>
      </c>
      <c r="E70" s="18" t="s">
        <v>35</v>
      </c>
      <c r="F70" s="37">
        <v>1</v>
      </c>
      <c r="G70" s="53">
        <f>'1.5 CAMAROTE_B'!K25</f>
        <v>0</v>
      </c>
      <c r="H70" s="21">
        <f t="shared" si="4"/>
        <v>0</v>
      </c>
    </row>
    <row r="71" spans="2:8" ht="30" hidden="1" x14ac:dyDescent="0.25">
      <c r="B71" s="543"/>
      <c r="C71" s="34" t="s">
        <v>66</v>
      </c>
      <c r="D71" s="43" t="s">
        <v>37</v>
      </c>
      <c r="E71" s="18" t="s">
        <v>32</v>
      </c>
      <c r="F71" s="37">
        <v>1</v>
      </c>
      <c r="G71" s="53">
        <f>'1.5 CAMAROTE_B'!K40</f>
        <v>0</v>
      </c>
      <c r="H71" s="21">
        <f t="shared" si="4"/>
        <v>0</v>
      </c>
    </row>
    <row r="72" spans="2:8" hidden="1" x14ac:dyDescent="0.25">
      <c r="B72" s="544" t="s">
        <v>38</v>
      </c>
      <c r="C72" s="34" t="s">
        <v>67</v>
      </c>
      <c r="D72" s="43" t="s">
        <v>40</v>
      </c>
      <c r="E72" s="18" t="s">
        <v>35</v>
      </c>
      <c r="F72" s="37">
        <v>1</v>
      </c>
      <c r="G72" s="53">
        <f>'1.5 CAMAROTE_B'!K45</f>
        <v>0</v>
      </c>
      <c r="H72" s="21">
        <f t="shared" si="4"/>
        <v>0</v>
      </c>
    </row>
    <row r="73" spans="2:8" hidden="1" x14ac:dyDescent="0.25">
      <c r="B73" s="545"/>
      <c r="C73" s="34" t="s">
        <v>68</v>
      </c>
      <c r="D73" s="43" t="s">
        <v>42</v>
      </c>
      <c r="E73" s="18" t="s">
        <v>35</v>
      </c>
      <c r="F73" s="37">
        <v>1</v>
      </c>
      <c r="G73" s="53">
        <f>'1.5 CAMAROTE_B'!K50</f>
        <v>0</v>
      </c>
      <c r="H73" s="21">
        <f t="shared" si="4"/>
        <v>0</v>
      </c>
    </row>
    <row r="74" spans="2:8" hidden="1" x14ac:dyDescent="0.25">
      <c r="B74" s="546"/>
      <c r="C74" s="34" t="s">
        <v>69</v>
      </c>
      <c r="D74" s="43" t="s">
        <v>44</v>
      </c>
      <c r="E74" s="18" t="s">
        <v>35</v>
      </c>
      <c r="F74" s="37">
        <v>1</v>
      </c>
      <c r="G74" s="53">
        <f>'1.5 CAMAROTE_B'!K57</f>
        <v>0</v>
      </c>
      <c r="H74" s="21">
        <f t="shared" si="4"/>
        <v>0</v>
      </c>
    </row>
    <row r="75" spans="2:8" hidden="1" x14ac:dyDescent="0.25">
      <c r="B75" s="534"/>
      <c r="C75" s="535"/>
      <c r="D75" s="525"/>
      <c r="E75" s="526"/>
      <c r="F75" s="531" t="s">
        <v>25</v>
      </c>
      <c r="G75" s="515"/>
      <c r="H75" s="22">
        <f>SUM(H68:H74)</f>
        <v>0</v>
      </c>
    </row>
    <row r="76" spans="2:8" hidden="1" x14ac:dyDescent="0.25">
      <c r="B76" s="536"/>
      <c r="C76" s="537"/>
      <c r="D76" s="527"/>
      <c r="E76" s="528"/>
      <c r="F76" s="26" t="s">
        <v>27</v>
      </c>
      <c r="G76" s="60">
        <v>0.1323180193684208</v>
      </c>
      <c r="H76" s="25">
        <f>H75*G76</f>
        <v>0</v>
      </c>
    </row>
    <row r="77" spans="2:8" hidden="1" x14ac:dyDescent="0.25">
      <c r="B77" s="538"/>
      <c r="C77" s="539"/>
      <c r="D77" s="529"/>
      <c r="E77" s="530"/>
      <c r="F77" s="514" t="s">
        <v>45</v>
      </c>
      <c r="G77" s="515"/>
      <c r="H77" s="27">
        <f>TRUNC(H76+H75,2)</f>
        <v>0</v>
      </c>
    </row>
    <row r="78" spans="2:8" hidden="1" x14ac:dyDescent="0.25">
      <c r="B78" s="516" t="s">
        <v>46</v>
      </c>
      <c r="C78" s="517"/>
      <c r="D78" s="517"/>
      <c r="E78" s="517"/>
      <c r="F78" s="517"/>
      <c r="G78" s="515"/>
      <c r="H78" s="45">
        <f>H77+H67</f>
        <v>87471.44</v>
      </c>
    </row>
    <row r="79" spans="2:8" hidden="1" x14ac:dyDescent="0.25">
      <c r="B79" s="46"/>
      <c r="C79" s="47"/>
      <c r="D79" s="48"/>
      <c r="E79" s="48"/>
      <c r="F79" s="49"/>
      <c r="G79" s="48"/>
      <c r="H79" s="50"/>
    </row>
    <row r="80" spans="2:8" x14ac:dyDescent="0.25">
      <c r="B80" s="11" t="s">
        <v>12</v>
      </c>
      <c r="C80" s="12">
        <v>3</v>
      </c>
      <c r="D80" s="54" t="s">
        <v>1945</v>
      </c>
      <c r="E80" s="55"/>
      <c r="F80" s="56"/>
      <c r="G80" s="57"/>
      <c r="H80" s="58"/>
    </row>
    <row r="81" spans="2:8" x14ac:dyDescent="0.25">
      <c r="B81" s="521" t="s">
        <v>11</v>
      </c>
      <c r="C81" s="522"/>
      <c r="D81" s="13" t="s">
        <v>12</v>
      </c>
      <c r="E81" s="14" t="s">
        <v>13</v>
      </c>
      <c r="F81" s="15" t="s">
        <v>14</v>
      </c>
      <c r="G81" s="14" t="s">
        <v>15</v>
      </c>
      <c r="H81" s="16" t="s">
        <v>16</v>
      </c>
    </row>
    <row r="82" spans="2:8" x14ac:dyDescent="0.25">
      <c r="B82" s="523"/>
      <c r="C82" s="524"/>
      <c r="D82" s="17" t="s">
        <v>17</v>
      </c>
      <c r="E82" s="18" t="s">
        <v>18</v>
      </c>
      <c r="F82" s="19">
        <v>60</v>
      </c>
      <c r="G82" s="20">
        <f>Insumos!Q21</f>
        <v>0</v>
      </c>
      <c r="H82" s="21">
        <f t="shared" ref="H82:H88" si="5">F82*G82</f>
        <v>0</v>
      </c>
    </row>
    <row r="83" spans="2:8" x14ac:dyDescent="0.25">
      <c r="B83" s="523"/>
      <c r="C83" s="524"/>
      <c r="D83" s="17" t="s">
        <v>19</v>
      </c>
      <c r="E83" s="18" t="s">
        <v>18</v>
      </c>
      <c r="F83" s="19">
        <v>1600</v>
      </c>
      <c r="G83" s="20">
        <f>Insumos!Q22</f>
        <v>0</v>
      </c>
      <c r="H83" s="21">
        <f t="shared" si="5"/>
        <v>0</v>
      </c>
    </row>
    <row r="84" spans="2:8" x14ac:dyDescent="0.25">
      <c r="B84" s="523"/>
      <c r="C84" s="524"/>
      <c r="D84" s="17" t="s">
        <v>20</v>
      </c>
      <c r="E84" s="18" t="s">
        <v>18</v>
      </c>
      <c r="F84" s="19">
        <v>1600</v>
      </c>
      <c r="G84" s="20">
        <f>Insumos!Q23</f>
        <v>0</v>
      </c>
      <c r="H84" s="21">
        <f t="shared" si="5"/>
        <v>0</v>
      </c>
    </row>
    <row r="85" spans="2:8" x14ac:dyDescent="0.25">
      <c r="B85" s="523"/>
      <c r="C85" s="524"/>
      <c r="D85" s="17" t="s">
        <v>21</v>
      </c>
      <c r="E85" s="18" t="s">
        <v>18</v>
      </c>
      <c r="F85" s="19">
        <v>1200</v>
      </c>
      <c r="G85" s="20">
        <f>Insumos!Q24</f>
        <v>0</v>
      </c>
      <c r="H85" s="21">
        <f t="shared" si="5"/>
        <v>0</v>
      </c>
    </row>
    <row r="86" spans="2:8" x14ac:dyDescent="0.25">
      <c r="B86" s="523"/>
      <c r="C86" s="524"/>
      <c r="D86" s="17" t="s">
        <v>22</v>
      </c>
      <c r="E86" s="18" t="s">
        <v>18</v>
      </c>
      <c r="F86" s="19">
        <v>256</v>
      </c>
      <c r="G86" s="20">
        <f>Insumos!Q25</f>
        <v>0</v>
      </c>
      <c r="H86" s="21">
        <f t="shared" si="5"/>
        <v>0</v>
      </c>
    </row>
    <row r="87" spans="2:8" x14ac:dyDescent="0.25">
      <c r="B87" s="523"/>
      <c r="C87" s="524"/>
      <c r="D87" s="17" t="s">
        <v>23</v>
      </c>
      <c r="E87" s="18" t="s">
        <v>18</v>
      </c>
      <c r="F87" s="19">
        <v>120</v>
      </c>
      <c r="G87" s="20">
        <f>Insumos!Q26</f>
        <v>0</v>
      </c>
      <c r="H87" s="21">
        <f t="shared" si="5"/>
        <v>0</v>
      </c>
    </row>
    <row r="88" spans="2:8" x14ac:dyDescent="0.25">
      <c r="B88" s="523"/>
      <c r="C88" s="524"/>
      <c r="D88" s="17" t="s">
        <v>24</v>
      </c>
      <c r="E88" s="18" t="s">
        <v>18</v>
      </c>
      <c r="F88" s="19">
        <v>240</v>
      </c>
      <c r="G88" s="20">
        <f>Insumos!Q27</f>
        <v>0</v>
      </c>
      <c r="H88" s="21">
        <f t="shared" si="5"/>
        <v>0</v>
      </c>
    </row>
    <row r="89" spans="2:8" x14ac:dyDescent="0.25">
      <c r="B89" s="523"/>
      <c r="C89" s="524"/>
      <c r="D89" s="525"/>
      <c r="E89" s="526"/>
      <c r="F89" s="531" t="s">
        <v>25</v>
      </c>
      <c r="G89" s="515"/>
      <c r="H89" s="22">
        <f>SUM(H82:H88)</f>
        <v>0</v>
      </c>
    </row>
    <row r="90" spans="2:8" ht="30" x14ac:dyDescent="0.25">
      <c r="B90" s="523"/>
      <c r="C90" s="524"/>
      <c r="D90" s="527"/>
      <c r="E90" s="528"/>
      <c r="F90" s="26" t="s">
        <v>26</v>
      </c>
      <c r="G90" s="24">
        <f>Insumos!$K$28</f>
        <v>0.70109999999999995</v>
      </c>
      <c r="H90" s="25">
        <f>H89*G90</f>
        <v>0</v>
      </c>
    </row>
    <row r="91" spans="2:8" x14ac:dyDescent="0.25">
      <c r="B91" s="523"/>
      <c r="C91" s="524"/>
      <c r="D91" s="527"/>
      <c r="E91" s="528"/>
      <c r="F91" s="531" t="s">
        <v>8</v>
      </c>
      <c r="G91" s="515"/>
      <c r="H91" s="22">
        <f>H90+H89</f>
        <v>0</v>
      </c>
    </row>
    <row r="92" spans="2:8" x14ac:dyDescent="0.25">
      <c r="B92" s="523"/>
      <c r="C92" s="524"/>
      <c r="D92" s="527"/>
      <c r="E92" s="528"/>
      <c r="F92" s="26" t="s">
        <v>27</v>
      </c>
      <c r="G92" s="24">
        <f>BDI!$C$20</f>
        <v>0.2492</v>
      </c>
      <c r="H92" s="25">
        <f>H91*G92</f>
        <v>0</v>
      </c>
    </row>
    <row r="93" spans="2:8" x14ac:dyDescent="0.25">
      <c r="B93" s="523"/>
      <c r="C93" s="524"/>
      <c r="D93" s="529"/>
      <c r="E93" s="530"/>
      <c r="F93" s="514" t="s">
        <v>28</v>
      </c>
      <c r="G93" s="515"/>
      <c r="H93" s="27">
        <f>TRUNC(H92+H91,2)</f>
        <v>0</v>
      </c>
    </row>
    <row r="94" spans="2:8" x14ac:dyDescent="0.25">
      <c r="B94" s="532" t="s">
        <v>29</v>
      </c>
      <c r="C94" s="28"/>
      <c r="D94" s="13" t="s">
        <v>12</v>
      </c>
      <c r="E94" s="14" t="s">
        <v>13</v>
      </c>
      <c r="F94" s="15" t="s">
        <v>14</v>
      </c>
      <c r="G94" s="14" t="s">
        <v>15</v>
      </c>
      <c r="H94" s="52" t="s">
        <v>16</v>
      </c>
    </row>
    <row r="95" spans="2:8" x14ac:dyDescent="0.25">
      <c r="B95" s="533"/>
      <c r="C95" s="34" t="s">
        <v>63</v>
      </c>
      <c r="D95" s="43" t="s">
        <v>31</v>
      </c>
      <c r="E95" s="18" t="s">
        <v>32</v>
      </c>
      <c r="F95" s="37">
        <v>1</v>
      </c>
      <c r="G95" s="53">
        <f>'3 Pav. Restaurantes'!K20</f>
        <v>0</v>
      </c>
      <c r="H95" s="21">
        <f t="shared" ref="H95:H100" si="6">F95*G95</f>
        <v>0</v>
      </c>
    </row>
    <row r="96" spans="2:8" x14ac:dyDescent="0.25">
      <c r="B96" s="533"/>
      <c r="C96" s="34" t="s">
        <v>64</v>
      </c>
      <c r="D96" s="59" t="s">
        <v>65</v>
      </c>
      <c r="E96" s="18" t="s">
        <v>35</v>
      </c>
      <c r="F96" s="37">
        <v>1</v>
      </c>
      <c r="G96" s="53">
        <f>'3 Pav. Restaurantes'!K30</f>
        <v>0</v>
      </c>
      <c r="H96" s="21">
        <f t="shared" si="6"/>
        <v>0</v>
      </c>
    </row>
    <row r="97" spans="2:8" ht="30" x14ac:dyDescent="0.25">
      <c r="B97" s="543"/>
      <c r="C97" s="34" t="s">
        <v>66</v>
      </c>
      <c r="D97" s="43" t="s">
        <v>37</v>
      </c>
      <c r="E97" s="18" t="s">
        <v>32</v>
      </c>
      <c r="F97" s="37">
        <v>1</v>
      </c>
      <c r="G97" s="53">
        <f>'3 Pav. Restaurantes'!K45</f>
        <v>0</v>
      </c>
      <c r="H97" s="21">
        <f t="shared" si="6"/>
        <v>0</v>
      </c>
    </row>
    <row r="98" spans="2:8" x14ac:dyDescent="0.25">
      <c r="B98" s="544" t="s">
        <v>38</v>
      </c>
      <c r="C98" s="34" t="s">
        <v>67</v>
      </c>
      <c r="D98" s="43" t="s">
        <v>40</v>
      </c>
      <c r="E98" s="18" t="s">
        <v>35</v>
      </c>
      <c r="F98" s="37">
        <v>1</v>
      </c>
      <c r="G98" s="53">
        <f>'3 Pav. Restaurantes'!K50</f>
        <v>0</v>
      </c>
      <c r="H98" s="21">
        <f t="shared" si="6"/>
        <v>0</v>
      </c>
    </row>
    <row r="99" spans="2:8" x14ac:dyDescent="0.25">
      <c r="B99" s="545"/>
      <c r="C99" s="34" t="s">
        <v>68</v>
      </c>
      <c r="D99" s="43" t="s">
        <v>42</v>
      </c>
      <c r="E99" s="18" t="s">
        <v>35</v>
      </c>
      <c r="F99" s="37">
        <v>1</v>
      </c>
      <c r="G99" s="53">
        <f>'3 Pav. Restaurantes'!K55</f>
        <v>0</v>
      </c>
      <c r="H99" s="21">
        <f t="shared" si="6"/>
        <v>0</v>
      </c>
    </row>
    <row r="100" spans="2:8" x14ac:dyDescent="0.25">
      <c r="B100" s="546"/>
      <c r="C100" s="34" t="s">
        <v>69</v>
      </c>
      <c r="D100" s="43" t="s">
        <v>44</v>
      </c>
      <c r="E100" s="18" t="s">
        <v>35</v>
      </c>
      <c r="F100" s="37">
        <v>1</v>
      </c>
      <c r="G100" s="53">
        <f>'3 Pav. Restaurantes'!K62</f>
        <v>0</v>
      </c>
      <c r="H100" s="21">
        <f t="shared" si="6"/>
        <v>0</v>
      </c>
    </row>
    <row r="101" spans="2:8" x14ac:dyDescent="0.25">
      <c r="B101" s="534"/>
      <c r="C101" s="535"/>
      <c r="D101" s="525"/>
      <c r="E101" s="526"/>
      <c r="F101" s="531" t="s">
        <v>25</v>
      </c>
      <c r="G101" s="515"/>
      <c r="H101" s="22">
        <f>SUM(H94:H100)</f>
        <v>0</v>
      </c>
    </row>
    <row r="102" spans="2:8" x14ac:dyDescent="0.25">
      <c r="B102" s="536"/>
      <c r="C102" s="537"/>
      <c r="D102" s="527"/>
      <c r="E102" s="528"/>
      <c r="F102" s="26" t="s">
        <v>27</v>
      </c>
      <c r="G102" s="24">
        <f>BDI!$C$20</f>
        <v>0.2492</v>
      </c>
      <c r="H102" s="25">
        <f>H101*G102</f>
        <v>0</v>
      </c>
    </row>
    <row r="103" spans="2:8" x14ac:dyDescent="0.25">
      <c r="B103" s="538"/>
      <c r="C103" s="539"/>
      <c r="D103" s="529"/>
      <c r="E103" s="530"/>
      <c r="F103" s="514" t="s">
        <v>45</v>
      </c>
      <c r="G103" s="515"/>
      <c r="H103" s="27">
        <f>TRUNC(H102+H101,2)</f>
        <v>0</v>
      </c>
    </row>
    <row r="104" spans="2:8" x14ac:dyDescent="0.25">
      <c r="B104" s="516" t="s">
        <v>46</v>
      </c>
      <c r="C104" s="517"/>
      <c r="D104" s="517"/>
      <c r="E104" s="517"/>
      <c r="F104" s="517"/>
      <c r="G104" s="515"/>
      <c r="H104" s="45">
        <f>H103+H93</f>
        <v>0</v>
      </c>
    </row>
    <row r="105" spans="2:8" x14ac:dyDescent="0.25">
      <c r="B105" s="46"/>
      <c r="C105" s="47"/>
      <c r="D105" s="48"/>
      <c r="E105" s="48"/>
      <c r="F105" s="49"/>
      <c r="G105" s="48"/>
      <c r="H105" s="50"/>
    </row>
    <row r="106" spans="2:8" x14ac:dyDescent="0.25">
      <c r="B106" s="11" t="s">
        <v>12</v>
      </c>
      <c r="C106" s="12">
        <v>4</v>
      </c>
      <c r="D106" s="518" t="s">
        <v>1919</v>
      </c>
      <c r="E106" s="519"/>
      <c r="F106" s="519"/>
      <c r="G106" s="519"/>
      <c r="H106" s="520"/>
    </row>
    <row r="107" spans="2:8" x14ac:dyDescent="0.25">
      <c r="B107" s="521" t="s">
        <v>11</v>
      </c>
      <c r="C107" s="522"/>
      <c r="D107" s="13" t="s">
        <v>12</v>
      </c>
      <c r="E107" s="14" t="s">
        <v>13</v>
      </c>
      <c r="F107" s="15" t="s">
        <v>14</v>
      </c>
      <c r="G107" s="14" t="s">
        <v>15</v>
      </c>
      <c r="H107" s="16" t="s">
        <v>16</v>
      </c>
    </row>
    <row r="108" spans="2:8" x14ac:dyDescent="0.25">
      <c r="B108" s="523"/>
      <c r="C108" s="524"/>
      <c r="D108" s="17" t="s">
        <v>17</v>
      </c>
      <c r="E108" s="18" t="s">
        <v>18</v>
      </c>
      <c r="F108" s="19">
        <v>100</v>
      </c>
      <c r="G108" s="20">
        <f>Insumos!Q21</f>
        <v>0</v>
      </c>
      <c r="H108" s="21">
        <f t="shared" ref="H108:H114" si="7">G108*F108</f>
        <v>0</v>
      </c>
    </row>
    <row r="109" spans="2:8" x14ac:dyDescent="0.25">
      <c r="B109" s="523"/>
      <c r="C109" s="524"/>
      <c r="D109" s="17" t="s">
        <v>19</v>
      </c>
      <c r="E109" s="18" t="s">
        <v>18</v>
      </c>
      <c r="F109" s="19">
        <v>800</v>
      </c>
      <c r="G109" s="20">
        <f>Insumos!Q22</f>
        <v>0</v>
      </c>
      <c r="H109" s="21">
        <f t="shared" si="7"/>
        <v>0</v>
      </c>
    </row>
    <row r="110" spans="2:8" x14ac:dyDescent="0.25">
      <c r="B110" s="523"/>
      <c r="C110" s="524"/>
      <c r="D110" s="17" t="s">
        <v>20</v>
      </c>
      <c r="E110" s="18" t="s">
        <v>18</v>
      </c>
      <c r="F110" s="19">
        <v>800</v>
      </c>
      <c r="G110" s="20">
        <f>Insumos!Q23</f>
        <v>0</v>
      </c>
      <c r="H110" s="21">
        <f t="shared" si="7"/>
        <v>0</v>
      </c>
    </row>
    <row r="111" spans="2:8" x14ac:dyDescent="0.25">
      <c r="B111" s="523"/>
      <c r="C111" s="524"/>
      <c r="D111" s="17" t="s">
        <v>21</v>
      </c>
      <c r="E111" s="18" t="s">
        <v>18</v>
      </c>
      <c r="F111" s="19">
        <v>600</v>
      </c>
      <c r="G111" s="20">
        <f>Insumos!Q24</f>
        <v>0</v>
      </c>
      <c r="H111" s="21">
        <f t="shared" si="7"/>
        <v>0</v>
      </c>
    </row>
    <row r="112" spans="2:8" x14ac:dyDescent="0.25">
      <c r="B112" s="523"/>
      <c r="C112" s="524"/>
      <c r="D112" s="17" t="s">
        <v>22</v>
      </c>
      <c r="E112" s="18" t="s">
        <v>18</v>
      </c>
      <c r="F112" s="19">
        <v>400</v>
      </c>
      <c r="G112" s="20">
        <f>Insumos!Q25</f>
        <v>0</v>
      </c>
      <c r="H112" s="21">
        <f t="shared" si="7"/>
        <v>0</v>
      </c>
    </row>
    <row r="113" spans="2:8" x14ac:dyDescent="0.25">
      <c r="B113" s="523"/>
      <c r="C113" s="524"/>
      <c r="D113" s="17" t="s">
        <v>23</v>
      </c>
      <c r="E113" s="18" t="s">
        <v>18</v>
      </c>
      <c r="F113" s="19">
        <v>200</v>
      </c>
      <c r="G113" s="20">
        <f>Insumos!Q26</f>
        <v>0</v>
      </c>
      <c r="H113" s="21">
        <f t="shared" si="7"/>
        <v>0</v>
      </c>
    </row>
    <row r="114" spans="2:8" x14ac:dyDescent="0.25">
      <c r="B114" s="523"/>
      <c r="C114" s="524"/>
      <c r="D114" s="17" t="s">
        <v>24</v>
      </c>
      <c r="E114" s="18" t="s">
        <v>18</v>
      </c>
      <c r="F114" s="19">
        <v>400</v>
      </c>
      <c r="G114" s="20">
        <f>Insumos!Q27</f>
        <v>0</v>
      </c>
      <c r="H114" s="21">
        <f t="shared" si="7"/>
        <v>0</v>
      </c>
    </row>
    <row r="115" spans="2:8" x14ac:dyDescent="0.25">
      <c r="B115" s="523"/>
      <c r="C115" s="524"/>
      <c r="D115" s="525"/>
      <c r="E115" s="526"/>
      <c r="F115" s="531" t="s">
        <v>25</v>
      </c>
      <c r="G115" s="515"/>
      <c r="H115" s="22">
        <f>SUM(H108:H114)</f>
        <v>0</v>
      </c>
    </row>
    <row r="116" spans="2:8" ht="30" x14ac:dyDescent="0.25">
      <c r="B116" s="523"/>
      <c r="C116" s="524"/>
      <c r="D116" s="527"/>
      <c r="E116" s="528"/>
      <c r="F116" s="26" t="s">
        <v>26</v>
      </c>
      <c r="G116" s="24">
        <f>Insumos!$K$28</f>
        <v>0.70109999999999995</v>
      </c>
      <c r="H116" s="25">
        <f>H115*G116</f>
        <v>0</v>
      </c>
    </row>
    <row r="117" spans="2:8" x14ac:dyDescent="0.25">
      <c r="B117" s="523"/>
      <c r="C117" s="524"/>
      <c r="D117" s="527"/>
      <c r="E117" s="528"/>
      <c r="F117" s="531" t="s">
        <v>8</v>
      </c>
      <c r="G117" s="515"/>
      <c r="H117" s="22">
        <f>H116+H115</f>
        <v>0</v>
      </c>
    </row>
    <row r="118" spans="2:8" x14ac:dyDescent="0.25">
      <c r="B118" s="523"/>
      <c r="C118" s="524"/>
      <c r="D118" s="527"/>
      <c r="E118" s="528"/>
      <c r="F118" s="26" t="s">
        <v>27</v>
      </c>
      <c r="G118" s="24">
        <f>BDI!$C$20</f>
        <v>0.2492</v>
      </c>
      <c r="H118" s="25">
        <f>H117*G118</f>
        <v>0</v>
      </c>
    </row>
    <row r="119" spans="2:8" x14ac:dyDescent="0.25">
      <c r="B119" s="523"/>
      <c r="C119" s="524"/>
      <c r="D119" s="529"/>
      <c r="E119" s="530"/>
      <c r="F119" s="514" t="s">
        <v>28</v>
      </c>
      <c r="G119" s="515"/>
      <c r="H119" s="27">
        <f>TRUNC(H118+H117,2)</f>
        <v>0</v>
      </c>
    </row>
    <row r="120" spans="2:8" x14ac:dyDescent="0.25">
      <c r="B120" s="532" t="s">
        <v>29</v>
      </c>
      <c r="C120" s="28"/>
      <c r="D120" s="13" t="s">
        <v>12</v>
      </c>
      <c r="E120" s="14" t="s">
        <v>13</v>
      </c>
      <c r="F120" s="15" t="s">
        <v>14</v>
      </c>
      <c r="G120" s="14" t="s">
        <v>15</v>
      </c>
      <c r="H120" s="52" t="s">
        <v>16</v>
      </c>
    </row>
    <row r="121" spans="2:8" x14ac:dyDescent="0.25">
      <c r="B121" s="533"/>
      <c r="C121" s="34" t="s">
        <v>1803</v>
      </c>
      <c r="D121" s="43" t="s">
        <v>31</v>
      </c>
      <c r="E121" s="18" t="s">
        <v>32</v>
      </c>
      <c r="F121" s="37">
        <v>1</v>
      </c>
      <c r="G121" s="53">
        <f>'4 Camarote Imprensa'!K22</f>
        <v>0</v>
      </c>
      <c r="H121" s="21">
        <f t="shared" ref="H121:H126" si="8">G121*F121</f>
        <v>0</v>
      </c>
    </row>
    <row r="122" spans="2:8" x14ac:dyDescent="0.25">
      <c r="B122" s="533"/>
      <c r="C122" s="34" t="s">
        <v>1804</v>
      </c>
      <c r="D122" s="43" t="s">
        <v>34</v>
      </c>
      <c r="E122" s="18" t="s">
        <v>35</v>
      </c>
      <c r="F122" s="37">
        <v>1</v>
      </c>
      <c r="G122" s="53">
        <f>'4 Camarote Imprensa'!K33</f>
        <v>0</v>
      </c>
      <c r="H122" s="21">
        <f t="shared" si="8"/>
        <v>0</v>
      </c>
    </row>
    <row r="123" spans="2:8" ht="30" x14ac:dyDescent="0.25">
      <c r="B123" s="543"/>
      <c r="C123" s="34" t="s">
        <v>1805</v>
      </c>
      <c r="D123" s="43" t="s">
        <v>37</v>
      </c>
      <c r="E123" s="18" t="s">
        <v>32</v>
      </c>
      <c r="F123" s="37">
        <v>1</v>
      </c>
      <c r="G123" s="53">
        <f>'4 Camarote Imprensa'!K49</f>
        <v>0</v>
      </c>
      <c r="H123" s="21">
        <f t="shared" si="8"/>
        <v>0</v>
      </c>
    </row>
    <row r="124" spans="2:8" x14ac:dyDescent="0.25">
      <c r="B124" s="544" t="s">
        <v>38</v>
      </c>
      <c r="C124" s="34" t="s">
        <v>1806</v>
      </c>
      <c r="D124" s="43" t="s">
        <v>40</v>
      </c>
      <c r="E124" s="18" t="s">
        <v>35</v>
      </c>
      <c r="F124" s="37">
        <v>1</v>
      </c>
      <c r="G124" s="53">
        <f>'4 Camarote Imprensa'!K54</f>
        <v>0</v>
      </c>
      <c r="H124" s="21">
        <f t="shared" si="8"/>
        <v>0</v>
      </c>
    </row>
    <row r="125" spans="2:8" x14ac:dyDescent="0.25">
      <c r="B125" s="545"/>
      <c r="C125" s="34" t="s">
        <v>1807</v>
      </c>
      <c r="D125" s="43" t="s">
        <v>42</v>
      </c>
      <c r="E125" s="18" t="s">
        <v>35</v>
      </c>
      <c r="F125" s="37">
        <v>1</v>
      </c>
      <c r="G125" s="53">
        <f>'4 Camarote Imprensa'!K59</f>
        <v>0</v>
      </c>
      <c r="H125" s="21">
        <f t="shared" si="8"/>
        <v>0</v>
      </c>
    </row>
    <row r="126" spans="2:8" x14ac:dyDescent="0.25">
      <c r="B126" s="546"/>
      <c r="C126" s="34" t="s">
        <v>1808</v>
      </c>
      <c r="D126" s="43" t="s">
        <v>44</v>
      </c>
      <c r="E126" s="18" t="s">
        <v>35</v>
      </c>
      <c r="F126" s="37">
        <v>1</v>
      </c>
      <c r="G126" s="53">
        <f>'4 Camarote Imprensa'!K66</f>
        <v>0</v>
      </c>
      <c r="H126" s="21">
        <f t="shared" si="8"/>
        <v>0</v>
      </c>
    </row>
    <row r="127" spans="2:8" x14ac:dyDescent="0.25">
      <c r="B127" s="534"/>
      <c r="C127" s="535"/>
      <c r="D127" s="525"/>
      <c r="E127" s="526"/>
      <c r="F127" s="531" t="s">
        <v>25</v>
      </c>
      <c r="G127" s="515"/>
      <c r="H127" s="22">
        <f>SUM(H120:H126)</f>
        <v>0</v>
      </c>
    </row>
    <row r="128" spans="2:8" x14ac:dyDescent="0.25">
      <c r="B128" s="536"/>
      <c r="C128" s="537"/>
      <c r="D128" s="527"/>
      <c r="E128" s="528"/>
      <c r="F128" s="26" t="s">
        <v>27</v>
      </c>
      <c r="G128" s="24">
        <f>BDI!$C$20</f>
        <v>0.2492</v>
      </c>
      <c r="H128" s="25">
        <f>H127*G128</f>
        <v>0</v>
      </c>
    </row>
    <row r="129" spans="2:8" x14ac:dyDescent="0.25">
      <c r="B129" s="538"/>
      <c r="C129" s="539"/>
      <c r="D129" s="529"/>
      <c r="E129" s="530"/>
      <c r="F129" s="514" t="s">
        <v>45</v>
      </c>
      <c r="G129" s="515"/>
      <c r="H129" s="27">
        <f>TRUNC(H128+H127,2)</f>
        <v>0</v>
      </c>
    </row>
    <row r="130" spans="2:8" x14ac:dyDescent="0.25">
      <c r="B130" s="516" t="s">
        <v>46</v>
      </c>
      <c r="C130" s="517"/>
      <c r="D130" s="517"/>
      <c r="E130" s="517"/>
      <c r="F130" s="517"/>
      <c r="G130" s="515"/>
      <c r="H130" s="45">
        <f>H129+H119</f>
        <v>0</v>
      </c>
    </row>
    <row r="131" spans="2:8" x14ac:dyDescent="0.25">
      <c r="B131" s="46"/>
      <c r="C131" s="47"/>
      <c r="D131" s="48"/>
      <c r="E131" s="48"/>
      <c r="F131" s="49"/>
      <c r="G131" s="48"/>
      <c r="H131" s="50"/>
    </row>
    <row r="132" spans="2:8" x14ac:dyDescent="0.25">
      <c r="B132" s="11" t="s">
        <v>12</v>
      </c>
      <c r="C132" s="12">
        <v>5</v>
      </c>
      <c r="D132" s="518" t="s">
        <v>1968</v>
      </c>
      <c r="E132" s="519"/>
      <c r="F132" s="519"/>
      <c r="G132" s="519"/>
      <c r="H132" s="520"/>
    </row>
    <row r="133" spans="2:8" x14ac:dyDescent="0.25">
      <c r="B133" s="521" t="s">
        <v>11</v>
      </c>
      <c r="C133" s="522"/>
      <c r="D133" s="13" t="s">
        <v>12</v>
      </c>
      <c r="E133" s="14" t="s">
        <v>13</v>
      </c>
      <c r="F133" s="15" t="s">
        <v>14</v>
      </c>
      <c r="G133" s="14" t="s">
        <v>15</v>
      </c>
      <c r="H133" s="16" t="s">
        <v>16</v>
      </c>
    </row>
    <row r="134" spans="2:8" x14ac:dyDescent="0.25">
      <c r="B134" s="523"/>
      <c r="C134" s="524"/>
      <c r="D134" s="17" t="s">
        <v>17</v>
      </c>
      <c r="E134" s="18" t="s">
        <v>18</v>
      </c>
      <c r="F134" s="19">
        <v>12</v>
      </c>
      <c r="G134" s="20">
        <f>Insumos!Q21</f>
        <v>0</v>
      </c>
      <c r="H134" s="21">
        <f t="shared" ref="H134:H140" si="9">F134*G134</f>
        <v>0</v>
      </c>
    </row>
    <row r="135" spans="2:8" x14ac:dyDescent="0.25">
      <c r="B135" s="523"/>
      <c r="C135" s="524"/>
      <c r="D135" s="17" t="s">
        <v>19</v>
      </c>
      <c r="E135" s="18" t="s">
        <v>18</v>
      </c>
      <c r="F135" s="19">
        <v>240</v>
      </c>
      <c r="G135" s="20">
        <f>Insumos!Q22</f>
        <v>0</v>
      </c>
      <c r="H135" s="21">
        <f t="shared" si="9"/>
        <v>0</v>
      </c>
    </row>
    <row r="136" spans="2:8" x14ac:dyDescent="0.25">
      <c r="B136" s="523"/>
      <c r="C136" s="524"/>
      <c r="D136" s="17" t="s">
        <v>20</v>
      </c>
      <c r="E136" s="18" t="s">
        <v>18</v>
      </c>
      <c r="F136" s="19">
        <v>360</v>
      </c>
      <c r="G136" s="20">
        <f>Insumos!Q23</f>
        <v>0</v>
      </c>
      <c r="H136" s="21">
        <f t="shared" si="9"/>
        <v>0</v>
      </c>
    </row>
    <row r="137" spans="2:8" x14ac:dyDescent="0.25">
      <c r="B137" s="523"/>
      <c r="C137" s="524"/>
      <c r="D137" s="17" t="s">
        <v>21</v>
      </c>
      <c r="E137" s="18" t="s">
        <v>18</v>
      </c>
      <c r="F137" s="19">
        <v>0</v>
      </c>
      <c r="G137" s="20">
        <f>Insumos!Q24</f>
        <v>0</v>
      </c>
      <c r="H137" s="21">
        <f t="shared" si="9"/>
        <v>0</v>
      </c>
    </row>
    <row r="138" spans="2:8" x14ac:dyDescent="0.25">
      <c r="B138" s="523"/>
      <c r="C138" s="524"/>
      <c r="D138" s="17" t="s">
        <v>22</v>
      </c>
      <c r="E138" s="18" t="s">
        <v>18</v>
      </c>
      <c r="F138" s="19">
        <v>96</v>
      </c>
      <c r="G138" s="20">
        <f>Insumos!Q25</f>
        <v>0</v>
      </c>
      <c r="H138" s="21">
        <f t="shared" si="9"/>
        <v>0</v>
      </c>
    </row>
    <row r="139" spans="2:8" x14ac:dyDescent="0.25">
      <c r="B139" s="523"/>
      <c r="C139" s="524"/>
      <c r="D139" s="17" t="s">
        <v>23</v>
      </c>
      <c r="E139" s="18" t="s">
        <v>18</v>
      </c>
      <c r="F139" s="19">
        <v>48</v>
      </c>
      <c r="G139" s="20">
        <f>Insumos!Q26</f>
        <v>0</v>
      </c>
      <c r="H139" s="21">
        <f t="shared" si="9"/>
        <v>0</v>
      </c>
    </row>
    <row r="140" spans="2:8" x14ac:dyDescent="0.25">
      <c r="B140" s="523"/>
      <c r="C140" s="524"/>
      <c r="D140" s="17" t="s">
        <v>24</v>
      </c>
      <c r="E140" s="18" t="s">
        <v>18</v>
      </c>
      <c r="F140" s="19">
        <v>96</v>
      </c>
      <c r="G140" s="20">
        <f>Insumos!Q27</f>
        <v>0</v>
      </c>
      <c r="H140" s="21">
        <f t="shared" si="9"/>
        <v>0</v>
      </c>
    </row>
    <row r="141" spans="2:8" x14ac:dyDescent="0.25">
      <c r="B141" s="523"/>
      <c r="C141" s="524"/>
      <c r="D141" s="525"/>
      <c r="E141" s="526"/>
      <c r="F141" s="531" t="s">
        <v>25</v>
      </c>
      <c r="G141" s="515"/>
      <c r="H141" s="22">
        <f>SUM(H134:H140)</f>
        <v>0</v>
      </c>
    </row>
    <row r="142" spans="2:8" ht="30" x14ac:dyDescent="0.25">
      <c r="B142" s="523"/>
      <c r="C142" s="524"/>
      <c r="D142" s="527"/>
      <c r="E142" s="528"/>
      <c r="F142" s="26" t="s">
        <v>26</v>
      </c>
      <c r="G142" s="24">
        <f>Insumos!$K$28</f>
        <v>0.70109999999999995</v>
      </c>
      <c r="H142" s="25">
        <f>H141*G142</f>
        <v>0</v>
      </c>
    </row>
    <row r="143" spans="2:8" x14ac:dyDescent="0.25">
      <c r="B143" s="523"/>
      <c r="C143" s="524"/>
      <c r="D143" s="527"/>
      <c r="E143" s="528"/>
      <c r="F143" s="531" t="s">
        <v>8</v>
      </c>
      <c r="G143" s="515"/>
      <c r="H143" s="22">
        <f>H142+H141</f>
        <v>0</v>
      </c>
    </row>
    <row r="144" spans="2:8" x14ac:dyDescent="0.25">
      <c r="B144" s="523"/>
      <c r="C144" s="524"/>
      <c r="D144" s="527"/>
      <c r="E144" s="528"/>
      <c r="F144" s="26" t="s">
        <v>27</v>
      </c>
      <c r="G144" s="24">
        <f>BDI!$C$20</f>
        <v>0.2492</v>
      </c>
      <c r="H144" s="25">
        <f>H143*G144</f>
        <v>0</v>
      </c>
    </row>
    <row r="145" spans="2:8" x14ac:dyDescent="0.25">
      <c r="B145" s="523"/>
      <c r="C145" s="524"/>
      <c r="D145" s="529"/>
      <c r="E145" s="530"/>
      <c r="F145" s="514" t="s">
        <v>28</v>
      </c>
      <c r="G145" s="515"/>
      <c r="H145" s="27">
        <f>TRUNC(H144+H143,2)</f>
        <v>0</v>
      </c>
    </row>
    <row r="146" spans="2:8" x14ac:dyDescent="0.25">
      <c r="B146" s="532" t="s">
        <v>29</v>
      </c>
      <c r="C146" s="28"/>
      <c r="D146" s="13" t="s">
        <v>12</v>
      </c>
      <c r="E146" s="14" t="s">
        <v>13</v>
      </c>
      <c r="F146" s="15" t="s">
        <v>14</v>
      </c>
      <c r="G146" s="14" t="s">
        <v>15</v>
      </c>
      <c r="H146" s="52" t="s">
        <v>16</v>
      </c>
    </row>
    <row r="147" spans="2:8" x14ac:dyDescent="0.25">
      <c r="B147" s="533"/>
      <c r="C147" s="34" t="s">
        <v>1809</v>
      </c>
      <c r="D147" s="43" t="s">
        <v>31</v>
      </c>
      <c r="E147" s="18" t="s">
        <v>32</v>
      </c>
      <c r="F147" s="37">
        <v>1</v>
      </c>
      <c r="G147" s="53">
        <f>'5 Pav. Praça Alimentação'!K9</f>
        <v>0</v>
      </c>
      <c r="H147" s="21">
        <f t="shared" ref="H147:H152" si="10">G147*F147</f>
        <v>0</v>
      </c>
    </row>
    <row r="148" spans="2:8" x14ac:dyDescent="0.25">
      <c r="B148" s="533"/>
      <c r="C148" s="34" t="s">
        <v>1810</v>
      </c>
      <c r="D148" s="43" t="s">
        <v>34</v>
      </c>
      <c r="E148" s="18" t="s">
        <v>35</v>
      </c>
      <c r="F148" s="37">
        <v>1</v>
      </c>
      <c r="G148" s="53">
        <f>'5 Pav. Praça Alimentação'!K19</f>
        <v>0</v>
      </c>
      <c r="H148" s="21">
        <f t="shared" si="10"/>
        <v>0</v>
      </c>
    </row>
    <row r="149" spans="2:8" ht="30" x14ac:dyDescent="0.25">
      <c r="B149" s="543"/>
      <c r="C149" s="34" t="s">
        <v>1811</v>
      </c>
      <c r="D149" s="43" t="s">
        <v>37</v>
      </c>
      <c r="E149" s="18" t="s">
        <v>32</v>
      </c>
      <c r="F149" s="37">
        <v>1</v>
      </c>
      <c r="G149" s="53">
        <f>'5 Pav. Praça Alimentação'!K34</f>
        <v>0</v>
      </c>
      <c r="H149" s="21">
        <f t="shared" si="10"/>
        <v>0</v>
      </c>
    </row>
    <row r="150" spans="2:8" x14ac:dyDescent="0.25">
      <c r="B150" s="544" t="s">
        <v>38</v>
      </c>
      <c r="C150" s="34" t="s">
        <v>1812</v>
      </c>
      <c r="D150" s="43" t="s">
        <v>40</v>
      </c>
      <c r="E150" s="18" t="s">
        <v>35</v>
      </c>
      <c r="F150" s="37">
        <v>1</v>
      </c>
      <c r="G150" s="53">
        <f>'5 Pav. Praça Alimentação'!K39</f>
        <v>0</v>
      </c>
      <c r="H150" s="21">
        <f t="shared" si="10"/>
        <v>0</v>
      </c>
    </row>
    <row r="151" spans="2:8" x14ac:dyDescent="0.25">
      <c r="B151" s="545"/>
      <c r="C151" s="34" t="s">
        <v>1813</v>
      </c>
      <c r="D151" s="43" t="s">
        <v>42</v>
      </c>
      <c r="E151" s="18" t="s">
        <v>35</v>
      </c>
      <c r="F151" s="37">
        <v>1</v>
      </c>
      <c r="G151" s="53">
        <f>'5 Pav. Praça Alimentação'!K44</f>
        <v>0</v>
      </c>
      <c r="H151" s="21">
        <f t="shared" si="10"/>
        <v>0</v>
      </c>
    </row>
    <row r="152" spans="2:8" x14ac:dyDescent="0.25">
      <c r="B152" s="546"/>
      <c r="C152" s="34" t="s">
        <v>1814</v>
      </c>
      <c r="D152" s="43" t="s">
        <v>44</v>
      </c>
      <c r="E152" s="18" t="s">
        <v>35</v>
      </c>
      <c r="F152" s="37">
        <v>1</v>
      </c>
      <c r="G152" s="53">
        <f>'5 Pav. Praça Alimentação'!K51</f>
        <v>0</v>
      </c>
      <c r="H152" s="21">
        <f t="shared" si="10"/>
        <v>0</v>
      </c>
    </row>
    <row r="153" spans="2:8" x14ac:dyDescent="0.25">
      <c r="B153" s="534"/>
      <c r="C153" s="535"/>
      <c r="D153" s="525"/>
      <c r="E153" s="526"/>
      <c r="F153" s="531" t="s">
        <v>25</v>
      </c>
      <c r="G153" s="515"/>
      <c r="H153" s="22">
        <f>SUM(H146:H152)</f>
        <v>0</v>
      </c>
    </row>
    <row r="154" spans="2:8" x14ac:dyDescent="0.25">
      <c r="B154" s="536"/>
      <c r="C154" s="537"/>
      <c r="D154" s="527"/>
      <c r="E154" s="528"/>
      <c r="F154" s="26" t="s">
        <v>27</v>
      </c>
      <c r="G154" s="24">
        <f>BDI!$C$20</f>
        <v>0.2492</v>
      </c>
      <c r="H154" s="25">
        <f>H153*G154</f>
        <v>0</v>
      </c>
    </row>
    <row r="155" spans="2:8" x14ac:dyDescent="0.25">
      <c r="B155" s="538"/>
      <c r="C155" s="539"/>
      <c r="D155" s="529"/>
      <c r="E155" s="530"/>
      <c r="F155" s="514" t="s">
        <v>45</v>
      </c>
      <c r="G155" s="515"/>
      <c r="H155" s="27">
        <f>TRUNC(H154+H153,2)</f>
        <v>0</v>
      </c>
    </row>
    <row r="156" spans="2:8" x14ac:dyDescent="0.25">
      <c r="B156" s="516" t="s">
        <v>46</v>
      </c>
      <c r="C156" s="517"/>
      <c r="D156" s="517"/>
      <c r="E156" s="517"/>
      <c r="F156" s="517"/>
      <c r="G156" s="515"/>
      <c r="H156" s="45">
        <f>H155+H145</f>
        <v>0</v>
      </c>
    </row>
    <row r="157" spans="2:8" x14ac:dyDescent="0.25">
      <c r="B157" s="46"/>
      <c r="C157" s="47"/>
      <c r="D157" s="48"/>
      <c r="E157" s="48"/>
      <c r="F157" s="49"/>
      <c r="G157" s="48"/>
      <c r="H157" s="50"/>
    </row>
    <row r="158" spans="2:8" x14ac:dyDescent="0.25">
      <c r="B158" s="11" t="s">
        <v>12</v>
      </c>
      <c r="C158" s="12">
        <v>6</v>
      </c>
      <c r="D158" s="518" t="s">
        <v>1337</v>
      </c>
      <c r="E158" s="517"/>
      <c r="F158" s="517"/>
      <c r="G158" s="517"/>
      <c r="H158" s="553"/>
    </row>
    <row r="159" spans="2:8" x14ac:dyDescent="0.25">
      <c r="B159" s="521" t="s">
        <v>11</v>
      </c>
      <c r="C159" s="522"/>
      <c r="D159" s="13" t="s">
        <v>12</v>
      </c>
      <c r="E159" s="14" t="s">
        <v>13</v>
      </c>
      <c r="F159" s="15" t="s">
        <v>14</v>
      </c>
      <c r="G159" s="14" t="s">
        <v>15</v>
      </c>
      <c r="H159" s="16" t="s">
        <v>16</v>
      </c>
    </row>
    <row r="160" spans="2:8" x14ac:dyDescent="0.25">
      <c r="B160" s="523"/>
      <c r="C160" s="524"/>
      <c r="D160" s="17" t="s">
        <v>17</v>
      </c>
      <c r="E160" s="18" t="s">
        <v>18</v>
      </c>
      <c r="F160" s="19">
        <v>200</v>
      </c>
      <c r="G160" s="20">
        <f>Insumos!Q21</f>
        <v>0</v>
      </c>
      <c r="H160" s="21">
        <f t="shared" ref="H160:H166" si="11">F160*G160</f>
        <v>0</v>
      </c>
    </row>
    <row r="161" spans="2:8" x14ac:dyDescent="0.25">
      <c r="B161" s="523"/>
      <c r="C161" s="524"/>
      <c r="D161" s="51" t="s">
        <v>47</v>
      </c>
      <c r="E161" s="18" t="s">
        <v>18</v>
      </c>
      <c r="F161" s="19">
        <v>200</v>
      </c>
      <c r="G161" s="20">
        <f>Insumos!Q22</f>
        <v>0</v>
      </c>
      <c r="H161" s="21">
        <f t="shared" si="11"/>
        <v>0</v>
      </c>
    </row>
    <row r="162" spans="2:8" x14ac:dyDescent="0.25">
      <c r="B162" s="523"/>
      <c r="C162" s="524"/>
      <c r="D162" s="51" t="s">
        <v>48</v>
      </c>
      <c r="E162" s="18" t="s">
        <v>18</v>
      </c>
      <c r="F162" s="19">
        <v>600</v>
      </c>
      <c r="G162" s="20">
        <f>Insumos!Q23</f>
        <v>0</v>
      </c>
      <c r="H162" s="21">
        <f t="shared" si="11"/>
        <v>0</v>
      </c>
    </row>
    <row r="163" spans="2:8" x14ac:dyDescent="0.25">
      <c r="B163" s="523"/>
      <c r="C163" s="524"/>
      <c r="D163" s="17" t="s">
        <v>21</v>
      </c>
      <c r="E163" s="18" t="s">
        <v>18</v>
      </c>
      <c r="F163" s="19">
        <v>128</v>
      </c>
      <c r="G163" s="20">
        <f>Insumos!Q24</f>
        <v>0</v>
      </c>
      <c r="H163" s="21">
        <f t="shared" si="11"/>
        <v>0</v>
      </c>
    </row>
    <row r="164" spans="2:8" x14ac:dyDescent="0.25">
      <c r="B164" s="523"/>
      <c r="C164" s="524"/>
      <c r="D164" s="17" t="s">
        <v>22</v>
      </c>
      <c r="E164" s="18" t="s">
        <v>18</v>
      </c>
      <c r="F164" s="19">
        <v>80</v>
      </c>
      <c r="G164" s="20">
        <f>Insumos!Q25</f>
        <v>0</v>
      </c>
      <c r="H164" s="21">
        <f t="shared" si="11"/>
        <v>0</v>
      </c>
    </row>
    <row r="165" spans="2:8" x14ac:dyDescent="0.25">
      <c r="B165" s="523"/>
      <c r="C165" s="524"/>
      <c r="D165" s="17" t="s">
        <v>23</v>
      </c>
      <c r="E165" s="18" t="s">
        <v>18</v>
      </c>
      <c r="F165" s="19">
        <v>240</v>
      </c>
      <c r="G165" s="20">
        <f>Insumos!Q26</f>
        <v>0</v>
      </c>
      <c r="H165" s="21">
        <f t="shared" si="11"/>
        <v>0</v>
      </c>
    </row>
    <row r="166" spans="2:8" x14ac:dyDescent="0.25">
      <c r="B166" s="523"/>
      <c r="C166" s="524"/>
      <c r="D166" s="17" t="s">
        <v>24</v>
      </c>
      <c r="E166" s="18" t="s">
        <v>18</v>
      </c>
      <c r="F166" s="19">
        <v>480</v>
      </c>
      <c r="G166" s="20">
        <f>Insumos!Q27</f>
        <v>0</v>
      </c>
      <c r="H166" s="21">
        <f t="shared" si="11"/>
        <v>0</v>
      </c>
    </row>
    <row r="167" spans="2:8" x14ac:dyDescent="0.25">
      <c r="B167" s="523"/>
      <c r="C167" s="524"/>
      <c r="D167" s="525"/>
      <c r="E167" s="526"/>
      <c r="F167" s="531" t="s">
        <v>25</v>
      </c>
      <c r="G167" s="515"/>
      <c r="H167" s="22">
        <f>SUM(H160:H166)</f>
        <v>0</v>
      </c>
    </row>
    <row r="168" spans="2:8" ht="27" customHeight="1" x14ac:dyDescent="0.25">
      <c r="B168" s="523"/>
      <c r="C168" s="524"/>
      <c r="D168" s="527"/>
      <c r="E168" s="528"/>
      <c r="F168" s="23" t="s">
        <v>26</v>
      </c>
      <c r="G168" s="24">
        <f>Insumos!$K$28</f>
        <v>0.70109999999999995</v>
      </c>
      <c r="H168" s="25">
        <f>H167*G168</f>
        <v>0</v>
      </c>
    </row>
    <row r="169" spans="2:8" x14ac:dyDescent="0.25">
      <c r="B169" s="523"/>
      <c r="C169" s="524"/>
      <c r="D169" s="527"/>
      <c r="E169" s="528"/>
      <c r="F169" s="531" t="s">
        <v>8</v>
      </c>
      <c r="G169" s="515"/>
      <c r="H169" s="22">
        <f>H168+H167</f>
        <v>0</v>
      </c>
    </row>
    <row r="170" spans="2:8" x14ac:dyDescent="0.25">
      <c r="B170" s="523"/>
      <c r="C170" s="524"/>
      <c r="D170" s="527"/>
      <c r="E170" s="528"/>
      <c r="F170" s="26" t="s">
        <v>27</v>
      </c>
      <c r="G170" s="24">
        <f>BDI!$C$20</f>
        <v>0.2492</v>
      </c>
      <c r="H170" s="25">
        <f>H169*G170</f>
        <v>0</v>
      </c>
    </row>
    <row r="171" spans="2:8" x14ac:dyDescent="0.25">
      <c r="B171" s="523"/>
      <c r="C171" s="524"/>
      <c r="D171" s="529"/>
      <c r="E171" s="530"/>
      <c r="F171" s="514" t="s">
        <v>28</v>
      </c>
      <c r="G171" s="515"/>
      <c r="H171" s="27">
        <f>H170+H169</f>
        <v>0</v>
      </c>
    </row>
    <row r="172" spans="2:8" x14ac:dyDescent="0.25">
      <c r="B172" s="532" t="s">
        <v>29</v>
      </c>
      <c r="C172" s="28"/>
      <c r="D172" s="13" t="s">
        <v>12</v>
      </c>
      <c r="E172" s="14" t="s">
        <v>13</v>
      </c>
      <c r="F172" s="15" t="s">
        <v>14</v>
      </c>
      <c r="G172" s="14" t="s">
        <v>15</v>
      </c>
      <c r="H172" s="52" t="s">
        <v>16</v>
      </c>
    </row>
    <row r="173" spans="2:8" x14ac:dyDescent="0.25">
      <c r="B173" s="533"/>
      <c r="C173" s="34" t="s">
        <v>95</v>
      </c>
      <c r="D173" s="43" t="s">
        <v>31</v>
      </c>
      <c r="E173" s="18" t="s">
        <v>32</v>
      </c>
      <c r="F173" s="37">
        <v>1</v>
      </c>
      <c r="G173" s="53">
        <f>'6 Palco Azulão'!K18</f>
        <v>0</v>
      </c>
      <c r="H173" s="21">
        <f t="shared" ref="H173:H178" si="12">F173*G173</f>
        <v>0</v>
      </c>
    </row>
    <row r="174" spans="2:8" x14ac:dyDescent="0.25">
      <c r="B174" s="533"/>
      <c r="C174" s="34" t="s">
        <v>96</v>
      </c>
      <c r="D174" s="43" t="s">
        <v>34</v>
      </c>
      <c r="E174" s="18" t="s">
        <v>35</v>
      </c>
      <c r="F174" s="37">
        <v>1</v>
      </c>
      <c r="G174" s="53">
        <f>'6 Palco Azulão'!K28</f>
        <v>0</v>
      </c>
      <c r="H174" s="21">
        <f t="shared" si="12"/>
        <v>0</v>
      </c>
    </row>
    <row r="175" spans="2:8" ht="30" x14ac:dyDescent="0.25">
      <c r="B175" s="543"/>
      <c r="C175" s="34" t="s">
        <v>97</v>
      </c>
      <c r="D175" s="43" t="s">
        <v>37</v>
      </c>
      <c r="E175" s="18" t="s">
        <v>32</v>
      </c>
      <c r="F175" s="37">
        <v>1</v>
      </c>
      <c r="G175" s="53">
        <f>'6 Palco Azulão'!K44</f>
        <v>0</v>
      </c>
      <c r="H175" s="21">
        <f t="shared" si="12"/>
        <v>0</v>
      </c>
    </row>
    <row r="176" spans="2:8" x14ac:dyDescent="0.25">
      <c r="B176" s="544" t="s">
        <v>38</v>
      </c>
      <c r="C176" s="34" t="s">
        <v>98</v>
      </c>
      <c r="D176" s="43" t="s">
        <v>40</v>
      </c>
      <c r="E176" s="18" t="s">
        <v>35</v>
      </c>
      <c r="F176" s="37">
        <v>1</v>
      </c>
      <c r="G176" s="53">
        <f>'6 Palco Azulão'!K49</f>
        <v>0</v>
      </c>
      <c r="H176" s="21">
        <f t="shared" si="12"/>
        <v>0</v>
      </c>
    </row>
    <row r="177" spans="2:8" x14ac:dyDescent="0.25">
      <c r="B177" s="545"/>
      <c r="C177" s="34" t="s">
        <v>99</v>
      </c>
      <c r="D177" s="43" t="s">
        <v>42</v>
      </c>
      <c r="E177" s="18" t="s">
        <v>35</v>
      </c>
      <c r="F177" s="37">
        <v>1</v>
      </c>
      <c r="G177" s="53">
        <f>'6 Palco Azulão'!K54</f>
        <v>0</v>
      </c>
      <c r="H177" s="21">
        <f t="shared" si="12"/>
        <v>0</v>
      </c>
    </row>
    <row r="178" spans="2:8" x14ac:dyDescent="0.25">
      <c r="B178" s="546"/>
      <c r="C178" s="34" t="s">
        <v>100</v>
      </c>
      <c r="D178" s="43" t="s">
        <v>44</v>
      </c>
      <c r="E178" s="18" t="s">
        <v>35</v>
      </c>
      <c r="F178" s="37">
        <v>1</v>
      </c>
      <c r="G178" s="53">
        <f>'6 Palco Azulão'!K61</f>
        <v>0</v>
      </c>
      <c r="H178" s="21">
        <f t="shared" si="12"/>
        <v>0</v>
      </c>
    </row>
    <row r="179" spans="2:8" x14ac:dyDescent="0.25">
      <c r="B179" s="534"/>
      <c r="C179" s="535"/>
      <c r="D179" s="525"/>
      <c r="E179" s="526"/>
      <c r="F179" s="531" t="s">
        <v>25</v>
      </c>
      <c r="G179" s="515"/>
      <c r="H179" s="22">
        <f>SUM(H173:H178)</f>
        <v>0</v>
      </c>
    </row>
    <row r="180" spans="2:8" x14ac:dyDescent="0.25">
      <c r="B180" s="536"/>
      <c r="C180" s="537"/>
      <c r="D180" s="527"/>
      <c r="E180" s="528"/>
      <c r="F180" s="26" t="s">
        <v>27</v>
      </c>
      <c r="G180" s="24">
        <f>BDI!$C$20</f>
        <v>0.2492</v>
      </c>
      <c r="H180" s="25">
        <f>G180*H179</f>
        <v>0</v>
      </c>
    </row>
    <row r="181" spans="2:8" x14ac:dyDescent="0.25">
      <c r="B181" s="538"/>
      <c r="C181" s="539"/>
      <c r="D181" s="529"/>
      <c r="E181" s="530"/>
      <c r="F181" s="514" t="s">
        <v>45</v>
      </c>
      <c r="G181" s="515"/>
      <c r="H181" s="44">
        <f>H180+H179</f>
        <v>0</v>
      </c>
    </row>
    <row r="182" spans="2:8" x14ac:dyDescent="0.25">
      <c r="B182" s="516" t="s">
        <v>46</v>
      </c>
      <c r="C182" s="517"/>
      <c r="D182" s="517"/>
      <c r="E182" s="517"/>
      <c r="F182" s="517"/>
      <c r="G182" s="515"/>
      <c r="H182" s="45">
        <f>H181+H171</f>
        <v>0</v>
      </c>
    </row>
    <row r="183" spans="2:8" x14ac:dyDescent="0.25">
      <c r="B183" s="46"/>
      <c r="C183" s="47"/>
      <c r="D183" s="48"/>
      <c r="E183" s="48"/>
      <c r="F183" s="49"/>
      <c r="G183" s="48"/>
      <c r="H183" s="50"/>
    </row>
    <row r="184" spans="2:8" x14ac:dyDescent="0.25">
      <c r="B184" s="11" t="s">
        <v>12</v>
      </c>
      <c r="C184" s="12">
        <v>7</v>
      </c>
      <c r="D184" s="518" t="s">
        <v>1259</v>
      </c>
      <c r="E184" s="519"/>
      <c r="F184" s="519"/>
      <c r="G184" s="519"/>
      <c r="H184" s="520"/>
    </row>
    <row r="185" spans="2:8" x14ac:dyDescent="0.25">
      <c r="B185" s="521" t="s">
        <v>11</v>
      </c>
      <c r="C185" s="522"/>
      <c r="D185" s="13" t="s">
        <v>12</v>
      </c>
      <c r="E185" s="14" t="s">
        <v>13</v>
      </c>
      <c r="F185" s="15" t="s">
        <v>14</v>
      </c>
      <c r="G185" s="14" t="s">
        <v>15</v>
      </c>
      <c r="H185" s="16" t="s">
        <v>16</v>
      </c>
    </row>
    <row r="186" spans="2:8" x14ac:dyDescent="0.25">
      <c r="B186" s="523"/>
      <c r="C186" s="524"/>
      <c r="D186" s="17" t="s">
        <v>17</v>
      </c>
      <c r="E186" s="18" t="s">
        <v>18</v>
      </c>
      <c r="F186" s="19">
        <v>20</v>
      </c>
      <c r="G186" s="20">
        <f>Insumos!Q21</f>
        <v>0</v>
      </c>
      <c r="H186" s="21">
        <f t="shared" ref="H186:H192" si="13">F186*G186</f>
        <v>0</v>
      </c>
    </row>
    <row r="187" spans="2:8" x14ac:dyDescent="0.25">
      <c r="B187" s="523"/>
      <c r="C187" s="524"/>
      <c r="D187" s="17" t="s">
        <v>19</v>
      </c>
      <c r="E187" s="18" t="s">
        <v>18</v>
      </c>
      <c r="F187" s="19">
        <v>720</v>
      </c>
      <c r="G187" s="20">
        <f>Insumos!Q22</f>
        <v>0</v>
      </c>
      <c r="H187" s="21">
        <f t="shared" si="13"/>
        <v>0</v>
      </c>
    </row>
    <row r="188" spans="2:8" x14ac:dyDescent="0.25">
      <c r="B188" s="523"/>
      <c r="C188" s="524"/>
      <c r="D188" s="17" t="s">
        <v>20</v>
      </c>
      <c r="E188" s="18" t="s">
        <v>18</v>
      </c>
      <c r="F188" s="19">
        <v>720</v>
      </c>
      <c r="G188" s="20">
        <f>Insumos!Q23</f>
        <v>0</v>
      </c>
      <c r="H188" s="21">
        <f t="shared" si="13"/>
        <v>0</v>
      </c>
    </row>
    <row r="189" spans="2:8" x14ac:dyDescent="0.25">
      <c r="B189" s="523"/>
      <c r="C189" s="524"/>
      <c r="D189" s="17" t="s">
        <v>21</v>
      </c>
      <c r="E189" s="18" t="s">
        <v>18</v>
      </c>
      <c r="F189" s="19">
        <v>0</v>
      </c>
      <c r="G189" s="20">
        <f>Insumos!Q24</f>
        <v>0</v>
      </c>
      <c r="H189" s="21">
        <f t="shared" si="13"/>
        <v>0</v>
      </c>
    </row>
    <row r="190" spans="2:8" x14ac:dyDescent="0.25">
      <c r="B190" s="523"/>
      <c r="C190" s="524"/>
      <c r="D190" s="17" t="s">
        <v>22</v>
      </c>
      <c r="E190" s="18" t="s">
        <v>18</v>
      </c>
      <c r="F190" s="19">
        <v>320</v>
      </c>
      <c r="G190" s="20">
        <f>Insumos!Q25</f>
        <v>0</v>
      </c>
      <c r="H190" s="21">
        <f t="shared" si="13"/>
        <v>0</v>
      </c>
    </row>
    <row r="191" spans="2:8" x14ac:dyDescent="0.25">
      <c r="B191" s="523"/>
      <c r="C191" s="524"/>
      <c r="D191" s="17" t="s">
        <v>23</v>
      </c>
      <c r="E191" s="18" t="s">
        <v>18</v>
      </c>
      <c r="F191" s="19">
        <v>80</v>
      </c>
      <c r="G191" s="20">
        <f>Insumos!Q26</f>
        <v>0</v>
      </c>
      <c r="H191" s="21">
        <f t="shared" si="13"/>
        <v>0</v>
      </c>
    </row>
    <row r="192" spans="2:8" x14ac:dyDescent="0.25">
      <c r="B192" s="523"/>
      <c r="C192" s="524"/>
      <c r="D192" s="17" t="s">
        <v>24</v>
      </c>
      <c r="E192" s="18" t="s">
        <v>18</v>
      </c>
      <c r="F192" s="19">
        <v>160</v>
      </c>
      <c r="G192" s="20">
        <f>Insumos!Q27</f>
        <v>0</v>
      </c>
      <c r="H192" s="21">
        <f t="shared" si="13"/>
        <v>0</v>
      </c>
    </row>
    <row r="193" spans="2:8" x14ac:dyDescent="0.25">
      <c r="B193" s="523"/>
      <c r="C193" s="524"/>
      <c r="D193" s="525"/>
      <c r="E193" s="526"/>
      <c r="F193" s="531" t="s">
        <v>25</v>
      </c>
      <c r="G193" s="515"/>
      <c r="H193" s="22">
        <f>SUM(H186:H192)</f>
        <v>0</v>
      </c>
    </row>
    <row r="194" spans="2:8" ht="30" x14ac:dyDescent="0.25">
      <c r="B194" s="523"/>
      <c r="C194" s="524"/>
      <c r="D194" s="527"/>
      <c r="E194" s="528"/>
      <c r="F194" s="26" t="s">
        <v>26</v>
      </c>
      <c r="G194" s="24">
        <f>Insumos!$K$28</f>
        <v>0.70109999999999995</v>
      </c>
      <c r="H194" s="25">
        <f>H193*G194</f>
        <v>0</v>
      </c>
    </row>
    <row r="195" spans="2:8" x14ac:dyDescent="0.25">
      <c r="B195" s="523"/>
      <c r="C195" s="524"/>
      <c r="D195" s="527"/>
      <c r="E195" s="528"/>
      <c r="F195" s="531" t="s">
        <v>8</v>
      </c>
      <c r="G195" s="515"/>
      <c r="H195" s="22">
        <f>H194+H193</f>
        <v>0</v>
      </c>
    </row>
    <row r="196" spans="2:8" x14ac:dyDescent="0.25">
      <c r="B196" s="523"/>
      <c r="C196" s="524"/>
      <c r="D196" s="527"/>
      <c r="E196" s="528"/>
      <c r="F196" s="26" t="s">
        <v>27</v>
      </c>
      <c r="G196" s="24">
        <f>BDI!$C$20</f>
        <v>0.2492</v>
      </c>
      <c r="H196" s="25">
        <f>H195*G196</f>
        <v>0</v>
      </c>
    </row>
    <row r="197" spans="2:8" x14ac:dyDescent="0.25">
      <c r="B197" s="523"/>
      <c r="C197" s="524"/>
      <c r="D197" s="529"/>
      <c r="E197" s="530"/>
      <c r="F197" s="514" t="s">
        <v>28</v>
      </c>
      <c r="G197" s="515"/>
      <c r="H197" s="27">
        <f>TRUNC(H196+H195,2)</f>
        <v>0</v>
      </c>
    </row>
    <row r="198" spans="2:8" x14ac:dyDescent="0.25">
      <c r="B198" s="532" t="s">
        <v>29</v>
      </c>
      <c r="C198" s="28"/>
      <c r="D198" s="13" t="s">
        <v>12</v>
      </c>
      <c r="E198" s="14" t="s">
        <v>13</v>
      </c>
      <c r="F198" s="15" t="s">
        <v>14</v>
      </c>
      <c r="G198" s="14" t="s">
        <v>15</v>
      </c>
      <c r="H198" s="52" t="s">
        <v>16</v>
      </c>
    </row>
    <row r="199" spans="2:8" x14ac:dyDescent="0.25">
      <c r="B199" s="533"/>
      <c r="C199" s="34" t="s">
        <v>78</v>
      </c>
      <c r="D199" s="43" t="s">
        <v>31</v>
      </c>
      <c r="E199" s="18" t="s">
        <v>32</v>
      </c>
      <c r="F199" s="37">
        <v>1</v>
      </c>
      <c r="G199" s="53">
        <f>'7 Pavilhão Mestre Camarão'!K20</f>
        <v>0</v>
      </c>
      <c r="H199" s="21">
        <f>F199*G199</f>
        <v>0</v>
      </c>
    </row>
    <row r="200" spans="2:8" x14ac:dyDescent="0.25">
      <c r="B200" s="533"/>
      <c r="C200" s="34" t="s">
        <v>79</v>
      </c>
      <c r="D200" s="43" t="s">
        <v>34</v>
      </c>
      <c r="E200" s="18" t="s">
        <v>35</v>
      </c>
      <c r="F200" s="37">
        <v>1</v>
      </c>
      <c r="G200" s="53">
        <f>'7 Pavilhão Mestre Camarão'!K30</f>
        <v>0</v>
      </c>
      <c r="H200" s="21">
        <f>F200*G200</f>
        <v>0</v>
      </c>
    </row>
    <row r="201" spans="2:8" ht="30" x14ac:dyDescent="0.25">
      <c r="B201" s="543"/>
      <c r="C201" s="34" t="s">
        <v>80</v>
      </c>
      <c r="D201" s="43" t="s">
        <v>37</v>
      </c>
      <c r="E201" s="18" t="s">
        <v>32</v>
      </c>
      <c r="F201" s="37">
        <v>1</v>
      </c>
      <c r="G201" s="53">
        <f>'7 Pavilhão Mestre Camarão'!K45</f>
        <v>0</v>
      </c>
      <c r="H201" s="21">
        <f>F201*G201</f>
        <v>0</v>
      </c>
    </row>
    <row r="202" spans="2:8" x14ac:dyDescent="0.25">
      <c r="B202" s="544" t="s">
        <v>38</v>
      </c>
      <c r="C202" s="34" t="s">
        <v>81</v>
      </c>
      <c r="D202" s="43" t="s">
        <v>40</v>
      </c>
      <c r="E202" s="18" t="s">
        <v>35</v>
      </c>
      <c r="F202" s="37">
        <v>1</v>
      </c>
      <c r="G202" s="53">
        <f>'7 Pavilhão Mestre Camarão'!K50</f>
        <v>0</v>
      </c>
      <c r="H202" s="21">
        <f>F202*G202</f>
        <v>0</v>
      </c>
    </row>
    <row r="203" spans="2:8" x14ac:dyDescent="0.25">
      <c r="B203" s="545"/>
      <c r="C203" s="34" t="s">
        <v>82</v>
      </c>
      <c r="D203" s="43" t="s">
        <v>42</v>
      </c>
      <c r="E203" s="18" t="s">
        <v>35</v>
      </c>
      <c r="F203" s="37">
        <v>1</v>
      </c>
      <c r="G203" s="53">
        <f>'7 Pavilhão Mestre Camarão'!K55</f>
        <v>0</v>
      </c>
      <c r="H203" s="21">
        <f>G203*F203</f>
        <v>0</v>
      </c>
    </row>
    <row r="204" spans="2:8" x14ac:dyDescent="0.25">
      <c r="B204" s="546"/>
      <c r="C204" s="34" t="s">
        <v>83</v>
      </c>
      <c r="D204" s="43" t="s">
        <v>44</v>
      </c>
      <c r="E204" s="18" t="s">
        <v>35</v>
      </c>
      <c r="F204" s="37">
        <v>1</v>
      </c>
      <c r="G204" s="53">
        <f>'7 Pavilhão Mestre Camarão'!K62</f>
        <v>0</v>
      </c>
      <c r="H204" s="21">
        <f>G204*F204</f>
        <v>0</v>
      </c>
    </row>
    <row r="205" spans="2:8" x14ac:dyDescent="0.25">
      <c r="B205" s="534"/>
      <c r="C205" s="535"/>
      <c r="D205" s="525"/>
      <c r="E205" s="526"/>
      <c r="F205" s="531" t="s">
        <v>25</v>
      </c>
      <c r="G205" s="515"/>
      <c r="H205" s="22">
        <f>SUM(H198:H204)</f>
        <v>0</v>
      </c>
    </row>
    <row r="206" spans="2:8" x14ac:dyDescent="0.25">
      <c r="B206" s="536"/>
      <c r="C206" s="537"/>
      <c r="D206" s="527"/>
      <c r="E206" s="528"/>
      <c r="F206" s="26" t="s">
        <v>27</v>
      </c>
      <c r="G206" s="24">
        <f>BDI!$C$20</f>
        <v>0.2492</v>
      </c>
      <c r="H206" s="25">
        <f>H205*G206</f>
        <v>0</v>
      </c>
    </row>
    <row r="207" spans="2:8" x14ac:dyDescent="0.25">
      <c r="B207" s="538"/>
      <c r="C207" s="539"/>
      <c r="D207" s="529"/>
      <c r="E207" s="530"/>
      <c r="F207" s="514" t="s">
        <v>45</v>
      </c>
      <c r="G207" s="515"/>
      <c r="H207" s="27">
        <f>TRUNC(H206+H205,2)</f>
        <v>0</v>
      </c>
    </row>
    <row r="208" spans="2:8" x14ac:dyDescent="0.25">
      <c r="B208" s="516" t="s">
        <v>46</v>
      </c>
      <c r="C208" s="517"/>
      <c r="D208" s="517"/>
      <c r="E208" s="517"/>
      <c r="F208" s="517"/>
      <c r="G208" s="515"/>
      <c r="H208" s="45">
        <f>H207+H197</f>
        <v>0</v>
      </c>
    </row>
    <row r="209" spans="2:8" x14ac:dyDescent="0.25">
      <c r="B209" s="46"/>
      <c r="C209" s="47"/>
      <c r="D209" s="48"/>
      <c r="E209" s="48"/>
      <c r="F209" s="49"/>
      <c r="G209" s="48"/>
      <c r="H209" s="50"/>
    </row>
    <row r="210" spans="2:8" x14ac:dyDescent="0.25">
      <c r="B210" s="11" t="s">
        <v>12</v>
      </c>
      <c r="C210" s="12">
        <v>8</v>
      </c>
      <c r="D210" s="518" t="str">
        <f>'8 Pavilhão Locomotiva'!B2</f>
        <v>PAVILHÃO LOCOMOTIVA</v>
      </c>
      <c r="E210" s="519"/>
      <c r="F210" s="519"/>
      <c r="G210" s="519"/>
      <c r="H210" s="520"/>
    </row>
    <row r="211" spans="2:8" x14ac:dyDescent="0.25">
      <c r="B211" s="521" t="s">
        <v>11</v>
      </c>
      <c r="C211" s="522"/>
      <c r="D211" s="13" t="s">
        <v>12</v>
      </c>
      <c r="E211" s="14" t="s">
        <v>13</v>
      </c>
      <c r="F211" s="15" t="s">
        <v>14</v>
      </c>
      <c r="G211" s="14" t="s">
        <v>15</v>
      </c>
      <c r="H211" s="16" t="s">
        <v>16</v>
      </c>
    </row>
    <row r="212" spans="2:8" x14ac:dyDescent="0.25">
      <c r="B212" s="523"/>
      <c r="C212" s="524"/>
      <c r="D212" s="17" t="s">
        <v>17</v>
      </c>
      <c r="E212" s="18" t="s">
        <v>18</v>
      </c>
      <c r="F212" s="19">
        <v>6</v>
      </c>
      <c r="G212" s="20">
        <f>Insumos!Q21</f>
        <v>0</v>
      </c>
      <c r="H212" s="21">
        <f t="shared" ref="H212:H218" si="14">F212*G212</f>
        <v>0</v>
      </c>
    </row>
    <row r="213" spans="2:8" x14ac:dyDescent="0.25">
      <c r="B213" s="523"/>
      <c r="C213" s="524"/>
      <c r="D213" s="17" t="s">
        <v>19</v>
      </c>
      <c r="E213" s="18" t="s">
        <v>18</v>
      </c>
      <c r="F213" s="19">
        <v>120</v>
      </c>
      <c r="G213" s="20">
        <f>Insumos!Q22</f>
        <v>0</v>
      </c>
      <c r="H213" s="21">
        <f t="shared" si="14"/>
        <v>0</v>
      </c>
    </row>
    <row r="214" spans="2:8" x14ac:dyDescent="0.25">
      <c r="B214" s="523"/>
      <c r="C214" s="524"/>
      <c r="D214" s="17" t="s">
        <v>20</v>
      </c>
      <c r="E214" s="18" t="s">
        <v>18</v>
      </c>
      <c r="F214" s="19">
        <v>240</v>
      </c>
      <c r="G214" s="20">
        <f>Insumos!Q23</f>
        <v>0</v>
      </c>
      <c r="H214" s="21">
        <f t="shared" si="14"/>
        <v>0</v>
      </c>
    </row>
    <row r="215" spans="2:8" x14ac:dyDescent="0.25">
      <c r="B215" s="523"/>
      <c r="C215" s="524"/>
      <c r="D215" s="17" t="s">
        <v>21</v>
      </c>
      <c r="E215" s="18" t="s">
        <v>18</v>
      </c>
      <c r="F215" s="19">
        <v>0</v>
      </c>
      <c r="G215" s="20">
        <f>Insumos!Q24</f>
        <v>0</v>
      </c>
      <c r="H215" s="21">
        <f t="shared" si="14"/>
        <v>0</v>
      </c>
    </row>
    <row r="216" spans="2:8" x14ac:dyDescent="0.25">
      <c r="B216" s="523"/>
      <c r="C216" s="524"/>
      <c r="D216" s="17" t="s">
        <v>22</v>
      </c>
      <c r="E216" s="18" t="s">
        <v>18</v>
      </c>
      <c r="F216" s="19">
        <v>48</v>
      </c>
      <c r="G216" s="20">
        <f>Insumos!Q25</f>
        <v>0</v>
      </c>
      <c r="H216" s="21">
        <f t="shared" si="14"/>
        <v>0</v>
      </c>
    </row>
    <row r="217" spans="2:8" x14ac:dyDescent="0.25">
      <c r="B217" s="523"/>
      <c r="C217" s="524"/>
      <c r="D217" s="17" t="s">
        <v>23</v>
      </c>
      <c r="E217" s="18" t="s">
        <v>18</v>
      </c>
      <c r="F217" s="19">
        <v>48</v>
      </c>
      <c r="G217" s="20">
        <f>Insumos!Q26</f>
        <v>0</v>
      </c>
      <c r="H217" s="21">
        <f t="shared" si="14"/>
        <v>0</v>
      </c>
    </row>
    <row r="218" spans="2:8" x14ac:dyDescent="0.25">
      <c r="B218" s="523"/>
      <c r="C218" s="524"/>
      <c r="D218" s="17" t="s">
        <v>24</v>
      </c>
      <c r="E218" s="18" t="s">
        <v>18</v>
      </c>
      <c r="F218" s="19">
        <v>48</v>
      </c>
      <c r="G218" s="20">
        <f>Insumos!Q27</f>
        <v>0</v>
      </c>
      <c r="H218" s="21">
        <f t="shared" si="14"/>
        <v>0</v>
      </c>
    </row>
    <row r="219" spans="2:8" x14ac:dyDescent="0.25">
      <c r="B219" s="523"/>
      <c r="C219" s="524"/>
      <c r="D219" s="525"/>
      <c r="E219" s="526"/>
      <c r="F219" s="531" t="s">
        <v>25</v>
      </c>
      <c r="G219" s="515"/>
      <c r="H219" s="22">
        <f>SUM(H212:H218)</f>
        <v>0</v>
      </c>
    </row>
    <row r="220" spans="2:8" ht="30" x14ac:dyDescent="0.25">
      <c r="B220" s="523"/>
      <c r="C220" s="524"/>
      <c r="D220" s="527"/>
      <c r="E220" s="528"/>
      <c r="F220" s="26" t="s">
        <v>26</v>
      </c>
      <c r="G220" s="24">
        <f>Insumos!$K$28</f>
        <v>0.70109999999999995</v>
      </c>
      <c r="H220" s="25">
        <f>H219*G220</f>
        <v>0</v>
      </c>
    </row>
    <row r="221" spans="2:8" x14ac:dyDescent="0.25">
      <c r="B221" s="523"/>
      <c r="C221" s="524"/>
      <c r="D221" s="527"/>
      <c r="E221" s="528"/>
      <c r="F221" s="531" t="s">
        <v>8</v>
      </c>
      <c r="G221" s="515"/>
      <c r="H221" s="22">
        <f>H220+H219</f>
        <v>0</v>
      </c>
    </row>
    <row r="222" spans="2:8" x14ac:dyDescent="0.25">
      <c r="B222" s="523"/>
      <c r="C222" s="524"/>
      <c r="D222" s="527"/>
      <c r="E222" s="528"/>
      <c r="F222" s="26" t="s">
        <v>27</v>
      </c>
      <c r="G222" s="24">
        <f>BDI!$C$20</f>
        <v>0.2492</v>
      </c>
      <c r="H222" s="25">
        <f>H221*G222</f>
        <v>0</v>
      </c>
    </row>
    <row r="223" spans="2:8" x14ac:dyDescent="0.25">
      <c r="B223" s="523"/>
      <c r="C223" s="524"/>
      <c r="D223" s="529"/>
      <c r="E223" s="530"/>
      <c r="F223" s="514" t="s">
        <v>28</v>
      </c>
      <c r="G223" s="515"/>
      <c r="H223" s="27">
        <f>TRUNC(H222+H221,2)</f>
        <v>0</v>
      </c>
    </row>
    <row r="224" spans="2:8" x14ac:dyDescent="0.25">
      <c r="B224" s="532" t="s">
        <v>29</v>
      </c>
      <c r="C224" s="28"/>
      <c r="D224" s="13" t="s">
        <v>12</v>
      </c>
      <c r="E224" s="14" t="s">
        <v>13</v>
      </c>
      <c r="F224" s="15" t="s">
        <v>14</v>
      </c>
      <c r="G224" s="14" t="s">
        <v>15</v>
      </c>
      <c r="H224" s="52" t="s">
        <v>16</v>
      </c>
    </row>
    <row r="225" spans="2:8" x14ac:dyDescent="0.25">
      <c r="B225" s="533"/>
      <c r="C225" s="34" t="s">
        <v>84</v>
      </c>
      <c r="D225" s="43" t="s">
        <v>31</v>
      </c>
      <c r="E225" s="18" t="s">
        <v>32</v>
      </c>
      <c r="F225" s="37">
        <v>1</v>
      </c>
      <c r="G225" s="53">
        <f>'8 Pavilhão Locomotiva'!K12</f>
        <v>0</v>
      </c>
      <c r="H225" s="21">
        <f t="shared" ref="H225:H230" si="15">G225*F225</f>
        <v>0</v>
      </c>
    </row>
    <row r="226" spans="2:8" x14ac:dyDescent="0.25">
      <c r="B226" s="533"/>
      <c r="C226" s="34" t="s">
        <v>85</v>
      </c>
      <c r="D226" s="43" t="s">
        <v>34</v>
      </c>
      <c r="E226" s="18" t="s">
        <v>35</v>
      </c>
      <c r="F226" s="37">
        <v>1</v>
      </c>
      <c r="G226" s="53">
        <f>'8 Pavilhão Locomotiva'!K22</f>
        <v>0</v>
      </c>
      <c r="H226" s="21">
        <f t="shared" si="15"/>
        <v>0</v>
      </c>
    </row>
    <row r="227" spans="2:8" ht="30" x14ac:dyDescent="0.25">
      <c r="B227" s="543"/>
      <c r="C227" s="34" t="s">
        <v>86</v>
      </c>
      <c r="D227" s="43" t="s">
        <v>37</v>
      </c>
      <c r="E227" s="18" t="s">
        <v>32</v>
      </c>
      <c r="F227" s="37">
        <v>1</v>
      </c>
      <c r="G227" s="53">
        <f>'8 Pavilhão Locomotiva'!K37</f>
        <v>0</v>
      </c>
      <c r="H227" s="21">
        <f t="shared" si="15"/>
        <v>0</v>
      </c>
    </row>
    <row r="228" spans="2:8" x14ac:dyDescent="0.25">
      <c r="B228" s="544" t="s">
        <v>38</v>
      </c>
      <c r="C228" s="34" t="s">
        <v>87</v>
      </c>
      <c r="D228" s="43" t="s">
        <v>40</v>
      </c>
      <c r="E228" s="18" t="s">
        <v>35</v>
      </c>
      <c r="F228" s="37">
        <v>1</v>
      </c>
      <c r="G228" s="53">
        <f>'8 Pavilhão Locomotiva'!K42</f>
        <v>0</v>
      </c>
      <c r="H228" s="21">
        <f t="shared" si="15"/>
        <v>0</v>
      </c>
    </row>
    <row r="229" spans="2:8" x14ac:dyDescent="0.25">
      <c r="B229" s="545"/>
      <c r="C229" s="34" t="s">
        <v>88</v>
      </c>
      <c r="D229" s="43" t="s">
        <v>42</v>
      </c>
      <c r="E229" s="18" t="s">
        <v>35</v>
      </c>
      <c r="F229" s="37">
        <v>1</v>
      </c>
      <c r="G229" s="53">
        <f>'8 Pavilhão Locomotiva'!K47</f>
        <v>0</v>
      </c>
      <c r="H229" s="21">
        <f t="shared" si="15"/>
        <v>0</v>
      </c>
    </row>
    <row r="230" spans="2:8" x14ac:dyDescent="0.25">
      <c r="B230" s="546"/>
      <c r="C230" s="34" t="s">
        <v>89</v>
      </c>
      <c r="D230" s="43" t="s">
        <v>44</v>
      </c>
      <c r="E230" s="18" t="s">
        <v>35</v>
      </c>
      <c r="F230" s="37">
        <v>1</v>
      </c>
      <c r="G230" s="53">
        <f>'8 Pavilhão Locomotiva'!K54</f>
        <v>0</v>
      </c>
      <c r="H230" s="21">
        <f t="shared" si="15"/>
        <v>0</v>
      </c>
    </row>
    <row r="231" spans="2:8" x14ac:dyDescent="0.25">
      <c r="B231" s="534"/>
      <c r="C231" s="535"/>
      <c r="D231" s="525"/>
      <c r="E231" s="526"/>
      <c r="F231" s="531" t="s">
        <v>25</v>
      </c>
      <c r="G231" s="515"/>
      <c r="H231" s="22">
        <f>SUM(H224:H230)</f>
        <v>0</v>
      </c>
    </row>
    <row r="232" spans="2:8" x14ac:dyDescent="0.25">
      <c r="B232" s="536"/>
      <c r="C232" s="537"/>
      <c r="D232" s="527"/>
      <c r="E232" s="528"/>
      <c r="F232" s="26" t="s">
        <v>27</v>
      </c>
      <c r="G232" s="24">
        <f>BDI!$C$20</f>
        <v>0.2492</v>
      </c>
      <c r="H232" s="25">
        <f>H231*G232</f>
        <v>0</v>
      </c>
    </row>
    <row r="233" spans="2:8" x14ac:dyDescent="0.25">
      <c r="B233" s="538"/>
      <c r="C233" s="539"/>
      <c r="D233" s="529"/>
      <c r="E233" s="530"/>
      <c r="F233" s="514" t="s">
        <v>45</v>
      </c>
      <c r="G233" s="515"/>
      <c r="H233" s="27">
        <f>TRUNC(H232+H231,2)</f>
        <v>0</v>
      </c>
    </row>
    <row r="234" spans="2:8" x14ac:dyDescent="0.25">
      <c r="B234" s="516" t="s">
        <v>46</v>
      </c>
      <c r="C234" s="517"/>
      <c r="D234" s="517"/>
      <c r="E234" s="517"/>
      <c r="F234" s="517"/>
      <c r="G234" s="515"/>
      <c r="H234" s="45">
        <f>H233+H223</f>
        <v>0</v>
      </c>
    </row>
    <row r="235" spans="2:8" x14ac:dyDescent="0.25">
      <c r="B235" s="46"/>
      <c r="C235" s="47"/>
      <c r="D235" s="48"/>
      <c r="E235" s="48"/>
      <c r="F235" s="49"/>
      <c r="G235" s="48"/>
      <c r="H235" s="50"/>
    </row>
    <row r="236" spans="2:8" x14ac:dyDescent="0.25">
      <c r="B236" s="11" t="s">
        <v>12</v>
      </c>
      <c r="C236" s="12">
        <v>9</v>
      </c>
      <c r="D236" s="518" t="s">
        <v>1392</v>
      </c>
      <c r="E236" s="519"/>
      <c r="F236" s="519"/>
      <c r="G236" s="519"/>
      <c r="H236" s="520"/>
    </row>
    <row r="237" spans="2:8" x14ac:dyDescent="0.25">
      <c r="B237" s="521" t="s">
        <v>11</v>
      </c>
      <c r="C237" s="522"/>
      <c r="D237" s="13" t="s">
        <v>12</v>
      </c>
      <c r="E237" s="14" t="s">
        <v>13</v>
      </c>
      <c r="F237" s="15" t="s">
        <v>14</v>
      </c>
      <c r="G237" s="14" t="s">
        <v>15</v>
      </c>
      <c r="H237" s="16" t="s">
        <v>16</v>
      </c>
    </row>
    <row r="238" spans="2:8" x14ac:dyDescent="0.25">
      <c r="B238" s="523"/>
      <c r="C238" s="524"/>
      <c r="D238" s="17" t="s">
        <v>17</v>
      </c>
      <c r="E238" s="18" t="s">
        <v>18</v>
      </c>
      <c r="F238" s="19">
        <v>16</v>
      </c>
      <c r="G238" s="20">
        <f>Insumos!Q21</f>
        <v>0</v>
      </c>
      <c r="H238" s="21">
        <f t="shared" ref="H238:H244" si="16">F238*G238</f>
        <v>0</v>
      </c>
    </row>
    <row r="239" spans="2:8" x14ac:dyDescent="0.25">
      <c r="B239" s="523"/>
      <c r="C239" s="524"/>
      <c r="D239" s="17" t="s">
        <v>19</v>
      </c>
      <c r="E239" s="18" t="s">
        <v>18</v>
      </c>
      <c r="F239" s="19">
        <v>120</v>
      </c>
      <c r="G239" s="20">
        <f>Insumos!Q22</f>
        <v>0</v>
      </c>
      <c r="H239" s="21">
        <f t="shared" si="16"/>
        <v>0</v>
      </c>
    </row>
    <row r="240" spans="2:8" x14ac:dyDescent="0.25">
      <c r="B240" s="523"/>
      <c r="C240" s="524"/>
      <c r="D240" s="17" t="s">
        <v>20</v>
      </c>
      <c r="E240" s="18" t="s">
        <v>18</v>
      </c>
      <c r="F240" s="19">
        <v>120</v>
      </c>
      <c r="G240" s="20">
        <f>Insumos!Q23</f>
        <v>0</v>
      </c>
      <c r="H240" s="21">
        <f t="shared" si="16"/>
        <v>0</v>
      </c>
    </row>
    <row r="241" spans="2:8" x14ac:dyDescent="0.25">
      <c r="B241" s="523"/>
      <c r="C241" s="524"/>
      <c r="D241" s="17" t="s">
        <v>21</v>
      </c>
      <c r="E241" s="18" t="s">
        <v>18</v>
      </c>
      <c r="F241" s="19">
        <v>60</v>
      </c>
      <c r="G241" s="20">
        <f>Insumos!Q24</f>
        <v>0</v>
      </c>
      <c r="H241" s="21">
        <f t="shared" si="16"/>
        <v>0</v>
      </c>
    </row>
    <row r="242" spans="2:8" x14ac:dyDescent="0.25">
      <c r="B242" s="523"/>
      <c r="C242" s="524"/>
      <c r="D242" s="17" t="s">
        <v>22</v>
      </c>
      <c r="E242" s="18" t="s">
        <v>18</v>
      </c>
      <c r="F242" s="19">
        <v>60</v>
      </c>
      <c r="G242" s="20">
        <f>Insumos!Q25</f>
        <v>0</v>
      </c>
      <c r="H242" s="21">
        <f t="shared" si="16"/>
        <v>0</v>
      </c>
    </row>
    <row r="243" spans="2:8" x14ac:dyDescent="0.25">
      <c r="B243" s="523"/>
      <c r="C243" s="524"/>
      <c r="D243" s="17" t="s">
        <v>23</v>
      </c>
      <c r="E243" s="18" t="s">
        <v>18</v>
      </c>
      <c r="F243" s="19">
        <v>60</v>
      </c>
      <c r="G243" s="20">
        <f>Insumos!Q26</f>
        <v>0</v>
      </c>
      <c r="H243" s="21">
        <f t="shared" si="16"/>
        <v>0</v>
      </c>
    </row>
    <row r="244" spans="2:8" x14ac:dyDescent="0.25">
      <c r="B244" s="523"/>
      <c r="C244" s="524"/>
      <c r="D244" s="17" t="s">
        <v>24</v>
      </c>
      <c r="E244" s="18" t="s">
        <v>18</v>
      </c>
      <c r="F244" s="19">
        <v>60</v>
      </c>
      <c r="G244" s="20">
        <f>Insumos!Q27</f>
        <v>0</v>
      </c>
      <c r="H244" s="21">
        <f t="shared" si="16"/>
        <v>0</v>
      </c>
    </row>
    <row r="245" spans="2:8" x14ac:dyDescent="0.25">
      <c r="B245" s="523"/>
      <c r="C245" s="524"/>
      <c r="D245" s="525"/>
      <c r="E245" s="526"/>
      <c r="F245" s="531" t="s">
        <v>25</v>
      </c>
      <c r="G245" s="515"/>
      <c r="H245" s="22">
        <f>SUM(H238:H244)</f>
        <v>0</v>
      </c>
    </row>
    <row r="246" spans="2:8" ht="30" x14ac:dyDescent="0.25">
      <c r="B246" s="523"/>
      <c r="C246" s="524"/>
      <c r="D246" s="527"/>
      <c r="E246" s="528"/>
      <c r="F246" s="26" t="s">
        <v>26</v>
      </c>
      <c r="G246" s="24">
        <f>Insumos!$K$28</f>
        <v>0.70109999999999995</v>
      </c>
      <c r="H246" s="25">
        <f>H245*G246</f>
        <v>0</v>
      </c>
    </row>
    <row r="247" spans="2:8" x14ac:dyDescent="0.25">
      <c r="B247" s="523"/>
      <c r="C247" s="524"/>
      <c r="D247" s="527"/>
      <c r="E247" s="528"/>
      <c r="F247" s="531" t="s">
        <v>8</v>
      </c>
      <c r="G247" s="515"/>
      <c r="H247" s="22">
        <f>H246+H245</f>
        <v>0</v>
      </c>
    </row>
    <row r="248" spans="2:8" x14ac:dyDescent="0.25">
      <c r="B248" s="523"/>
      <c r="C248" s="524"/>
      <c r="D248" s="527"/>
      <c r="E248" s="528"/>
      <c r="F248" s="26" t="s">
        <v>27</v>
      </c>
      <c r="G248" s="24">
        <f>BDI!$C$20</f>
        <v>0.2492</v>
      </c>
      <c r="H248" s="25">
        <f>H247*G248</f>
        <v>0</v>
      </c>
    </row>
    <row r="249" spans="2:8" x14ac:dyDescent="0.25">
      <c r="B249" s="523"/>
      <c r="C249" s="524"/>
      <c r="D249" s="529"/>
      <c r="E249" s="530"/>
      <c r="F249" s="514" t="s">
        <v>28</v>
      </c>
      <c r="G249" s="515"/>
      <c r="H249" s="27">
        <f>TRUNC(H248+H247,2)</f>
        <v>0</v>
      </c>
    </row>
    <row r="250" spans="2:8" x14ac:dyDescent="0.25">
      <c r="B250" s="532" t="s">
        <v>29</v>
      </c>
      <c r="C250" s="28"/>
      <c r="D250" s="13" t="s">
        <v>12</v>
      </c>
      <c r="E250" s="14" t="s">
        <v>13</v>
      </c>
      <c r="F250" s="15" t="s">
        <v>14</v>
      </c>
      <c r="G250" s="14" t="s">
        <v>15</v>
      </c>
      <c r="H250" s="52" t="s">
        <v>16</v>
      </c>
    </row>
    <row r="251" spans="2:8" x14ac:dyDescent="0.25">
      <c r="B251" s="533"/>
      <c r="C251" s="34" t="s">
        <v>56</v>
      </c>
      <c r="D251" s="43" t="s">
        <v>31</v>
      </c>
      <c r="E251" s="18" t="s">
        <v>32</v>
      </c>
      <c r="F251" s="37">
        <v>1</v>
      </c>
      <c r="G251" s="53">
        <f>'9 Pav. Repente'!K14</f>
        <v>0</v>
      </c>
      <c r="H251" s="21">
        <f t="shared" ref="H251:H256" si="17">G251*F251</f>
        <v>0</v>
      </c>
    </row>
    <row r="252" spans="2:8" x14ac:dyDescent="0.25">
      <c r="B252" s="533"/>
      <c r="C252" s="34" t="s">
        <v>57</v>
      </c>
      <c r="D252" s="43" t="s">
        <v>34</v>
      </c>
      <c r="E252" s="18" t="s">
        <v>35</v>
      </c>
      <c r="F252" s="37">
        <v>1</v>
      </c>
      <c r="G252" s="53">
        <f>'9 Pav. Repente'!K24</f>
        <v>0</v>
      </c>
      <c r="H252" s="21">
        <f t="shared" si="17"/>
        <v>0</v>
      </c>
    </row>
    <row r="253" spans="2:8" ht="30" x14ac:dyDescent="0.25">
      <c r="B253" s="543"/>
      <c r="C253" s="34" t="s">
        <v>58</v>
      </c>
      <c r="D253" s="43" t="s">
        <v>37</v>
      </c>
      <c r="E253" s="18" t="s">
        <v>32</v>
      </c>
      <c r="F253" s="37">
        <v>1</v>
      </c>
      <c r="G253" s="53">
        <f>'9 Pav. Repente'!K40</f>
        <v>0</v>
      </c>
      <c r="H253" s="21">
        <f t="shared" si="17"/>
        <v>0</v>
      </c>
    </row>
    <row r="254" spans="2:8" x14ac:dyDescent="0.25">
      <c r="B254" s="544" t="s">
        <v>38</v>
      </c>
      <c r="C254" s="34" t="s">
        <v>59</v>
      </c>
      <c r="D254" s="43" t="s">
        <v>40</v>
      </c>
      <c r="E254" s="18" t="s">
        <v>35</v>
      </c>
      <c r="F254" s="37">
        <v>1</v>
      </c>
      <c r="G254" s="53">
        <f>'9 Pav. Repente'!K45</f>
        <v>0</v>
      </c>
      <c r="H254" s="21">
        <f t="shared" si="17"/>
        <v>0</v>
      </c>
    </row>
    <row r="255" spans="2:8" x14ac:dyDescent="0.25">
      <c r="B255" s="545"/>
      <c r="C255" s="34" t="s">
        <v>60</v>
      </c>
      <c r="D255" s="43" t="s">
        <v>42</v>
      </c>
      <c r="E255" s="18" t="s">
        <v>35</v>
      </c>
      <c r="F255" s="37">
        <v>1</v>
      </c>
      <c r="G255" s="53">
        <f>'9 Pav. Repente'!K50</f>
        <v>0</v>
      </c>
      <c r="H255" s="21">
        <f t="shared" si="17"/>
        <v>0</v>
      </c>
    </row>
    <row r="256" spans="2:8" x14ac:dyDescent="0.25">
      <c r="B256" s="546"/>
      <c r="C256" s="34" t="s">
        <v>61</v>
      </c>
      <c r="D256" s="43" t="s">
        <v>44</v>
      </c>
      <c r="E256" s="18" t="s">
        <v>35</v>
      </c>
      <c r="F256" s="37">
        <v>1</v>
      </c>
      <c r="G256" s="53">
        <f>'9 Pav. Repente'!K57</f>
        <v>0</v>
      </c>
      <c r="H256" s="21">
        <f t="shared" si="17"/>
        <v>0</v>
      </c>
    </row>
    <row r="257" spans="2:8" x14ac:dyDescent="0.25">
      <c r="B257" s="534"/>
      <c r="C257" s="535"/>
      <c r="D257" s="525"/>
      <c r="E257" s="526"/>
      <c r="F257" s="531" t="s">
        <v>25</v>
      </c>
      <c r="G257" s="515"/>
      <c r="H257" s="22">
        <f>SUM(H250:H256)</f>
        <v>0</v>
      </c>
    </row>
    <row r="258" spans="2:8" x14ac:dyDescent="0.25">
      <c r="B258" s="536"/>
      <c r="C258" s="537"/>
      <c r="D258" s="527"/>
      <c r="E258" s="528"/>
      <c r="F258" s="26" t="s">
        <v>27</v>
      </c>
      <c r="G258" s="24">
        <f>BDI!$C$20</f>
        <v>0.2492</v>
      </c>
      <c r="H258" s="25">
        <f>H257*G258</f>
        <v>0</v>
      </c>
    </row>
    <row r="259" spans="2:8" x14ac:dyDescent="0.25">
      <c r="B259" s="538"/>
      <c r="C259" s="539"/>
      <c r="D259" s="529"/>
      <c r="E259" s="530"/>
      <c r="F259" s="514" t="s">
        <v>45</v>
      </c>
      <c r="G259" s="515"/>
      <c r="H259" s="27">
        <f>TRUNC(H258+H257,2)</f>
        <v>0</v>
      </c>
    </row>
    <row r="260" spans="2:8" x14ac:dyDescent="0.25">
      <c r="B260" s="516" t="s">
        <v>46</v>
      </c>
      <c r="C260" s="517"/>
      <c r="D260" s="517"/>
      <c r="E260" s="517"/>
      <c r="F260" s="517"/>
      <c r="G260" s="515"/>
      <c r="H260" s="45">
        <f>H259+H249</f>
        <v>0</v>
      </c>
    </row>
    <row r="261" spans="2:8" x14ac:dyDescent="0.25">
      <c r="B261" s="46"/>
      <c r="C261" s="47"/>
      <c r="D261" s="48"/>
      <c r="E261" s="48"/>
      <c r="F261" s="49"/>
      <c r="G261" s="48"/>
      <c r="H261" s="50"/>
    </row>
    <row r="262" spans="2:8" x14ac:dyDescent="0.25">
      <c r="B262" s="11" t="s">
        <v>12</v>
      </c>
      <c r="C262" s="12">
        <v>10</v>
      </c>
      <c r="D262" s="518" t="s">
        <v>2119</v>
      </c>
      <c r="E262" s="519"/>
      <c r="F262" s="519"/>
      <c r="G262" s="519"/>
      <c r="H262" s="520"/>
    </row>
    <row r="263" spans="2:8" x14ac:dyDescent="0.25">
      <c r="B263" s="521" t="s">
        <v>11</v>
      </c>
      <c r="C263" s="522"/>
      <c r="D263" s="13" t="s">
        <v>12</v>
      </c>
      <c r="E263" s="14" t="s">
        <v>13</v>
      </c>
      <c r="F263" s="15" t="s">
        <v>14</v>
      </c>
      <c r="G263" s="14" t="s">
        <v>15</v>
      </c>
      <c r="H263" s="16" t="s">
        <v>16</v>
      </c>
    </row>
    <row r="264" spans="2:8" x14ac:dyDescent="0.25">
      <c r="B264" s="523"/>
      <c r="C264" s="524"/>
      <c r="D264" s="17" t="s">
        <v>17</v>
      </c>
      <c r="E264" s="18" t="s">
        <v>18</v>
      </c>
      <c r="F264" s="19">
        <v>24</v>
      </c>
      <c r="G264" s="20">
        <f>Insumos!Q21</f>
        <v>0</v>
      </c>
      <c r="H264" s="21">
        <f t="shared" ref="H264:H270" si="18">F264*G264</f>
        <v>0</v>
      </c>
    </row>
    <row r="265" spans="2:8" x14ac:dyDescent="0.25">
      <c r="B265" s="523"/>
      <c r="C265" s="524"/>
      <c r="D265" s="17" t="s">
        <v>19</v>
      </c>
      <c r="E265" s="18" t="s">
        <v>18</v>
      </c>
      <c r="F265" s="19">
        <v>480</v>
      </c>
      <c r="G265" s="20">
        <f>Insumos!Q22</f>
        <v>0</v>
      </c>
      <c r="H265" s="21">
        <f t="shared" si="18"/>
        <v>0</v>
      </c>
    </row>
    <row r="266" spans="2:8" x14ac:dyDescent="0.25">
      <c r="B266" s="523"/>
      <c r="C266" s="524"/>
      <c r="D266" s="17" t="s">
        <v>20</v>
      </c>
      <c r="E266" s="18" t="s">
        <v>18</v>
      </c>
      <c r="F266" s="19">
        <v>480</v>
      </c>
      <c r="G266" s="20">
        <f>Insumos!Q23</f>
        <v>0</v>
      </c>
      <c r="H266" s="21">
        <f t="shared" si="18"/>
        <v>0</v>
      </c>
    </row>
    <row r="267" spans="2:8" x14ac:dyDescent="0.25">
      <c r="B267" s="523"/>
      <c r="C267" s="524"/>
      <c r="D267" s="17" t="s">
        <v>21</v>
      </c>
      <c r="E267" s="18" t="s">
        <v>18</v>
      </c>
      <c r="F267" s="19">
        <v>180</v>
      </c>
      <c r="G267" s="20">
        <f>Insumos!Q24</f>
        <v>0</v>
      </c>
      <c r="H267" s="21">
        <f t="shared" si="18"/>
        <v>0</v>
      </c>
    </row>
    <row r="268" spans="2:8" x14ac:dyDescent="0.25">
      <c r="B268" s="523"/>
      <c r="C268" s="524"/>
      <c r="D268" s="17" t="s">
        <v>22</v>
      </c>
      <c r="E268" s="18" t="s">
        <v>18</v>
      </c>
      <c r="F268" s="19">
        <v>90</v>
      </c>
      <c r="G268" s="20">
        <f>Insumos!Q25</f>
        <v>0</v>
      </c>
      <c r="H268" s="21">
        <f t="shared" si="18"/>
        <v>0</v>
      </c>
    </row>
    <row r="269" spans="2:8" x14ac:dyDescent="0.25">
      <c r="B269" s="523"/>
      <c r="C269" s="524"/>
      <c r="D269" s="17" t="s">
        <v>23</v>
      </c>
      <c r="E269" s="18" t="s">
        <v>18</v>
      </c>
      <c r="F269" s="19">
        <v>90</v>
      </c>
      <c r="G269" s="20">
        <f>Insumos!Q26</f>
        <v>0</v>
      </c>
      <c r="H269" s="21">
        <f t="shared" si="18"/>
        <v>0</v>
      </c>
    </row>
    <row r="270" spans="2:8" x14ac:dyDescent="0.25">
      <c r="B270" s="523"/>
      <c r="C270" s="524"/>
      <c r="D270" s="17" t="s">
        <v>24</v>
      </c>
      <c r="E270" s="18" t="s">
        <v>18</v>
      </c>
      <c r="F270" s="19">
        <v>90</v>
      </c>
      <c r="G270" s="20">
        <f>Insumos!Q27</f>
        <v>0</v>
      </c>
      <c r="H270" s="21">
        <f t="shared" si="18"/>
        <v>0</v>
      </c>
    </row>
    <row r="271" spans="2:8" x14ac:dyDescent="0.25">
      <c r="B271" s="523"/>
      <c r="C271" s="524"/>
      <c r="D271" s="525"/>
      <c r="E271" s="526"/>
      <c r="F271" s="531" t="s">
        <v>25</v>
      </c>
      <c r="G271" s="515"/>
      <c r="H271" s="22">
        <f>SUM(H264:H270)</f>
        <v>0</v>
      </c>
    </row>
    <row r="272" spans="2:8" ht="30" x14ac:dyDescent="0.25">
      <c r="B272" s="523"/>
      <c r="C272" s="524"/>
      <c r="D272" s="527"/>
      <c r="E272" s="528"/>
      <c r="F272" s="26" t="s">
        <v>26</v>
      </c>
      <c r="G272" s="24">
        <f>Insumos!$K$28</f>
        <v>0.70109999999999995</v>
      </c>
      <c r="H272" s="25">
        <f>H271*G272</f>
        <v>0</v>
      </c>
    </row>
    <row r="273" spans="2:8" x14ac:dyDescent="0.25">
      <c r="B273" s="523"/>
      <c r="C273" s="524"/>
      <c r="D273" s="527"/>
      <c r="E273" s="528"/>
      <c r="F273" s="531" t="s">
        <v>8</v>
      </c>
      <c r="G273" s="515"/>
      <c r="H273" s="22">
        <f>H272+H271</f>
        <v>0</v>
      </c>
    </row>
    <row r="274" spans="2:8" x14ac:dyDescent="0.25">
      <c r="B274" s="523"/>
      <c r="C274" s="524"/>
      <c r="D274" s="527"/>
      <c r="E274" s="528"/>
      <c r="F274" s="26" t="s">
        <v>27</v>
      </c>
      <c r="G274" s="24">
        <f>BDI!$C$20</f>
        <v>0.2492</v>
      </c>
      <c r="H274" s="25">
        <f>H273*G274</f>
        <v>0</v>
      </c>
    </row>
    <row r="275" spans="2:8" x14ac:dyDescent="0.25">
      <c r="B275" s="523"/>
      <c r="C275" s="524"/>
      <c r="D275" s="529"/>
      <c r="E275" s="530"/>
      <c r="F275" s="514" t="s">
        <v>28</v>
      </c>
      <c r="G275" s="515"/>
      <c r="H275" s="27">
        <f>TRUNC(H274+H273,2)</f>
        <v>0</v>
      </c>
    </row>
    <row r="276" spans="2:8" x14ac:dyDescent="0.25">
      <c r="B276" s="532" t="s">
        <v>29</v>
      </c>
      <c r="C276" s="28"/>
      <c r="D276" s="13" t="s">
        <v>12</v>
      </c>
      <c r="E276" s="14" t="s">
        <v>13</v>
      </c>
      <c r="F276" s="15" t="s">
        <v>14</v>
      </c>
      <c r="G276" s="14" t="s">
        <v>15</v>
      </c>
      <c r="H276" s="52" t="s">
        <v>16</v>
      </c>
    </row>
    <row r="277" spans="2:8" x14ac:dyDescent="0.25">
      <c r="B277" s="533"/>
      <c r="C277" s="34" t="s">
        <v>1393</v>
      </c>
      <c r="D277" s="43" t="s">
        <v>31</v>
      </c>
      <c r="E277" s="18" t="s">
        <v>32</v>
      </c>
      <c r="F277" s="37">
        <v>1</v>
      </c>
      <c r="G277" s="53">
        <f>'10 Estande COI'!K16</f>
        <v>0</v>
      </c>
      <c r="H277" s="21">
        <f t="shared" ref="H277:H282" si="19">G277*F277</f>
        <v>0</v>
      </c>
    </row>
    <row r="278" spans="2:8" x14ac:dyDescent="0.25">
      <c r="B278" s="533"/>
      <c r="C278" s="34" t="s">
        <v>1394</v>
      </c>
      <c r="D278" s="43" t="s">
        <v>34</v>
      </c>
      <c r="E278" s="18" t="s">
        <v>35</v>
      </c>
      <c r="F278" s="37">
        <v>1</v>
      </c>
      <c r="G278" s="53">
        <f>'10 Estande COI'!K26</f>
        <v>0</v>
      </c>
      <c r="H278" s="21">
        <f t="shared" si="19"/>
        <v>0</v>
      </c>
    </row>
    <row r="279" spans="2:8" ht="30" x14ac:dyDescent="0.25">
      <c r="B279" s="543"/>
      <c r="C279" s="34" t="s">
        <v>1395</v>
      </c>
      <c r="D279" s="43" t="s">
        <v>37</v>
      </c>
      <c r="E279" s="18" t="s">
        <v>32</v>
      </c>
      <c r="F279" s="37">
        <v>1</v>
      </c>
      <c r="G279" s="53">
        <f>'10 Estande COI'!K40</f>
        <v>0</v>
      </c>
      <c r="H279" s="21">
        <f t="shared" si="19"/>
        <v>0</v>
      </c>
    </row>
    <row r="280" spans="2:8" x14ac:dyDescent="0.25">
      <c r="B280" s="544" t="s">
        <v>38</v>
      </c>
      <c r="C280" s="34" t="s">
        <v>1396</v>
      </c>
      <c r="D280" s="43" t="s">
        <v>40</v>
      </c>
      <c r="E280" s="18" t="s">
        <v>35</v>
      </c>
      <c r="F280" s="37">
        <v>1</v>
      </c>
      <c r="G280" s="53">
        <f>'10 Estande COI'!K45</f>
        <v>0</v>
      </c>
      <c r="H280" s="21">
        <f t="shared" si="19"/>
        <v>0</v>
      </c>
    </row>
    <row r="281" spans="2:8" x14ac:dyDescent="0.25">
      <c r="B281" s="545"/>
      <c r="C281" s="34" t="s">
        <v>1397</v>
      </c>
      <c r="D281" s="43" t="s">
        <v>42</v>
      </c>
      <c r="E281" s="18" t="s">
        <v>35</v>
      </c>
      <c r="F281" s="37">
        <v>1</v>
      </c>
      <c r="G281" s="53">
        <f>'10 Estande COI'!K50</f>
        <v>0</v>
      </c>
      <c r="H281" s="21">
        <f t="shared" si="19"/>
        <v>0</v>
      </c>
    </row>
    <row r="282" spans="2:8" x14ac:dyDescent="0.25">
      <c r="B282" s="546"/>
      <c r="C282" s="34" t="s">
        <v>1398</v>
      </c>
      <c r="D282" s="43" t="s">
        <v>44</v>
      </c>
      <c r="E282" s="18" t="s">
        <v>35</v>
      </c>
      <c r="F282" s="37">
        <v>1</v>
      </c>
      <c r="G282" s="53">
        <f>'10 Estande COI'!K57</f>
        <v>0</v>
      </c>
      <c r="H282" s="21">
        <f t="shared" si="19"/>
        <v>0</v>
      </c>
    </row>
    <row r="283" spans="2:8" x14ac:dyDescent="0.25">
      <c r="B283" s="534"/>
      <c r="C283" s="535"/>
      <c r="D283" s="525"/>
      <c r="E283" s="526"/>
      <c r="F283" s="531" t="s">
        <v>25</v>
      </c>
      <c r="G283" s="515"/>
      <c r="H283" s="22">
        <f>SUM(H276:H282)</f>
        <v>0</v>
      </c>
    </row>
    <row r="284" spans="2:8" x14ac:dyDescent="0.25">
      <c r="B284" s="536"/>
      <c r="C284" s="537"/>
      <c r="D284" s="527"/>
      <c r="E284" s="528"/>
      <c r="F284" s="26" t="s">
        <v>27</v>
      </c>
      <c r="G284" s="24">
        <f>BDI!$C$20</f>
        <v>0.2492</v>
      </c>
      <c r="H284" s="25">
        <f>H283*G284</f>
        <v>0</v>
      </c>
    </row>
    <row r="285" spans="2:8" x14ac:dyDescent="0.25">
      <c r="B285" s="538"/>
      <c r="C285" s="539"/>
      <c r="D285" s="529"/>
      <c r="E285" s="530"/>
      <c r="F285" s="514" t="s">
        <v>45</v>
      </c>
      <c r="G285" s="515"/>
      <c r="H285" s="27">
        <f>TRUNC(H284+H283,2)</f>
        <v>0</v>
      </c>
    </row>
    <row r="286" spans="2:8" x14ac:dyDescent="0.25">
      <c r="B286" s="516" t="s">
        <v>46</v>
      </c>
      <c r="C286" s="517"/>
      <c r="D286" s="517"/>
      <c r="E286" s="517"/>
      <c r="F286" s="517"/>
      <c r="G286" s="515"/>
      <c r="H286" s="45">
        <f>H285+H275</f>
        <v>0</v>
      </c>
    </row>
    <row r="287" spans="2:8" x14ac:dyDescent="0.25">
      <c r="B287" s="46"/>
      <c r="C287" s="47"/>
      <c r="D287" s="48"/>
      <c r="E287" s="48"/>
      <c r="F287" s="49"/>
      <c r="G287" s="48"/>
      <c r="H287" s="50"/>
    </row>
    <row r="288" spans="2:8" x14ac:dyDescent="0.25">
      <c r="B288" s="11" t="s">
        <v>12</v>
      </c>
      <c r="C288" s="12">
        <v>11</v>
      </c>
      <c r="D288" s="518" t="s">
        <v>90</v>
      </c>
      <c r="E288" s="519"/>
      <c r="F288" s="519"/>
      <c r="G288" s="519"/>
      <c r="H288" s="520"/>
    </row>
    <row r="289" spans="2:8" x14ac:dyDescent="0.25">
      <c r="B289" s="521" t="s">
        <v>11</v>
      </c>
      <c r="C289" s="522"/>
      <c r="D289" s="13" t="s">
        <v>12</v>
      </c>
      <c r="E289" s="14" t="s">
        <v>13</v>
      </c>
      <c r="F289" s="15" t="s">
        <v>14</v>
      </c>
      <c r="G289" s="14" t="s">
        <v>15</v>
      </c>
      <c r="H289" s="16" t="s">
        <v>16</v>
      </c>
    </row>
    <row r="290" spans="2:8" x14ac:dyDescent="0.25">
      <c r="B290" s="523"/>
      <c r="C290" s="524"/>
      <c r="D290" s="17" t="s">
        <v>17</v>
      </c>
      <c r="E290" s="18" t="s">
        <v>18</v>
      </c>
      <c r="F290" s="19">
        <v>50</v>
      </c>
      <c r="G290" s="20">
        <f>Insumos!Q21</f>
        <v>0</v>
      </c>
      <c r="H290" s="21">
        <f t="shared" ref="H290:H296" si="20">F290*G290</f>
        <v>0</v>
      </c>
    </row>
    <row r="291" spans="2:8" x14ac:dyDescent="0.25">
      <c r="B291" s="523"/>
      <c r="C291" s="524"/>
      <c r="D291" s="17" t="s">
        <v>19</v>
      </c>
      <c r="E291" s="18" t="s">
        <v>18</v>
      </c>
      <c r="F291" s="19">
        <v>150</v>
      </c>
      <c r="G291" s="20">
        <f>Insumos!Q22</f>
        <v>0</v>
      </c>
      <c r="H291" s="21">
        <f t="shared" si="20"/>
        <v>0</v>
      </c>
    </row>
    <row r="292" spans="2:8" x14ac:dyDescent="0.25">
      <c r="B292" s="523"/>
      <c r="C292" s="524"/>
      <c r="D292" s="17" t="s">
        <v>20</v>
      </c>
      <c r="E292" s="18" t="s">
        <v>18</v>
      </c>
      <c r="F292" s="19">
        <v>200</v>
      </c>
      <c r="G292" s="20">
        <f>Insumos!Q23</f>
        <v>0</v>
      </c>
      <c r="H292" s="21">
        <f t="shared" si="20"/>
        <v>0</v>
      </c>
    </row>
    <row r="293" spans="2:8" x14ac:dyDescent="0.25">
      <c r="B293" s="523"/>
      <c r="C293" s="524"/>
      <c r="D293" s="17" t="s">
        <v>21</v>
      </c>
      <c r="E293" s="18" t="s">
        <v>18</v>
      </c>
      <c r="F293" s="19">
        <v>60</v>
      </c>
      <c r="G293" s="20">
        <f>Insumos!Q24</f>
        <v>0</v>
      </c>
      <c r="H293" s="21">
        <f t="shared" si="20"/>
        <v>0</v>
      </c>
    </row>
    <row r="294" spans="2:8" x14ac:dyDescent="0.25">
      <c r="B294" s="523"/>
      <c r="C294" s="524"/>
      <c r="D294" s="17" t="s">
        <v>22</v>
      </c>
      <c r="E294" s="18" t="s">
        <v>18</v>
      </c>
      <c r="F294" s="19">
        <v>60</v>
      </c>
      <c r="G294" s="20">
        <f>Insumos!Q25</f>
        <v>0</v>
      </c>
      <c r="H294" s="21">
        <f t="shared" si="20"/>
        <v>0</v>
      </c>
    </row>
    <row r="295" spans="2:8" x14ac:dyDescent="0.25">
      <c r="B295" s="523"/>
      <c r="C295" s="524"/>
      <c r="D295" s="17" t="s">
        <v>23</v>
      </c>
      <c r="E295" s="18" t="s">
        <v>18</v>
      </c>
      <c r="F295" s="19">
        <v>50</v>
      </c>
      <c r="G295" s="20">
        <f>Insumos!Q26</f>
        <v>0</v>
      </c>
      <c r="H295" s="21">
        <f t="shared" si="20"/>
        <v>0</v>
      </c>
    </row>
    <row r="296" spans="2:8" x14ac:dyDescent="0.25">
      <c r="B296" s="523"/>
      <c r="C296" s="524"/>
      <c r="D296" s="17" t="s">
        <v>24</v>
      </c>
      <c r="E296" s="18" t="s">
        <v>18</v>
      </c>
      <c r="F296" s="19">
        <v>100</v>
      </c>
      <c r="G296" s="20">
        <f>Insumos!Q27</f>
        <v>0</v>
      </c>
      <c r="H296" s="21">
        <f t="shared" si="20"/>
        <v>0</v>
      </c>
    </row>
    <row r="297" spans="2:8" x14ac:dyDescent="0.25">
      <c r="B297" s="523"/>
      <c r="C297" s="524"/>
      <c r="D297" s="525"/>
      <c r="E297" s="526"/>
      <c r="F297" s="531" t="s">
        <v>25</v>
      </c>
      <c r="G297" s="515"/>
      <c r="H297" s="22">
        <f>SUM(H290:H296)</f>
        <v>0</v>
      </c>
    </row>
    <row r="298" spans="2:8" ht="30" x14ac:dyDescent="0.25">
      <c r="B298" s="523"/>
      <c r="C298" s="524"/>
      <c r="D298" s="527"/>
      <c r="E298" s="528"/>
      <c r="F298" s="26" t="s">
        <v>26</v>
      </c>
      <c r="G298" s="24">
        <f>Insumos!$K$28</f>
        <v>0.70109999999999995</v>
      </c>
      <c r="H298" s="25">
        <f>H297*G298</f>
        <v>0</v>
      </c>
    </row>
    <row r="299" spans="2:8" x14ac:dyDescent="0.25">
      <c r="B299" s="523"/>
      <c r="C299" s="524"/>
      <c r="D299" s="527"/>
      <c r="E299" s="528"/>
      <c r="F299" s="531" t="s">
        <v>8</v>
      </c>
      <c r="G299" s="515"/>
      <c r="H299" s="22">
        <f>H298+H297</f>
        <v>0</v>
      </c>
    </row>
    <row r="300" spans="2:8" x14ac:dyDescent="0.25">
      <c r="B300" s="523"/>
      <c r="C300" s="524"/>
      <c r="D300" s="527"/>
      <c r="E300" s="528"/>
      <c r="F300" s="26" t="s">
        <v>27</v>
      </c>
      <c r="G300" s="24">
        <f>BDI!$C$20</f>
        <v>0.2492</v>
      </c>
      <c r="H300" s="25">
        <f>H299*G300</f>
        <v>0</v>
      </c>
    </row>
    <row r="301" spans="2:8" x14ac:dyDescent="0.25">
      <c r="B301" s="523"/>
      <c r="C301" s="524"/>
      <c r="D301" s="529"/>
      <c r="E301" s="530"/>
      <c r="F301" s="514" t="s">
        <v>28</v>
      </c>
      <c r="G301" s="515"/>
      <c r="H301" s="27">
        <f>TRUNC(H300+H299,2)</f>
        <v>0</v>
      </c>
    </row>
    <row r="302" spans="2:8" x14ac:dyDescent="0.25">
      <c r="B302" s="532" t="s">
        <v>29</v>
      </c>
      <c r="C302" s="28"/>
      <c r="D302" s="13" t="s">
        <v>12</v>
      </c>
      <c r="E302" s="14" t="s">
        <v>13</v>
      </c>
      <c r="F302" s="15" t="s">
        <v>14</v>
      </c>
      <c r="G302" s="14" t="s">
        <v>15</v>
      </c>
      <c r="H302" s="52" t="s">
        <v>16</v>
      </c>
    </row>
    <row r="303" spans="2:8" x14ac:dyDescent="0.25">
      <c r="B303" s="533"/>
      <c r="C303" s="34" t="s">
        <v>1399</v>
      </c>
      <c r="D303" s="43" t="s">
        <v>31</v>
      </c>
      <c r="E303" s="18" t="s">
        <v>32</v>
      </c>
      <c r="F303" s="37">
        <v>1</v>
      </c>
      <c r="G303" s="53">
        <f>'11 Pav Mercado de Artesanato'!K11</f>
        <v>0</v>
      </c>
      <c r="H303" s="21">
        <f t="shared" ref="H303:H308" si="21">G303*F303</f>
        <v>0</v>
      </c>
    </row>
    <row r="304" spans="2:8" x14ac:dyDescent="0.25">
      <c r="B304" s="533"/>
      <c r="C304" s="34" t="s">
        <v>1400</v>
      </c>
      <c r="D304" s="43" t="s">
        <v>34</v>
      </c>
      <c r="E304" s="18" t="s">
        <v>35</v>
      </c>
      <c r="F304" s="37">
        <v>1</v>
      </c>
      <c r="G304" s="53">
        <f>'11 Pav Mercado de Artesanato'!K21</f>
        <v>0</v>
      </c>
      <c r="H304" s="21">
        <f t="shared" si="21"/>
        <v>0</v>
      </c>
    </row>
    <row r="305" spans="2:8" ht="30" x14ac:dyDescent="0.25">
      <c r="B305" s="543"/>
      <c r="C305" s="34" t="s">
        <v>1401</v>
      </c>
      <c r="D305" s="43" t="s">
        <v>37</v>
      </c>
      <c r="E305" s="18" t="s">
        <v>32</v>
      </c>
      <c r="F305" s="37">
        <v>1</v>
      </c>
      <c r="G305" s="53">
        <f>'11 Pav Mercado de Artesanato'!K37</f>
        <v>0</v>
      </c>
      <c r="H305" s="21">
        <f t="shared" si="21"/>
        <v>0</v>
      </c>
    </row>
    <row r="306" spans="2:8" x14ac:dyDescent="0.25">
      <c r="B306" s="544" t="s">
        <v>38</v>
      </c>
      <c r="C306" s="34" t="s">
        <v>1402</v>
      </c>
      <c r="D306" s="43" t="s">
        <v>40</v>
      </c>
      <c r="E306" s="18" t="s">
        <v>35</v>
      </c>
      <c r="F306" s="37">
        <v>1</v>
      </c>
      <c r="G306" s="53">
        <f>'11 Pav Mercado de Artesanato'!K42</f>
        <v>0</v>
      </c>
      <c r="H306" s="21">
        <f t="shared" si="21"/>
        <v>0</v>
      </c>
    </row>
    <row r="307" spans="2:8" x14ac:dyDescent="0.25">
      <c r="B307" s="545"/>
      <c r="C307" s="34" t="s">
        <v>1403</v>
      </c>
      <c r="D307" s="43" t="s">
        <v>42</v>
      </c>
      <c r="E307" s="18" t="s">
        <v>35</v>
      </c>
      <c r="F307" s="37">
        <v>1</v>
      </c>
      <c r="G307" s="53">
        <f>'11 Pav Mercado de Artesanato'!K47</f>
        <v>0</v>
      </c>
      <c r="H307" s="21">
        <f t="shared" si="21"/>
        <v>0</v>
      </c>
    </row>
    <row r="308" spans="2:8" x14ac:dyDescent="0.25">
      <c r="B308" s="546"/>
      <c r="C308" s="34" t="s">
        <v>1404</v>
      </c>
      <c r="D308" s="43" t="s">
        <v>44</v>
      </c>
      <c r="E308" s="18" t="s">
        <v>35</v>
      </c>
      <c r="F308" s="37">
        <v>1</v>
      </c>
      <c r="G308" s="53">
        <f>'11 Pav Mercado de Artesanato'!K54</f>
        <v>0</v>
      </c>
      <c r="H308" s="21">
        <f t="shared" si="21"/>
        <v>0</v>
      </c>
    </row>
    <row r="309" spans="2:8" x14ac:dyDescent="0.25">
      <c r="B309" s="534"/>
      <c r="C309" s="535"/>
      <c r="D309" s="525"/>
      <c r="E309" s="526"/>
      <c r="F309" s="531" t="s">
        <v>25</v>
      </c>
      <c r="G309" s="515"/>
      <c r="H309" s="22">
        <f>SUM(H302:H308)</f>
        <v>0</v>
      </c>
    </row>
    <row r="310" spans="2:8" x14ac:dyDescent="0.25">
      <c r="B310" s="536"/>
      <c r="C310" s="537"/>
      <c r="D310" s="527"/>
      <c r="E310" s="528"/>
      <c r="F310" s="26" t="s">
        <v>27</v>
      </c>
      <c r="G310" s="24">
        <f>BDI!$C$20</f>
        <v>0.2492</v>
      </c>
      <c r="H310" s="25">
        <f>H309*G310</f>
        <v>0</v>
      </c>
    </row>
    <row r="311" spans="2:8" x14ac:dyDescent="0.25">
      <c r="B311" s="538"/>
      <c r="C311" s="539"/>
      <c r="D311" s="529"/>
      <c r="E311" s="530"/>
      <c r="F311" s="514" t="s">
        <v>45</v>
      </c>
      <c r="G311" s="515"/>
      <c r="H311" s="27">
        <f>TRUNC(H310+H309,2)</f>
        <v>0</v>
      </c>
    </row>
    <row r="312" spans="2:8" x14ac:dyDescent="0.25">
      <c r="B312" s="516" t="s">
        <v>46</v>
      </c>
      <c r="C312" s="517"/>
      <c r="D312" s="517"/>
      <c r="E312" s="517"/>
      <c r="F312" s="517"/>
      <c r="G312" s="515"/>
      <c r="H312" s="45">
        <f>H311+H301</f>
        <v>0</v>
      </c>
    </row>
    <row r="313" spans="2:8" x14ac:dyDescent="0.25">
      <c r="B313" s="46"/>
      <c r="C313" s="47"/>
      <c r="D313" s="48"/>
      <c r="E313" s="48"/>
      <c r="F313" s="49"/>
      <c r="G313" s="48"/>
      <c r="H313" s="50"/>
    </row>
    <row r="314" spans="2:8" x14ac:dyDescent="0.25">
      <c r="B314" s="11" t="s">
        <v>12</v>
      </c>
      <c r="C314" s="12">
        <v>12</v>
      </c>
      <c r="D314" s="518" t="s">
        <v>91</v>
      </c>
      <c r="E314" s="519"/>
      <c r="F314" s="519"/>
      <c r="G314" s="519"/>
      <c r="H314" s="520"/>
    </row>
    <row r="315" spans="2:8" x14ac:dyDescent="0.25">
      <c r="B315" s="521" t="s">
        <v>11</v>
      </c>
      <c r="C315" s="522"/>
      <c r="D315" s="13" t="s">
        <v>12</v>
      </c>
      <c r="E315" s="14" t="s">
        <v>13</v>
      </c>
      <c r="F315" s="15" t="s">
        <v>14</v>
      </c>
      <c r="G315" s="14" t="s">
        <v>15</v>
      </c>
      <c r="H315" s="16" t="s">
        <v>16</v>
      </c>
    </row>
    <row r="316" spans="2:8" x14ac:dyDescent="0.25">
      <c r="B316" s="523"/>
      <c r="C316" s="524"/>
      <c r="D316" s="17" t="s">
        <v>17</v>
      </c>
      <c r="E316" s="18" t="s">
        <v>18</v>
      </c>
      <c r="F316" s="19">
        <v>12</v>
      </c>
      <c r="G316" s="20">
        <f>Insumos!Q21</f>
        <v>0</v>
      </c>
      <c r="H316" s="21">
        <f t="shared" ref="H316:H322" si="22">F316*G316</f>
        <v>0</v>
      </c>
    </row>
    <row r="317" spans="2:8" x14ac:dyDescent="0.25">
      <c r="B317" s="523"/>
      <c r="C317" s="524"/>
      <c r="D317" s="17" t="s">
        <v>19</v>
      </c>
      <c r="E317" s="18" t="s">
        <v>18</v>
      </c>
      <c r="F317" s="19">
        <v>48</v>
      </c>
      <c r="G317" s="20">
        <f>Insumos!Q22</f>
        <v>0</v>
      </c>
      <c r="H317" s="21">
        <f t="shared" si="22"/>
        <v>0</v>
      </c>
    </row>
    <row r="318" spans="2:8" x14ac:dyDescent="0.25">
      <c r="B318" s="523"/>
      <c r="C318" s="524"/>
      <c r="D318" s="17" t="s">
        <v>20</v>
      </c>
      <c r="E318" s="18" t="s">
        <v>18</v>
      </c>
      <c r="F318" s="19">
        <v>96</v>
      </c>
      <c r="G318" s="20">
        <f>Insumos!Q23</f>
        <v>0</v>
      </c>
      <c r="H318" s="21">
        <f t="shared" si="22"/>
        <v>0</v>
      </c>
    </row>
    <row r="319" spans="2:8" x14ac:dyDescent="0.25">
      <c r="B319" s="523"/>
      <c r="C319" s="524"/>
      <c r="D319" s="17" t="s">
        <v>21</v>
      </c>
      <c r="E319" s="18" t="s">
        <v>18</v>
      </c>
      <c r="F319" s="19">
        <v>36</v>
      </c>
      <c r="G319" s="20">
        <f>Insumos!Q24</f>
        <v>0</v>
      </c>
      <c r="H319" s="21">
        <f t="shared" si="22"/>
        <v>0</v>
      </c>
    </row>
    <row r="320" spans="2:8" x14ac:dyDescent="0.25">
      <c r="B320" s="523"/>
      <c r="C320" s="524"/>
      <c r="D320" s="17" t="s">
        <v>22</v>
      </c>
      <c r="E320" s="18" t="s">
        <v>18</v>
      </c>
      <c r="F320" s="19">
        <v>36</v>
      </c>
      <c r="G320" s="20">
        <f>Insumos!Q25</f>
        <v>0</v>
      </c>
      <c r="H320" s="21">
        <f t="shared" si="22"/>
        <v>0</v>
      </c>
    </row>
    <row r="321" spans="2:8" x14ac:dyDescent="0.25">
      <c r="B321" s="523"/>
      <c r="C321" s="524"/>
      <c r="D321" s="17" t="s">
        <v>23</v>
      </c>
      <c r="E321" s="18" t="s">
        <v>18</v>
      </c>
      <c r="F321" s="19">
        <v>36</v>
      </c>
      <c r="G321" s="20">
        <f>Insumos!Q26</f>
        <v>0</v>
      </c>
      <c r="H321" s="21">
        <f t="shared" si="22"/>
        <v>0</v>
      </c>
    </row>
    <row r="322" spans="2:8" x14ac:dyDescent="0.25">
      <c r="B322" s="523"/>
      <c r="C322" s="524"/>
      <c r="D322" s="17" t="s">
        <v>24</v>
      </c>
      <c r="E322" s="18" t="s">
        <v>18</v>
      </c>
      <c r="F322" s="19">
        <v>96</v>
      </c>
      <c r="G322" s="20">
        <f>Insumos!Q27</f>
        <v>0</v>
      </c>
      <c r="H322" s="21">
        <f t="shared" si="22"/>
        <v>0</v>
      </c>
    </row>
    <row r="323" spans="2:8" x14ac:dyDescent="0.25">
      <c r="B323" s="523"/>
      <c r="C323" s="524"/>
      <c r="D323" s="525"/>
      <c r="E323" s="526"/>
      <c r="F323" s="531" t="s">
        <v>25</v>
      </c>
      <c r="G323" s="515"/>
      <c r="H323" s="22">
        <f>SUM(H316:H322)</f>
        <v>0</v>
      </c>
    </row>
    <row r="324" spans="2:8" ht="30" x14ac:dyDescent="0.25">
      <c r="B324" s="523"/>
      <c r="C324" s="524"/>
      <c r="D324" s="527"/>
      <c r="E324" s="528"/>
      <c r="F324" s="26" t="s">
        <v>26</v>
      </c>
      <c r="G324" s="24">
        <f>Insumos!$K$28</f>
        <v>0.70109999999999995</v>
      </c>
      <c r="H324" s="25">
        <f>H323*G324</f>
        <v>0</v>
      </c>
    </row>
    <row r="325" spans="2:8" x14ac:dyDescent="0.25">
      <c r="B325" s="523"/>
      <c r="C325" s="524"/>
      <c r="D325" s="527"/>
      <c r="E325" s="528"/>
      <c r="F325" s="531" t="s">
        <v>8</v>
      </c>
      <c r="G325" s="515"/>
      <c r="H325" s="22">
        <f>H324+H323</f>
        <v>0</v>
      </c>
    </row>
    <row r="326" spans="2:8" x14ac:dyDescent="0.25">
      <c r="B326" s="523"/>
      <c r="C326" s="524"/>
      <c r="D326" s="527"/>
      <c r="E326" s="528"/>
      <c r="F326" s="26" t="s">
        <v>27</v>
      </c>
      <c r="G326" s="24">
        <f>BDI!$C$20</f>
        <v>0.2492</v>
      </c>
      <c r="H326" s="25">
        <f>H325*G326</f>
        <v>0</v>
      </c>
    </row>
    <row r="327" spans="2:8" x14ac:dyDescent="0.25">
      <c r="B327" s="523"/>
      <c r="C327" s="524"/>
      <c r="D327" s="529"/>
      <c r="E327" s="530"/>
      <c r="F327" s="514" t="s">
        <v>28</v>
      </c>
      <c r="G327" s="515"/>
      <c r="H327" s="27">
        <f>TRUNC(H326+H325,2)</f>
        <v>0</v>
      </c>
    </row>
    <row r="328" spans="2:8" x14ac:dyDescent="0.25">
      <c r="B328" s="532" t="s">
        <v>29</v>
      </c>
      <c r="C328" s="28"/>
      <c r="D328" s="13" t="s">
        <v>12</v>
      </c>
      <c r="E328" s="14" t="s">
        <v>13</v>
      </c>
      <c r="F328" s="15" t="s">
        <v>14</v>
      </c>
      <c r="G328" s="14" t="s">
        <v>15</v>
      </c>
      <c r="H328" s="52" t="s">
        <v>16</v>
      </c>
    </row>
    <row r="329" spans="2:8" x14ac:dyDescent="0.25">
      <c r="B329" s="533"/>
      <c r="C329" s="34" t="s">
        <v>71</v>
      </c>
      <c r="D329" s="43" t="s">
        <v>31</v>
      </c>
      <c r="E329" s="18" t="s">
        <v>32</v>
      </c>
      <c r="F329" s="37">
        <v>1</v>
      </c>
      <c r="G329" s="53">
        <f>'12 Pav Mercado Criativo'!K11</f>
        <v>0</v>
      </c>
      <c r="H329" s="21">
        <f t="shared" ref="H329:H334" si="23">G329*F329</f>
        <v>0</v>
      </c>
    </row>
    <row r="330" spans="2:8" x14ac:dyDescent="0.25">
      <c r="B330" s="533"/>
      <c r="C330" s="34" t="s">
        <v>72</v>
      </c>
      <c r="D330" s="43" t="s">
        <v>34</v>
      </c>
      <c r="E330" s="18" t="s">
        <v>35</v>
      </c>
      <c r="F330" s="37">
        <v>1</v>
      </c>
      <c r="G330" s="53">
        <f>'12 Pav Mercado Criativo'!K21</f>
        <v>0</v>
      </c>
      <c r="H330" s="21">
        <f t="shared" si="23"/>
        <v>0</v>
      </c>
    </row>
    <row r="331" spans="2:8" ht="30" x14ac:dyDescent="0.25">
      <c r="B331" s="543"/>
      <c r="C331" s="34" t="s">
        <v>73</v>
      </c>
      <c r="D331" s="43" t="s">
        <v>37</v>
      </c>
      <c r="E331" s="18" t="s">
        <v>32</v>
      </c>
      <c r="F331" s="37">
        <v>1</v>
      </c>
      <c r="G331" s="53">
        <f>'12 Pav Mercado Criativo'!K37</f>
        <v>0</v>
      </c>
      <c r="H331" s="21">
        <f t="shared" si="23"/>
        <v>0</v>
      </c>
    </row>
    <row r="332" spans="2:8" x14ac:dyDescent="0.25">
      <c r="B332" s="544" t="s">
        <v>38</v>
      </c>
      <c r="C332" s="34" t="s">
        <v>74</v>
      </c>
      <c r="D332" s="43" t="s">
        <v>40</v>
      </c>
      <c r="E332" s="18" t="s">
        <v>35</v>
      </c>
      <c r="F332" s="37">
        <v>1</v>
      </c>
      <c r="G332" s="53">
        <f>'12 Pav Mercado Criativo'!K42</f>
        <v>0</v>
      </c>
      <c r="H332" s="21">
        <f t="shared" si="23"/>
        <v>0</v>
      </c>
    </row>
    <row r="333" spans="2:8" x14ac:dyDescent="0.25">
      <c r="B333" s="545"/>
      <c r="C333" s="34" t="s">
        <v>75</v>
      </c>
      <c r="D333" s="43" t="s">
        <v>42</v>
      </c>
      <c r="E333" s="18" t="s">
        <v>35</v>
      </c>
      <c r="F333" s="37">
        <v>1</v>
      </c>
      <c r="G333" s="53">
        <f>'12 Pav Mercado Criativo'!K47</f>
        <v>0</v>
      </c>
      <c r="H333" s="21">
        <f t="shared" si="23"/>
        <v>0</v>
      </c>
    </row>
    <row r="334" spans="2:8" x14ac:dyDescent="0.25">
      <c r="B334" s="546"/>
      <c r="C334" s="34" t="s">
        <v>76</v>
      </c>
      <c r="D334" s="43" t="s">
        <v>44</v>
      </c>
      <c r="E334" s="18" t="s">
        <v>35</v>
      </c>
      <c r="F334" s="37">
        <v>1</v>
      </c>
      <c r="G334" s="53">
        <f>'12 Pav Mercado Criativo'!K54</f>
        <v>0</v>
      </c>
      <c r="H334" s="21">
        <f t="shared" si="23"/>
        <v>0</v>
      </c>
    </row>
    <row r="335" spans="2:8" x14ac:dyDescent="0.25">
      <c r="B335" s="534"/>
      <c r="C335" s="535"/>
      <c r="D335" s="525"/>
      <c r="E335" s="526"/>
      <c r="F335" s="531" t="s">
        <v>25</v>
      </c>
      <c r="G335" s="515"/>
      <c r="H335" s="22">
        <f>SUM(H328:H334)</f>
        <v>0</v>
      </c>
    </row>
    <row r="336" spans="2:8" x14ac:dyDescent="0.25">
      <c r="B336" s="536"/>
      <c r="C336" s="537"/>
      <c r="D336" s="527"/>
      <c r="E336" s="528"/>
      <c r="F336" s="26" t="s">
        <v>27</v>
      </c>
      <c r="G336" s="24">
        <f>BDI!$C$20</f>
        <v>0.2492</v>
      </c>
      <c r="H336" s="25">
        <f>H335*G336</f>
        <v>0</v>
      </c>
    </row>
    <row r="337" spans="2:8" x14ac:dyDescent="0.25">
      <c r="B337" s="538"/>
      <c r="C337" s="539"/>
      <c r="D337" s="529"/>
      <c r="E337" s="530"/>
      <c r="F337" s="514" t="s">
        <v>45</v>
      </c>
      <c r="G337" s="515"/>
      <c r="H337" s="27">
        <f>TRUNC(H336+H335,2)</f>
        <v>0</v>
      </c>
    </row>
    <row r="338" spans="2:8" x14ac:dyDescent="0.25">
      <c r="B338" s="516" t="s">
        <v>46</v>
      </c>
      <c r="C338" s="517"/>
      <c r="D338" s="517"/>
      <c r="E338" s="517"/>
      <c r="F338" s="517"/>
      <c r="G338" s="515"/>
      <c r="H338" s="45">
        <f>H337+H327</f>
        <v>0</v>
      </c>
    </row>
    <row r="339" spans="2:8" x14ac:dyDescent="0.25">
      <c r="B339" s="46"/>
      <c r="C339" s="47"/>
      <c r="D339" s="48"/>
      <c r="E339" s="48"/>
      <c r="F339" s="49"/>
      <c r="G339" s="48"/>
      <c r="H339" s="50"/>
    </row>
    <row r="340" spans="2:8" x14ac:dyDescent="0.25">
      <c r="B340" s="11" t="s">
        <v>12</v>
      </c>
      <c r="C340" s="12">
        <v>13</v>
      </c>
      <c r="D340" s="518" t="s">
        <v>2130</v>
      </c>
      <c r="E340" s="519"/>
      <c r="F340" s="519"/>
      <c r="G340" s="519"/>
      <c r="H340" s="520"/>
    </row>
    <row r="341" spans="2:8" ht="15" customHeight="1" x14ac:dyDescent="0.25">
      <c r="B341" s="521" t="s">
        <v>11</v>
      </c>
      <c r="C341" s="522"/>
      <c r="D341" s="13" t="s">
        <v>12</v>
      </c>
      <c r="E341" s="14" t="s">
        <v>13</v>
      </c>
      <c r="F341" s="15" t="s">
        <v>14</v>
      </c>
      <c r="G341" s="14" t="s">
        <v>15</v>
      </c>
      <c r="H341" s="16" t="s">
        <v>16</v>
      </c>
    </row>
    <row r="342" spans="2:8" x14ac:dyDescent="0.25">
      <c r="B342" s="523"/>
      <c r="C342" s="524"/>
      <c r="D342" s="17" t="s">
        <v>17</v>
      </c>
      <c r="E342" s="18" t="s">
        <v>18</v>
      </c>
      <c r="F342" s="19">
        <v>12</v>
      </c>
      <c r="G342" s="20">
        <f>Insumos!Q21</f>
        <v>0</v>
      </c>
      <c r="H342" s="21">
        <f>F342*G342</f>
        <v>0</v>
      </c>
    </row>
    <row r="343" spans="2:8" x14ac:dyDescent="0.25">
      <c r="B343" s="523"/>
      <c r="C343" s="524"/>
      <c r="D343" s="17" t="s">
        <v>19</v>
      </c>
      <c r="E343" s="18" t="s">
        <v>18</v>
      </c>
      <c r="F343" s="19">
        <v>36</v>
      </c>
      <c r="G343" s="20">
        <f>Insumos!Q22</f>
        <v>0</v>
      </c>
      <c r="H343" s="21">
        <f t="shared" ref="H343:H348" si="24">F343*G343</f>
        <v>0</v>
      </c>
    </row>
    <row r="344" spans="2:8" x14ac:dyDescent="0.25">
      <c r="B344" s="523"/>
      <c r="C344" s="524"/>
      <c r="D344" s="17" t="s">
        <v>20</v>
      </c>
      <c r="E344" s="18" t="s">
        <v>18</v>
      </c>
      <c r="F344" s="19">
        <v>36</v>
      </c>
      <c r="G344" s="20">
        <f>Insumos!Q23</f>
        <v>0</v>
      </c>
      <c r="H344" s="21">
        <f t="shared" si="24"/>
        <v>0</v>
      </c>
    </row>
    <row r="345" spans="2:8" x14ac:dyDescent="0.25">
      <c r="B345" s="523"/>
      <c r="C345" s="524"/>
      <c r="D345" s="17" t="s">
        <v>21</v>
      </c>
      <c r="E345" s="18" t="s">
        <v>18</v>
      </c>
      <c r="F345" s="19">
        <v>96</v>
      </c>
      <c r="G345" s="20">
        <f>Insumos!Q24</f>
        <v>0</v>
      </c>
      <c r="H345" s="21">
        <f t="shared" si="24"/>
        <v>0</v>
      </c>
    </row>
    <row r="346" spans="2:8" x14ac:dyDescent="0.25">
      <c r="B346" s="523"/>
      <c r="C346" s="524"/>
      <c r="D346" s="17" t="s">
        <v>22</v>
      </c>
      <c r="E346" s="18" t="s">
        <v>18</v>
      </c>
      <c r="F346" s="19">
        <v>96</v>
      </c>
      <c r="G346" s="20">
        <f>Insumos!Q25</f>
        <v>0</v>
      </c>
      <c r="H346" s="21">
        <f t="shared" si="24"/>
        <v>0</v>
      </c>
    </row>
    <row r="347" spans="2:8" x14ac:dyDescent="0.25">
      <c r="B347" s="523"/>
      <c r="C347" s="524"/>
      <c r="D347" s="17" t="s">
        <v>23</v>
      </c>
      <c r="E347" s="18" t="s">
        <v>18</v>
      </c>
      <c r="F347" s="19">
        <v>36</v>
      </c>
      <c r="G347" s="20">
        <f>Insumos!Q26</f>
        <v>0</v>
      </c>
      <c r="H347" s="21">
        <f t="shared" si="24"/>
        <v>0</v>
      </c>
    </row>
    <row r="348" spans="2:8" x14ac:dyDescent="0.25">
      <c r="B348" s="523"/>
      <c r="C348" s="524"/>
      <c r="D348" s="17" t="s">
        <v>24</v>
      </c>
      <c r="E348" s="18" t="s">
        <v>18</v>
      </c>
      <c r="F348" s="19">
        <v>36</v>
      </c>
      <c r="G348" s="20">
        <f>Insumos!Q27</f>
        <v>0</v>
      </c>
      <c r="H348" s="21">
        <f t="shared" si="24"/>
        <v>0</v>
      </c>
    </row>
    <row r="349" spans="2:8" x14ac:dyDescent="0.25">
      <c r="B349" s="523"/>
      <c r="C349" s="524"/>
      <c r="D349" s="525"/>
      <c r="E349" s="560"/>
      <c r="F349" s="571" t="s">
        <v>25</v>
      </c>
      <c r="G349" s="572"/>
      <c r="H349" s="22">
        <f>SUM(H342:H348)</f>
        <v>0</v>
      </c>
    </row>
    <row r="350" spans="2:8" ht="30" x14ac:dyDescent="0.25">
      <c r="B350" s="523"/>
      <c r="C350" s="524"/>
      <c r="D350" s="561"/>
      <c r="E350" s="562"/>
      <c r="F350" s="26" t="s">
        <v>26</v>
      </c>
      <c r="G350" s="24">
        <f>Insumos!$K$28</f>
        <v>0.70109999999999995</v>
      </c>
      <c r="H350" s="25">
        <f>H349*G350</f>
        <v>0</v>
      </c>
    </row>
    <row r="351" spans="2:8" x14ac:dyDescent="0.25">
      <c r="B351" s="523"/>
      <c r="C351" s="524"/>
      <c r="D351" s="561"/>
      <c r="E351" s="562"/>
      <c r="F351" s="531" t="s">
        <v>8</v>
      </c>
      <c r="G351" s="565"/>
      <c r="H351" s="22">
        <f>H350+H349</f>
        <v>0</v>
      </c>
    </row>
    <row r="352" spans="2:8" x14ac:dyDescent="0.25">
      <c r="B352" s="523"/>
      <c r="C352" s="524"/>
      <c r="D352" s="561"/>
      <c r="E352" s="562"/>
      <c r="F352" s="26" t="s">
        <v>27</v>
      </c>
      <c r="G352" s="24">
        <f>BDI!$C$20</f>
        <v>0.2492</v>
      </c>
      <c r="H352" s="25">
        <f>H351*G352</f>
        <v>0</v>
      </c>
    </row>
    <row r="353" spans="2:8" x14ac:dyDescent="0.25">
      <c r="B353" s="569"/>
      <c r="C353" s="570"/>
      <c r="D353" s="563"/>
      <c r="E353" s="564"/>
      <c r="F353" s="514" t="s">
        <v>28</v>
      </c>
      <c r="G353" s="566"/>
      <c r="H353" s="27">
        <f>TRUNC(H352+H351,2)</f>
        <v>0</v>
      </c>
    </row>
    <row r="354" spans="2:8" ht="15" customHeight="1" x14ac:dyDescent="0.25">
      <c r="B354" s="557" t="s">
        <v>29</v>
      </c>
      <c r="C354" s="28"/>
      <c r="D354" s="13" t="s">
        <v>12</v>
      </c>
      <c r="E354" s="14" t="s">
        <v>13</v>
      </c>
      <c r="F354" s="15" t="s">
        <v>14</v>
      </c>
      <c r="G354" s="14" t="s">
        <v>15</v>
      </c>
      <c r="H354" s="52" t="s">
        <v>16</v>
      </c>
    </row>
    <row r="355" spans="2:8" x14ac:dyDescent="0.25">
      <c r="B355" s="558"/>
      <c r="C355" s="34" t="s">
        <v>1405</v>
      </c>
      <c r="D355" s="43" t="s">
        <v>31</v>
      </c>
      <c r="E355" s="18" t="s">
        <v>32</v>
      </c>
      <c r="F355" s="37">
        <v>1</v>
      </c>
      <c r="G355" s="53">
        <f>'13 Pav Vila Funcional'!K11</f>
        <v>0</v>
      </c>
      <c r="H355" s="21">
        <f t="shared" ref="H355:H360" si="25">G355*F355</f>
        <v>0</v>
      </c>
    </row>
    <row r="356" spans="2:8" x14ac:dyDescent="0.25">
      <c r="B356" s="558"/>
      <c r="C356" s="34" t="s">
        <v>1406</v>
      </c>
      <c r="D356" s="43" t="s">
        <v>34</v>
      </c>
      <c r="E356" s="18" t="s">
        <v>35</v>
      </c>
      <c r="F356" s="37">
        <v>1</v>
      </c>
      <c r="G356" s="53">
        <f>'13 Pav Vila Funcional'!K20</f>
        <v>0</v>
      </c>
      <c r="H356" s="21">
        <f t="shared" si="25"/>
        <v>0</v>
      </c>
    </row>
    <row r="357" spans="2:8" ht="30" x14ac:dyDescent="0.25">
      <c r="B357" s="559"/>
      <c r="C357" s="34" t="s">
        <v>1407</v>
      </c>
      <c r="D357" s="43" t="s">
        <v>37</v>
      </c>
      <c r="E357" s="18" t="s">
        <v>32</v>
      </c>
      <c r="F357" s="37">
        <v>1</v>
      </c>
      <c r="G357" s="53">
        <f>'13 Pav Vila Funcional'!K35</f>
        <v>0</v>
      </c>
      <c r="H357" s="21">
        <f t="shared" si="25"/>
        <v>0</v>
      </c>
    </row>
    <row r="358" spans="2:8" ht="15" customHeight="1" x14ac:dyDescent="0.25">
      <c r="B358" s="544" t="s">
        <v>38</v>
      </c>
      <c r="C358" s="34" t="s">
        <v>1408</v>
      </c>
      <c r="D358" s="43" t="s">
        <v>40</v>
      </c>
      <c r="E358" s="18" t="s">
        <v>35</v>
      </c>
      <c r="F358" s="37">
        <v>1</v>
      </c>
      <c r="G358" s="53">
        <f>'13 Pav Vila Funcional'!K40</f>
        <v>0</v>
      </c>
      <c r="H358" s="21">
        <f t="shared" si="25"/>
        <v>0</v>
      </c>
    </row>
    <row r="359" spans="2:8" x14ac:dyDescent="0.25">
      <c r="B359" s="545"/>
      <c r="C359" s="34" t="s">
        <v>1409</v>
      </c>
      <c r="D359" s="43" t="s">
        <v>42</v>
      </c>
      <c r="E359" s="18" t="s">
        <v>35</v>
      </c>
      <c r="F359" s="37">
        <v>1</v>
      </c>
      <c r="G359" s="53">
        <f>'13 Pav Vila Funcional'!K45</f>
        <v>0</v>
      </c>
      <c r="H359" s="21">
        <f t="shared" si="25"/>
        <v>0</v>
      </c>
    </row>
    <row r="360" spans="2:8" x14ac:dyDescent="0.25">
      <c r="B360" s="546"/>
      <c r="C360" s="34" t="s">
        <v>1410</v>
      </c>
      <c r="D360" s="43" t="s">
        <v>44</v>
      </c>
      <c r="E360" s="18" t="s">
        <v>35</v>
      </c>
      <c r="F360" s="37">
        <v>1</v>
      </c>
      <c r="G360" s="53">
        <f>'13 Pav Vila Funcional'!K52</f>
        <v>0</v>
      </c>
      <c r="H360" s="21">
        <f t="shared" si="25"/>
        <v>0</v>
      </c>
    </row>
    <row r="361" spans="2:8" x14ac:dyDescent="0.25">
      <c r="B361" s="534"/>
      <c r="C361" s="535"/>
      <c r="D361" s="525"/>
      <c r="E361" s="560"/>
      <c r="F361" s="531" t="s">
        <v>25</v>
      </c>
      <c r="G361" s="565"/>
      <c r="H361" s="22">
        <f>SUM(H354:H360)</f>
        <v>0</v>
      </c>
    </row>
    <row r="362" spans="2:8" x14ac:dyDescent="0.25">
      <c r="B362" s="536"/>
      <c r="C362" s="537"/>
      <c r="D362" s="561"/>
      <c r="E362" s="562"/>
      <c r="F362" s="26" t="s">
        <v>27</v>
      </c>
      <c r="G362" s="24">
        <f>BDI!$C$20</f>
        <v>0.2492</v>
      </c>
      <c r="H362" s="25">
        <f>H361*G362</f>
        <v>0</v>
      </c>
    </row>
    <row r="363" spans="2:8" x14ac:dyDescent="0.25">
      <c r="B363" s="538"/>
      <c r="C363" s="539"/>
      <c r="D363" s="563"/>
      <c r="E363" s="564"/>
      <c r="F363" s="514" t="s">
        <v>45</v>
      </c>
      <c r="G363" s="566"/>
      <c r="H363" s="27">
        <f>TRUNC(H362+H361,2)</f>
        <v>0</v>
      </c>
    </row>
    <row r="364" spans="2:8" x14ac:dyDescent="0.25">
      <c r="B364" s="516" t="s">
        <v>46</v>
      </c>
      <c r="C364" s="567"/>
      <c r="D364" s="567"/>
      <c r="E364" s="567"/>
      <c r="F364" s="567"/>
      <c r="G364" s="568"/>
      <c r="H364" s="45">
        <f>H363+H353</f>
        <v>0</v>
      </c>
    </row>
    <row r="365" spans="2:8" x14ac:dyDescent="0.25">
      <c r="B365" s="46"/>
      <c r="C365" s="47"/>
      <c r="D365" s="48"/>
      <c r="E365" s="48"/>
      <c r="F365" s="49"/>
      <c r="G365" s="48"/>
      <c r="H365" s="50"/>
    </row>
    <row r="366" spans="2:8" x14ac:dyDescent="0.25">
      <c r="B366" s="11" t="s">
        <v>12</v>
      </c>
      <c r="C366" s="12">
        <v>14</v>
      </c>
      <c r="D366" s="518" t="s">
        <v>1338</v>
      </c>
      <c r="E366" s="519"/>
      <c r="F366" s="519"/>
      <c r="G366" s="519"/>
      <c r="H366" s="520"/>
    </row>
    <row r="367" spans="2:8" x14ac:dyDescent="0.25">
      <c r="B367" s="521" t="s">
        <v>11</v>
      </c>
      <c r="C367" s="522"/>
      <c r="D367" s="13" t="s">
        <v>12</v>
      </c>
      <c r="E367" s="14" t="s">
        <v>13</v>
      </c>
      <c r="F367" s="15" t="s">
        <v>14</v>
      </c>
      <c r="G367" s="14" t="s">
        <v>15</v>
      </c>
      <c r="H367" s="16" t="s">
        <v>16</v>
      </c>
    </row>
    <row r="368" spans="2:8" x14ac:dyDescent="0.25">
      <c r="B368" s="523"/>
      <c r="C368" s="524"/>
      <c r="D368" s="17" t="s">
        <v>17</v>
      </c>
      <c r="E368" s="18" t="s">
        <v>18</v>
      </c>
      <c r="F368" s="19">
        <v>4</v>
      </c>
      <c r="G368" s="20">
        <f>Insumos!Q21</f>
        <v>0</v>
      </c>
      <c r="H368" s="21">
        <f>F368*G368</f>
        <v>0</v>
      </c>
    </row>
    <row r="369" spans="2:8" x14ac:dyDescent="0.25">
      <c r="B369" s="523"/>
      <c r="C369" s="524"/>
      <c r="D369" s="17" t="s">
        <v>19</v>
      </c>
      <c r="E369" s="18" t="s">
        <v>18</v>
      </c>
      <c r="F369" s="19">
        <v>120</v>
      </c>
      <c r="G369" s="20">
        <f>Insumos!Q22</f>
        <v>0</v>
      </c>
      <c r="H369" s="21">
        <f t="shared" ref="H369:H374" si="26">F369*G369</f>
        <v>0</v>
      </c>
    </row>
    <row r="370" spans="2:8" x14ac:dyDescent="0.25">
      <c r="B370" s="523"/>
      <c r="C370" s="524"/>
      <c r="D370" s="17" t="s">
        <v>20</v>
      </c>
      <c r="E370" s="18" t="s">
        <v>18</v>
      </c>
      <c r="F370" s="19">
        <v>120</v>
      </c>
      <c r="G370" s="20">
        <f>Insumos!Q23</f>
        <v>0</v>
      </c>
      <c r="H370" s="21">
        <f t="shared" si="26"/>
        <v>0</v>
      </c>
    </row>
    <row r="371" spans="2:8" x14ac:dyDescent="0.25">
      <c r="B371" s="523"/>
      <c r="C371" s="524"/>
      <c r="D371" s="17" t="s">
        <v>21</v>
      </c>
      <c r="E371" s="18" t="s">
        <v>18</v>
      </c>
      <c r="F371" s="19">
        <v>8</v>
      </c>
      <c r="G371" s="20">
        <f>Insumos!Q24</f>
        <v>0</v>
      </c>
      <c r="H371" s="21">
        <f t="shared" si="26"/>
        <v>0</v>
      </c>
    </row>
    <row r="372" spans="2:8" x14ac:dyDescent="0.25">
      <c r="B372" s="523"/>
      <c r="C372" s="524"/>
      <c r="D372" s="17" t="s">
        <v>22</v>
      </c>
      <c r="E372" s="18" t="s">
        <v>18</v>
      </c>
      <c r="F372" s="19">
        <v>8</v>
      </c>
      <c r="G372" s="20">
        <f>Insumos!Q25</f>
        <v>0</v>
      </c>
      <c r="H372" s="21">
        <f t="shared" si="26"/>
        <v>0</v>
      </c>
    </row>
    <row r="373" spans="2:8" x14ac:dyDescent="0.25">
      <c r="B373" s="523"/>
      <c r="C373" s="524"/>
      <c r="D373" s="17" t="s">
        <v>23</v>
      </c>
      <c r="E373" s="18" t="s">
        <v>18</v>
      </c>
      <c r="F373" s="19">
        <v>16</v>
      </c>
      <c r="G373" s="20">
        <f>Insumos!Q26</f>
        <v>0</v>
      </c>
      <c r="H373" s="21">
        <f t="shared" si="26"/>
        <v>0</v>
      </c>
    </row>
    <row r="374" spans="2:8" x14ac:dyDescent="0.25">
      <c r="B374" s="523"/>
      <c r="C374" s="524"/>
      <c r="D374" s="17" t="s">
        <v>24</v>
      </c>
      <c r="E374" s="18" t="s">
        <v>18</v>
      </c>
      <c r="F374" s="19">
        <v>2</v>
      </c>
      <c r="G374" s="20">
        <f>Insumos!Q27</f>
        <v>0</v>
      </c>
      <c r="H374" s="21">
        <f t="shared" si="26"/>
        <v>0</v>
      </c>
    </row>
    <row r="375" spans="2:8" x14ac:dyDescent="0.25">
      <c r="B375" s="523"/>
      <c r="C375" s="524"/>
      <c r="D375" s="525"/>
      <c r="E375" s="526"/>
      <c r="F375" s="531" t="s">
        <v>25</v>
      </c>
      <c r="G375" s="515"/>
      <c r="H375" s="22">
        <f>SUM(H368:H374)</f>
        <v>0</v>
      </c>
    </row>
    <row r="376" spans="2:8" ht="30" x14ac:dyDescent="0.25">
      <c r="B376" s="523"/>
      <c r="C376" s="524"/>
      <c r="D376" s="527"/>
      <c r="E376" s="528"/>
      <c r="F376" s="26" t="s">
        <v>26</v>
      </c>
      <c r="G376" s="24">
        <f>Insumos!$K$28</f>
        <v>0.70109999999999995</v>
      </c>
      <c r="H376" s="25">
        <f>H375*G376</f>
        <v>0</v>
      </c>
    </row>
    <row r="377" spans="2:8" x14ac:dyDescent="0.25">
      <c r="B377" s="523"/>
      <c r="C377" s="524"/>
      <c r="D377" s="527"/>
      <c r="E377" s="528"/>
      <c r="F377" s="531" t="s">
        <v>8</v>
      </c>
      <c r="G377" s="515"/>
      <c r="H377" s="22">
        <f>H376+H375</f>
        <v>0</v>
      </c>
    </row>
    <row r="378" spans="2:8" x14ac:dyDescent="0.25">
      <c r="B378" s="523"/>
      <c r="C378" s="524"/>
      <c r="D378" s="527"/>
      <c r="E378" s="528"/>
      <c r="F378" s="26" t="s">
        <v>27</v>
      </c>
      <c r="G378" s="24">
        <f>BDI!$C$20</f>
        <v>0.2492</v>
      </c>
      <c r="H378" s="25">
        <f>H377*G378</f>
        <v>0</v>
      </c>
    </row>
    <row r="379" spans="2:8" x14ac:dyDescent="0.25">
      <c r="B379" s="523"/>
      <c r="C379" s="524"/>
      <c r="D379" s="529"/>
      <c r="E379" s="530"/>
      <c r="F379" s="514" t="s">
        <v>28</v>
      </c>
      <c r="G379" s="515"/>
      <c r="H379" s="27">
        <f>TRUNC(H378+H377,2)</f>
        <v>0</v>
      </c>
    </row>
    <row r="380" spans="2:8" x14ac:dyDescent="0.25">
      <c r="B380" s="532" t="s">
        <v>29</v>
      </c>
      <c r="C380" s="28"/>
      <c r="D380" s="13" t="s">
        <v>12</v>
      </c>
      <c r="E380" s="14" t="s">
        <v>13</v>
      </c>
      <c r="F380" s="15" t="s">
        <v>14</v>
      </c>
      <c r="G380" s="14" t="s">
        <v>15</v>
      </c>
      <c r="H380" s="52" t="s">
        <v>16</v>
      </c>
    </row>
    <row r="381" spans="2:8" x14ac:dyDescent="0.25">
      <c r="B381" s="533"/>
      <c r="C381" s="34" t="s">
        <v>1411</v>
      </c>
      <c r="D381" s="43" t="s">
        <v>31</v>
      </c>
      <c r="E381" s="18" t="s">
        <v>32</v>
      </c>
      <c r="F381" s="37">
        <v>1</v>
      </c>
      <c r="G381" s="53">
        <f>'14 Pav Reciclagem'!K12</f>
        <v>0</v>
      </c>
      <c r="H381" s="21">
        <f t="shared" ref="H381:H386" si="27">G381*F381</f>
        <v>0</v>
      </c>
    </row>
    <row r="382" spans="2:8" x14ac:dyDescent="0.25">
      <c r="B382" s="533"/>
      <c r="C382" s="34" t="s">
        <v>1412</v>
      </c>
      <c r="D382" s="43" t="s">
        <v>34</v>
      </c>
      <c r="E382" s="18" t="s">
        <v>35</v>
      </c>
      <c r="F382" s="37">
        <v>1</v>
      </c>
      <c r="G382" s="53">
        <f>'14 Pav Reciclagem'!K21</f>
        <v>0</v>
      </c>
      <c r="H382" s="21">
        <f t="shared" si="27"/>
        <v>0</v>
      </c>
    </row>
    <row r="383" spans="2:8" ht="30" x14ac:dyDescent="0.25">
      <c r="B383" s="543"/>
      <c r="C383" s="34" t="s">
        <v>1413</v>
      </c>
      <c r="D383" s="43" t="s">
        <v>37</v>
      </c>
      <c r="E383" s="18" t="s">
        <v>32</v>
      </c>
      <c r="F383" s="37">
        <v>1</v>
      </c>
      <c r="G383" s="53">
        <f>'14 Pav Reciclagem'!K36</f>
        <v>0</v>
      </c>
      <c r="H383" s="21">
        <f t="shared" si="27"/>
        <v>0</v>
      </c>
    </row>
    <row r="384" spans="2:8" x14ac:dyDescent="0.25">
      <c r="B384" s="544" t="s">
        <v>38</v>
      </c>
      <c r="C384" s="34" t="s">
        <v>1414</v>
      </c>
      <c r="D384" s="43" t="s">
        <v>40</v>
      </c>
      <c r="E384" s="18" t="s">
        <v>35</v>
      </c>
      <c r="F384" s="37">
        <v>1</v>
      </c>
      <c r="G384" s="53">
        <f>'14 Pav Reciclagem'!K41</f>
        <v>0</v>
      </c>
      <c r="H384" s="21">
        <f t="shared" si="27"/>
        <v>0</v>
      </c>
    </row>
    <row r="385" spans="2:8" x14ac:dyDescent="0.25">
      <c r="B385" s="545"/>
      <c r="C385" s="34" t="s">
        <v>1415</v>
      </c>
      <c r="D385" s="43" t="s">
        <v>42</v>
      </c>
      <c r="E385" s="18" t="s">
        <v>35</v>
      </c>
      <c r="F385" s="37">
        <v>1</v>
      </c>
      <c r="G385" s="53">
        <f>'14 Pav Reciclagem'!K46</f>
        <v>0</v>
      </c>
      <c r="H385" s="21">
        <f t="shared" si="27"/>
        <v>0</v>
      </c>
    </row>
    <row r="386" spans="2:8" x14ac:dyDescent="0.25">
      <c r="B386" s="546"/>
      <c r="C386" s="34" t="s">
        <v>1416</v>
      </c>
      <c r="D386" s="43" t="s">
        <v>44</v>
      </c>
      <c r="E386" s="18" t="s">
        <v>35</v>
      </c>
      <c r="F386" s="37">
        <v>1</v>
      </c>
      <c r="G386" s="53">
        <f>'14 Pav Reciclagem'!K53</f>
        <v>0</v>
      </c>
      <c r="H386" s="21">
        <f t="shared" si="27"/>
        <v>0</v>
      </c>
    </row>
    <row r="387" spans="2:8" x14ac:dyDescent="0.25">
      <c r="B387" s="534"/>
      <c r="C387" s="535"/>
      <c r="D387" s="525"/>
      <c r="E387" s="526"/>
      <c r="F387" s="531" t="s">
        <v>25</v>
      </c>
      <c r="G387" s="515"/>
      <c r="H387" s="22">
        <f>SUM(H380:H386)</f>
        <v>0</v>
      </c>
    </row>
    <row r="388" spans="2:8" x14ac:dyDescent="0.25">
      <c r="B388" s="536"/>
      <c r="C388" s="537"/>
      <c r="D388" s="527"/>
      <c r="E388" s="528"/>
      <c r="F388" s="26" t="s">
        <v>27</v>
      </c>
      <c r="G388" s="24">
        <f>BDI!$C$20</f>
        <v>0.2492</v>
      </c>
      <c r="H388" s="25">
        <f>H387*G388</f>
        <v>0</v>
      </c>
    </row>
    <row r="389" spans="2:8" x14ac:dyDescent="0.25">
      <c r="B389" s="538"/>
      <c r="C389" s="539"/>
      <c r="D389" s="529"/>
      <c r="E389" s="530"/>
      <c r="F389" s="514" t="s">
        <v>45</v>
      </c>
      <c r="G389" s="515"/>
      <c r="H389" s="27">
        <f>TRUNC(H388+H387,2)</f>
        <v>0</v>
      </c>
    </row>
    <row r="390" spans="2:8" x14ac:dyDescent="0.25">
      <c r="B390" s="516" t="s">
        <v>46</v>
      </c>
      <c r="C390" s="517"/>
      <c r="D390" s="517"/>
      <c r="E390" s="517"/>
      <c r="F390" s="517"/>
      <c r="G390" s="515"/>
      <c r="H390" s="45">
        <f>H389+H379</f>
        <v>0</v>
      </c>
    </row>
    <row r="391" spans="2:8" x14ac:dyDescent="0.25">
      <c r="B391" s="46"/>
      <c r="C391" s="47"/>
      <c r="D391" s="48"/>
      <c r="E391" s="48"/>
      <c r="F391" s="49"/>
      <c r="G391" s="48"/>
      <c r="H391" s="50"/>
    </row>
    <row r="392" spans="2:8" x14ac:dyDescent="0.25">
      <c r="B392" s="11" t="s">
        <v>12</v>
      </c>
      <c r="C392" s="12">
        <v>15</v>
      </c>
      <c r="D392" s="518" t="s">
        <v>2136</v>
      </c>
      <c r="E392" s="519"/>
      <c r="F392" s="519"/>
      <c r="G392" s="519"/>
      <c r="H392" s="520"/>
    </row>
    <row r="393" spans="2:8" x14ac:dyDescent="0.25">
      <c r="B393" s="521" t="s">
        <v>11</v>
      </c>
      <c r="C393" s="522"/>
      <c r="D393" s="13" t="s">
        <v>12</v>
      </c>
      <c r="E393" s="14" t="s">
        <v>13</v>
      </c>
      <c r="F393" s="15" t="s">
        <v>14</v>
      </c>
      <c r="G393" s="14" t="s">
        <v>15</v>
      </c>
      <c r="H393" s="16" t="s">
        <v>16</v>
      </c>
    </row>
    <row r="394" spans="2:8" x14ac:dyDescent="0.25">
      <c r="B394" s="523"/>
      <c r="C394" s="524"/>
      <c r="D394" s="17" t="s">
        <v>17</v>
      </c>
      <c r="E394" s="18" t="s">
        <v>18</v>
      </c>
      <c r="F394" s="19">
        <v>4</v>
      </c>
      <c r="G394" s="20">
        <f>Insumos!Q21</f>
        <v>0</v>
      </c>
      <c r="H394" s="21">
        <f>F394*G394</f>
        <v>0</v>
      </c>
    </row>
    <row r="395" spans="2:8" x14ac:dyDescent="0.25">
      <c r="B395" s="523"/>
      <c r="C395" s="524"/>
      <c r="D395" s="17" t="s">
        <v>19</v>
      </c>
      <c r="E395" s="18" t="s">
        <v>18</v>
      </c>
      <c r="F395" s="19">
        <v>20</v>
      </c>
      <c r="G395" s="20">
        <f>Insumos!Q22</f>
        <v>0</v>
      </c>
      <c r="H395" s="21">
        <f t="shared" ref="H395:H400" si="28">F395*G395</f>
        <v>0</v>
      </c>
    </row>
    <row r="396" spans="2:8" x14ac:dyDescent="0.25">
      <c r="B396" s="523"/>
      <c r="C396" s="524"/>
      <c r="D396" s="17" t="s">
        <v>20</v>
      </c>
      <c r="E396" s="18" t="s">
        <v>18</v>
      </c>
      <c r="F396" s="19">
        <v>20</v>
      </c>
      <c r="G396" s="20">
        <f>Insumos!Q23</f>
        <v>0</v>
      </c>
      <c r="H396" s="21">
        <f t="shared" si="28"/>
        <v>0</v>
      </c>
    </row>
    <row r="397" spans="2:8" x14ac:dyDescent="0.25">
      <c r="B397" s="523"/>
      <c r="C397" s="524"/>
      <c r="D397" s="17" t="s">
        <v>21</v>
      </c>
      <c r="E397" s="18" t="s">
        <v>18</v>
      </c>
      <c r="F397" s="19">
        <v>20</v>
      </c>
      <c r="G397" s="20">
        <f>Insumos!Q24</f>
        <v>0</v>
      </c>
      <c r="H397" s="21">
        <f t="shared" si="28"/>
        <v>0</v>
      </c>
    </row>
    <row r="398" spans="2:8" x14ac:dyDescent="0.25">
      <c r="B398" s="523"/>
      <c r="C398" s="524"/>
      <c r="D398" s="17" t="s">
        <v>22</v>
      </c>
      <c r="E398" s="18" t="s">
        <v>18</v>
      </c>
      <c r="F398" s="19">
        <v>16</v>
      </c>
      <c r="G398" s="20">
        <f>Insumos!Q25</f>
        <v>0</v>
      </c>
      <c r="H398" s="21">
        <f t="shared" si="28"/>
        <v>0</v>
      </c>
    </row>
    <row r="399" spans="2:8" x14ac:dyDescent="0.25">
      <c r="B399" s="523"/>
      <c r="C399" s="524"/>
      <c r="D399" s="17" t="s">
        <v>23</v>
      </c>
      <c r="E399" s="18" t="s">
        <v>18</v>
      </c>
      <c r="F399" s="19">
        <v>16</v>
      </c>
      <c r="G399" s="20">
        <f>Insumos!Q26</f>
        <v>0</v>
      </c>
      <c r="H399" s="21">
        <f t="shared" si="28"/>
        <v>0</v>
      </c>
    </row>
    <row r="400" spans="2:8" x14ac:dyDescent="0.25">
      <c r="B400" s="523"/>
      <c r="C400" s="524"/>
      <c r="D400" s="17" t="s">
        <v>24</v>
      </c>
      <c r="E400" s="18" t="s">
        <v>18</v>
      </c>
      <c r="F400" s="19">
        <v>8</v>
      </c>
      <c r="G400" s="20">
        <f>Insumos!Q27</f>
        <v>0</v>
      </c>
      <c r="H400" s="21">
        <f t="shared" si="28"/>
        <v>0</v>
      </c>
    </row>
    <row r="401" spans="2:8" x14ac:dyDescent="0.25">
      <c r="B401" s="523"/>
      <c r="C401" s="524"/>
      <c r="D401" s="525"/>
      <c r="E401" s="526"/>
      <c r="F401" s="531" t="s">
        <v>25</v>
      </c>
      <c r="G401" s="515"/>
      <c r="H401" s="22">
        <f>SUM(H394:H400)</f>
        <v>0</v>
      </c>
    </row>
    <row r="402" spans="2:8" ht="30" x14ac:dyDescent="0.25">
      <c r="B402" s="523"/>
      <c r="C402" s="524"/>
      <c r="D402" s="527"/>
      <c r="E402" s="528"/>
      <c r="F402" s="26" t="s">
        <v>26</v>
      </c>
      <c r="G402" s="24">
        <f>Insumos!$K$28</f>
        <v>0.70109999999999995</v>
      </c>
      <c r="H402" s="25">
        <f>H401*G402</f>
        <v>0</v>
      </c>
    </row>
    <row r="403" spans="2:8" x14ac:dyDescent="0.25">
      <c r="B403" s="523"/>
      <c r="C403" s="524"/>
      <c r="D403" s="527"/>
      <c r="E403" s="528"/>
      <c r="F403" s="531" t="s">
        <v>8</v>
      </c>
      <c r="G403" s="515"/>
      <c r="H403" s="22">
        <f>H402+H401</f>
        <v>0</v>
      </c>
    </row>
    <row r="404" spans="2:8" x14ac:dyDescent="0.25">
      <c r="B404" s="523"/>
      <c r="C404" s="524"/>
      <c r="D404" s="527"/>
      <c r="E404" s="528"/>
      <c r="F404" s="26" t="s">
        <v>27</v>
      </c>
      <c r="G404" s="24">
        <f>BDI!$C$20</f>
        <v>0.2492</v>
      </c>
      <c r="H404" s="25">
        <f>H403*G404</f>
        <v>0</v>
      </c>
    </row>
    <row r="405" spans="2:8" x14ac:dyDescent="0.25">
      <c r="B405" s="523"/>
      <c r="C405" s="524"/>
      <c r="D405" s="529"/>
      <c r="E405" s="530"/>
      <c r="F405" s="514" t="s">
        <v>28</v>
      </c>
      <c r="G405" s="515"/>
      <c r="H405" s="27">
        <f>TRUNC(H404+H403,2)</f>
        <v>0</v>
      </c>
    </row>
    <row r="406" spans="2:8" x14ac:dyDescent="0.25">
      <c r="B406" s="532" t="s">
        <v>29</v>
      </c>
      <c r="C406" s="28"/>
      <c r="D406" s="13" t="s">
        <v>12</v>
      </c>
      <c r="E406" s="14" t="s">
        <v>13</v>
      </c>
      <c r="F406" s="15" t="s">
        <v>14</v>
      </c>
      <c r="G406" s="14" t="s">
        <v>15</v>
      </c>
      <c r="H406" s="52" t="s">
        <v>16</v>
      </c>
    </row>
    <row r="407" spans="2:8" x14ac:dyDescent="0.25">
      <c r="B407" s="533"/>
      <c r="C407" s="34" t="s">
        <v>1417</v>
      </c>
      <c r="D407" s="43" t="s">
        <v>31</v>
      </c>
      <c r="E407" s="18" t="s">
        <v>32</v>
      </c>
      <c r="F407" s="37">
        <v>1</v>
      </c>
      <c r="G407" s="53">
        <f>'15 Pólo Sebastião Biano'!K13</f>
        <v>0</v>
      </c>
      <c r="H407" s="21">
        <f t="shared" ref="H407:H412" si="29">G407*F407</f>
        <v>0</v>
      </c>
    </row>
    <row r="408" spans="2:8" x14ac:dyDescent="0.25">
      <c r="B408" s="533"/>
      <c r="C408" s="34" t="s">
        <v>1418</v>
      </c>
      <c r="D408" s="43" t="s">
        <v>34</v>
      </c>
      <c r="E408" s="18" t="s">
        <v>35</v>
      </c>
      <c r="F408" s="37">
        <v>1</v>
      </c>
      <c r="G408" s="53">
        <f>'15 Pólo Sebastião Biano'!K22</f>
        <v>0</v>
      </c>
      <c r="H408" s="21">
        <f t="shared" si="29"/>
        <v>0</v>
      </c>
    </row>
    <row r="409" spans="2:8" ht="30" x14ac:dyDescent="0.25">
      <c r="B409" s="543"/>
      <c r="C409" s="34" t="s">
        <v>1419</v>
      </c>
      <c r="D409" s="43" t="s">
        <v>37</v>
      </c>
      <c r="E409" s="18" t="s">
        <v>32</v>
      </c>
      <c r="F409" s="37">
        <v>1</v>
      </c>
      <c r="G409" s="53">
        <f>'15 Pólo Sebastião Biano'!K37</f>
        <v>0</v>
      </c>
      <c r="H409" s="21">
        <f t="shared" si="29"/>
        <v>0</v>
      </c>
    </row>
    <row r="410" spans="2:8" x14ac:dyDescent="0.25">
      <c r="B410" s="544" t="s">
        <v>38</v>
      </c>
      <c r="C410" s="34" t="s">
        <v>1420</v>
      </c>
      <c r="D410" s="43" t="s">
        <v>40</v>
      </c>
      <c r="E410" s="18" t="s">
        <v>35</v>
      </c>
      <c r="F410" s="37">
        <v>1</v>
      </c>
      <c r="G410" s="53">
        <f>'15 Pólo Sebastião Biano'!K42</f>
        <v>0</v>
      </c>
      <c r="H410" s="21">
        <f t="shared" si="29"/>
        <v>0</v>
      </c>
    </row>
    <row r="411" spans="2:8" x14ac:dyDescent="0.25">
      <c r="B411" s="545"/>
      <c r="C411" s="34" t="s">
        <v>1421</v>
      </c>
      <c r="D411" s="43" t="s">
        <v>42</v>
      </c>
      <c r="E411" s="18" t="s">
        <v>35</v>
      </c>
      <c r="F411" s="37">
        <v>1</v>
      </c>
      <c r="G411" s="53">
        <f>'15 Pólo Sebastião Biano'!K47</f>
        <v>0</v>
      </c>
      <c r="H411" s="21">
        <f t="shared" si="29"/>
        <v>0</v>
      </c>
    </row>
    <row r="412" spans="2:8" x14ac:dyDescent="0.25">
      <c r="B412" s="546"/>
      <c r="C412" s="34" t="s">
        <v>1422</v>
      </c>
      <c r="D412" s="43" t="s">
        <v>44</v>
      </c>
      <c r="E412" s="18" t="s">
        <v>35</v>
      </c>
      <c r="F412" s="37">
        <v>1</v>
      </c>
      <c r="G412" s="53">
        <f>'15 Pólo Sebastião Biano'!K53</f>
        <v>0</v>
      </c>
      <c r="H412" s="21">
        <f t="shared" si="29"/>
        <v>0</v>
      </c>
    </row>
    <row r="413" spans="2:8" x14ac:dyDescent="0.25">
      <c r="B413" s="534"/>
      <c r="C413" s="535"/>
      <c r="D413" s="525"/>
      <c r="E413" s="526"/>
      <c r="F413" s="531" t="s">
        <v>25</v>
      </c>
      <c r="G413" s="515"/>
      <c r="H413" s="22">
        <f>SUM(H406:H412)</f>
        <v>0</v>
      </c>
    </row>
    <row r="414" spans="2:8" x14ac:dyDescent="0.25">
      <c r="B414" s="536"/>
      <c r="C414" s="537"/>
      <c r="D414" s="527"/>
      <c r="E414" s="528"/>
      <c r="F414" s="26" t="s">
        <v>27</v>
      </c>
      <c r="G414" s="24">
        <f>BDI!$C$20</f>
        <v>0.2492</v>
      </c>
      <c r="H414" s="25">
        <f>H413*G414</f>
        <v>0</v>
      </c>
    </row>
    <row r="415" spans="2:8" x14ac:dyDescent="0.25">
      <c r="B415" s="538"/>
      <c r="C415" s="539"/>
      <c r="D415" s="529"/>
      <c r="E415" s="530"/>
      <c r="F415" s="514" t="s">
        <v>45</v>
      </c>
      <c r="G415" s="515"/>
      <c r="H415" s="27">
        <f>TRUNC(H414+H413,2)</f>
        <v>0</v>
      </c>
    </row>
    <row r="416" spans="2:8" x14ac:dyDescent="0.25">
      <c r="B416" s="516" t="s">
        <v>46</v>
      </c>
      <c r="C416" s="517"/>
      <c r="D416" s="517"/>
      <c r="E416" s="517"/>
      <c r="F416" s="517"/>
      <c r="G416" s="515"/>
      <c r="H416" s="45">
        <f>H415+H405</f>
        <v>0</v>
      </c>
    </row>
    <row r="417" spans="2:8" x14ac:dyDescent="0.25">
      <c r="B417" s="46"/>
      <c r="C417" s="47"/>
      <c r="D417" s="48"/>
      <c r="E417" s="48"/>
      <c r="F417" s="49"/>
      <c r="G417" s="48"/>
      <c r="H417" s="50"/>
    </row>
    <row r="418" spans="2:8" x14ac:dyDescent="0.25">
      <c r="B418" s="11"/>
      <c r="C418" s="12"/>
      <c r="D418" s="518" t="s">
        <v>104</v>
      </c>
      <c r="E418" s="517"/>
      <c r="F418" s="517"/>
      <c r="G418" s="517"/>
      <c r="H418" s="553"/>
    </row>
    <row r="419" spans="2:8" x14ac:dyDescent="0.25">
      <c r="B419" s="11" t="s">
        <v>12</v>
      </c>
      <c r="C419" s="12">
        <v>19</v>
      </c>
      <c r="D419" s="54" t="s">
        <v>1955</v>
      </c>
      <c r="E419" s="55"/>
      <c r="F419" s="56"/>
      <c r="G419" s="57"/>
      <c r="H419" s="58"/>
    </row>
    <row r="420" spans="2:8" x14ac:dyDescent="0.25">
      <c r="B420" s="521" t="s">
        <v>11</v>
      </c>
      <c r="C420" s="522"/>
      <c r="D420" s="13" t="s">
        <v>12</v>
      </c>
      <c r="E420" s="14" t="s">
        <v>13</v>
      </c>
      <c r="F420" s="15" t="s">
        <v>14</v>
      </c>
      <c r="G420" s="14" t="s">
        <v>15</v>
      </c>
      <c r="H420" s="16" t="s">
        <v>16</v>
      </c>
    </row>
    <row r="421" spans="2:8" x14ac:dyDescent="0.25">
      <c r="B421" s="523"/>
      <c r="C421" s="524"/>
      <c r="D421" s="17" t="s">
        <v>17</v>
      </c>
      <c r="E421" s="18" t="s">
        <v>18</v>
      </c>
      <c r="F421" s="19">
        <v>8</v>
      </c>
      <c r="G421" s="20">
        <f>Insumos!Q21</f>
        <v>0</v>
      </c>
      <c r="H421" s="21">
        <f t="shared" ref="H421:H427" si="30">G421*F421</f>
        <v>0</v>
      </c>
    </row>
    <row r="422" spans="2:8" x14ac:dyDescent="0.25">
      <c r="B422" s="523"/>
      <c r="C422" s="524"/>
      <c r="D422" s="17" t="s">
        <v>19</v>
      </c>
      <c r="E422" s="18" t="s">
        <v>18</v>
      </c>
      <c r="F422" s="19">
        <v>192</v>
      </c>
      <c r="G422" s="20">
        <f>Insumos!Q22</f>
        <v>0</v>
      </c>
      <c r="H422" s="21">
        <f t="shared" si="30"/>
        <v>0</v>
      </c>
    </row>
    <row r="423" spans="2:8" x14ac:dyDescent="0.25">
      <c r="B423" s="523"/>
      <c r="C423" s="524"/>
      <c r="D423" s="17" t="s">
        <v>20</v>
      </c>
      <c r="E423" s="18" t="s">
        <v>18</v>
      </c>
      <c r="F423" s="19">
        <v>192</v>
      </c>
      <c r="G423" s="20">
        <f>Insumos!Q23</f>
        <v>0</v>
      </c>
      <c r="H423" s="21">
        <f t="shared" si="30"/>
        <v>0</v>
      </c>
    </row>
    <row r="424" spans="2:8" x14ac:dyDescent="0.25">
      <c r="B424" s="523"/>
      <c r="C424" s="524"/>
      <c r="D424" s="17" t="s">
        <v>21</v>
      </c>
      <c r="E424" s="18" t="s">
        <v>18</v>
      </c>
      <c r="F424" s="19">
        <v>0</v>
      </c>
      <c r="G424" s="20">
        <f>Insumos!Q24</f>
        <v>0</v>
      </c>
      <c r="H424" s="21">
        <f t="shared" ref="H424" si="31">F424*G424</f>
        <v>0</v>
      </c>
    </row>
    <row r="425" spans="2:8" x14ac:dyDescent="0.25">
      <c r="B425" s="523"/>
      <c r="C425" s="524"/>
      <c r="D425" s="17" t="s">
        <v>22</v>
      </c>
      <c r="E425" s="18" t="s">
        <v>18</v>
      </c>
      <c r="F425" s="19">
        <v>16</v>
      </c>
      <c r="G425" s="20">
        <f>Insumos!Q25</f>
        <v>0</v>
      </c>
      <c r="H425" s="21">
        <f t="shared" si="30"/>
        <v>0</v>
      </c>
    </row>
    <row r="426" spans="2:8" x14ac:dyDescent="0.25">
      <c r="B426" s="523"/>
      <c r="C426" s="524"/>
      <c r="D426" s="17" t="s">
        <v>23</v>
      </c>
      <c r="E426" s="18" t="s">
        <v>18</v>
      </c>
      <c r="F426" s="19">
        <v>32</v>
      </c>
      <c r="G426" s="20">
        <f>Insumos!Q26</f>
        <v>0</v>
      </c>
      <c r="H426" s="21">
        <f t="shared" si="30"/>
        <v>0</v>
      </c>
    </row>
    <row r="427" spans="2:8" x14ac:dyDescent="0.25">
      <c r="B427" s="523"/>
      <c r="C427" s="524"/>
      <c r="D427" s="17" t="s">
        <v>24</v>
      </c>
      <c r="E427" s="18" t="s">
        <v>18</v>
      </c>
      <c r="F427" s="19">
        <v>64</v>
      </c>
      <c r="G427" s="20">
        <f>Insumos!Q27</f>
        <v>0</v>
      </c>
      <c r="H427" s="21">
        <f t="shared" si="30"/>
        <v>0</v>
      </c>
    </row>
    <row r="428" spans="2:8" x14ac:dyDescent="0.25">
      <c r="B428" s="523"/>
      <c r="C428" s="524"/>
      <c r="D428" s="525"/>
      <c r="E428" s="526"/>
      <c r="F428" s="531" t="s">
        <v>25</v>
      </c>
      <c r="G428" s="515"/>
      <c r="H428" s="22">
        <f>SUM(H420:H427)</f>
        <v>0</v>
      </c>
    </row>
    <row r="429" spans="2:8" ht="30" x14ac:dyDescent="0.25">
      <c r="B429" s="523"/>
      <c r="C429" s="524"/>
      <c r="D429" s="527"/>
      <c r="E429" s="528"/>
      <c r="F429" s="26" t="s">
        <v>26</v>
      </c>
      <c r="G429" s="24">
        <f>Insumos!$K$28</f>
        <v>0.70109999999999995</v>
      </c>
      <c r="H429" s="25">
        <f>H428*G429</f>
        <v>0</v>
      </c>
    </row>
    <row r="430" spans="2:8" x14ac:dyDescent="0.25">
      <c r="B430" s="523"/>
      <c r="C430" s="524"/>
      <c r="D430" s="527"/>
      <c r="E430" s="528"/>
      <c r="F430" s="531" t="s">
        <v>8</v>
      </c>
      <c r="G430" s="515"/>
      <c r="H430" s="22">
        <f>H429+H428</f>
        <v>0</v>
      </c>
    </row>
    <row r="431" spans="2:8" x14ac:dyDescent="0.25">
      <c r="B431" s="523"/>
      <c r="C431" s="524"/>
      <c r="D431" s="527"/>
      <c r="E431" s="528"/>
      <c r="F431" s="26" t="s">
        <v>27</v>
      </c>
      <c r="G431" s="24">
        <f>BDI!$C$20</f>
        <v>0.2492</v>
      </c>
      <c r="H431" s="25">
        <f>H430*G431</f>
        <v>0</v>
      </c>
    </row>
    <row r="432" spans="2:8" x14ac:dyDescent="0.25">
      <c r="B432" s="523"/>
      <c r="C432" s="524"/>
      <c r="D432" s="529"/>
      <c r="E432" s="530"/>
      <c r="F432" s="514" t="s">
        <v>28</v>
      </c>
      <c r="G432" s="515"/>
      <c r="H432" s="27">
        <f>TRUNC(H431+H430,2)</f>
        <v>0</v>
      </c>
    </row>
    <row r="433" spans="2:8" x14ac:dyDescent="0.25">
      <c r="B433" s="532" t="s">
        <v>29</v>
      </c>
      <c r="C433" s="28"/>
      <c r="D433" s="13" t="s">
        <v>12</v>
      </c>
      <c r="E433" s="14" t="s">
        <v>13</v>
      </c>
      <c r="F433" s="15" t="s">
        <v>14</v>
      </c>
      <c r="G433" s="14" t="s">
        <v>15</v>
      </c>
      <c r="H433" s="52" t="s">
        <v>16</v>
      </c>
    </row>
    <row r="434" spans="2:8" x14ac:dyDescent="0.25">
      <c r="B434" s="533"/>
      <c r="C434" s="34" t="s">
        <v>106</v>
      </c>
      <c r="D434" s="43" t="s">
        <v>31</v>
      </c>
      <c r="E434" s="18" t="s">
        <v>32</v>
      </c>
      <c r="F434" s="37">
        <v>1</v>
      </c>
      <c r="G434" s="53">
        <f>'19 Pórtico_I'!K10</f>
        <v>0</v>
      </c>
      <c r="H434" s="21">
        <f t="shared" ref="H434:H439" si="32">G434*F434</f>
        <v>0</v>
      </c>
    </row>
    <row r="435" spans="2:8" x14ac:dyDescent="0.25">
      <c r="B435" s="533"/>
      <c r="C435" s="34" t="s">
        <v>107</v>
      </c>
      <c r="D435" s="43" t="s">
        <v>34</v>
      </c>
      <c r="E435" s="18" t="s">
        <v>35</v>
      </c>
      <c r="F435" s="37">
        <v>1</v>
      </c>
      <c r="G435" s="53">
        <f>'19 Pórtico_I'!K20</f>
        <v>0</v>
      </c>
      <c r="H435" s="21">
        <f t="shared" si="32"/>
        <v>0</v>
      </c>
    </row>
    <row r="436" spans="2:8" ht="30" x14ac:dyDescent="0.25">
      <c r="B436" s="543"/>
      <c r="C436" s="34" t="s">
        <v>108</v>
      </c>
      <c r="D436" s="43" t="s">
        <v>37</v>
      </c>
      <c r="E436" s="18" t="s">
        <v>32</v>
      </c>
      <c r="F436" s="37">
        <v>1</v>
      </c>
      <c r="G436" s="53">
        <f>'19 Pórtico_I'!K28</f>
        <v>0</v>
      </c>
      <c r="H436" s="21">
        <f t="shared" si="32"/>
        <v>0</v>
      </c>
    </row>
    <row r="437" spans="2:8" x14ac:dyDescent="0.25">
      <c r="B437" s="544" t="s">
        <v>38</v>
      </c>
      <c r="C437" s="34" t="s">
        <v>109</v>
      </c>
      <c r="D437" s="43" t="s">
        <v>40</v>
      </c>
      <c r="E437" s="18" t="s">
        <v>35</v>
      </c>
      <c r="F437" s="37">
        <v>1</v>
      </c>
      <c r="G437" s="53">
        <f>'19 Pórtico_I'!K33</f>
        <v>0</v>
      </c>
      <c r="H437" s="21">
        <f t="shared" si="32"/>
        <v>0</v>
      </c>
    </row>
    <row r="438" spans="2:8" x14ac:dyDescent="0.25">
      <c r="B438" s="545"/>
      <c r="C438" s="34" t="s">
        <v>110</v>
      </c>
      <c r="D438" s="43" t="s">
        <v>42</v>
      </c>
      <c r="E438" s="18" t="s">
        <v>35</v>
      </c>
      <c r="F438" s="37">
        <v>1</v>
      </c>
      <c r="G438" s="53">
        <f>'19 Pórtico_I'!K38</f>
        <v>0</v>
      </c>
      <c r="H438" s="21">
        <f t="shared" si="32"/>
        <v>0</v>
      </c>
    </row>
    <row r="439" spans="2:8" x14ac:dyDescent="0.25">
      <c r="B439" s="546"/>
      <c r="C439" s="34" t="s">
        <v>111</v>
      </c>
      <c r="D439" s="43" t="s">
        <v>44</v>
      </c>
      <c r="E439" s="18" t="s">
        <v>35</v>
      </c>
      <c r="F439" s="37">
        <v>1</v>
      </c>
      <c r="G439" s="53">
        <f>'19 Pórtico_I'!K45</f>
        <v>0</v>
      </c>
      <c r="H439" s="21">
        <f t="shared" si="32"/>
        <v>0</v>
      </c>
    </row>
    <row r="440" spans="2:8" x14ac:dyDescent="0.25">
      <c r="B440" s="534"/>
      <c r="C440" s="535"/>
      <c r="D440" s="525"/>
      <c r="E440" s="526"/>
      <c r="F440" s="531" t="s">
        <v>25</v>
      </c>
      <c r="G440" s="515"/>
      <c r="H440" s="22">
        <f>SUM(H433:H439)</f>
        <v>0</v>
      </c>
    </row>
    <row r="441" spans="2:8" x14ac:dyDescent="0.25">
      <c r="B441" s="536"/>
      <c r="C441" s="537"/>
      <c r="D441" s="527"/>
      <c r="E441" s="528"/>
      <c r="F441" s="26" t="s">
        <v>27</v>
      </c>
      <c r="G441" s="24">
        <f>BDI!$C$20</f>
        <v>0.2492</v>
      </c>
      <c r="H441" s="25">
        <f>H440*G441</f>
        <v>0</v>
      </c>
    </row>
    <row r="442" spans="2:8" x14ac:dyDescent="0.25">
      <c r="B442" s="538"/>
      <c r="C442" s="539"/>
      <c r="D442" s="529"/>
      <c r="E442" s="530"/>
      <c r="F442" s="514" t="s">
        <v>45</v>
      </c>
      <c r="G442" s="515"/>
      <c r="H442" s="27">
        <f>TRUNC(H441+H440,2)</f>
        <v>0</v>
      </c>
    </row>
    <row r="443" spans="2:8" x14ac:dyDescent="0.25">
      <c r="B443" s="516" t="s">
        <v>46</v>
      </c>
      <c r="C443" s="517"/>
      <c r="D443" s="517"/>
      <c r="E443" s="517"/>
      <c r="F443" s="517"/>
      <c r="G443" s="515"/>
      <c r="H443" s="45">
        <f>H442+H432</f>
        <v>0</v>
      </c>
    </row>
    <row r="444" spans="2:8" x14ac:dyDescent="0.25">
      <c r="B444" s="46"/>
      <c r="C444" s="47"/>
      <c r="D444" s="48"/>
      <c r="E444" s="48"/>
      <c r="F444" s="49"/>
      <c r="G444" s="48"/>
      <c r="H444" s="50"/>
    </row>
    <row r="445" spans="2:8" x14ac:dyDescent="0.25">
      <c r="B445" s="11" t="s">
        <v>12</v>
      </c>
      <c r="C445" s="12">
        <v>20</v>
      </c>
      <c r="D445" s="54" t="s">
        <v>1987</v>
      </c>
      <c r="E445" s="55"/>
      <c r="F445" s="56"/>
      <c r="G445" s="57"/>
      <c r="H445" s="58"/>
    </row>
    <row r="446" spans="2:8" x14ac:dyDescent="0.25">
      <c r="B446" s="521" t="s">
        <v>11</v>
      </c>
      <c r="C446" s="522"/>
      <c r="D446" s="13" t="s">
        <v>12</v>
      </c>
      <c r="E446" s="14" t="s">
        <v>13</v>
      </c>
      <c r="F446" s="15" t="s">
        <v>14</v>
      </c>
      <c r="G446" s="14" t="s">
        <v>15</v>
      </c>
      <c r="H446" s="16" t="s">
        <v>16</v>
      </c>
    </row>
    <row r="447" spans="2:8" x14ac:dyDescent="0.25">
      <c r="B447" s="523"/>
      <c r="C447" s="524"/>
      <c r="D447" s="17" t="s">
        <v>17</v>
      </c>
      <c r="E447" s="18" t="s">
        <v>18</v>
      </c>
      <c r="F447" s="19">
        <v>4</v>
      </c>
      <c r="G447" s="20">
        <f>Insumos!Q21</f>
        <v>0</v>
      </c>
      <c r="H447" s="21">
        <f t="shared" ref="H447:H453" si="33">G447*F447</f>
        <v>0</v>
      </c>
    </row>
    <row r="448" spans="2:8" x14ac:dyDescent="0.25">
      <c r="B448" s="523"/>
      <c r="C448" s="524"/>
      <c r="D448" s="17" t="s">
        <v>19</v>
      </c>
      <c r="E448" s="18" t="s">
        <v>18</v>
      </c>
      <c r="F448" s="19">
        <v>18</v>
      </c>
      <c r="G448" s="20">
        <f>Insumos!Q22</f>
        <v>0</v>
      </c>
      <c r="H448" s="21">
        <f t="shared" si="33"/>
        <v>0</v>
      </c>
    </row>
    <row r="449" spans="2:8" x14ac:dyDescent="0.25">
      <c r="B449" s="523"/>
      <c r="C449" s="524"/>
      <c r="D449" s="17" t="s">
        <v>20</v>
      </c>
      <c r="E449" s="18" t="s">
        <v>18</v>
      </c>
      <c r="F449" s="19">
        <v>18</v>
      </c>
      <c r="G449" s="20">
        <f>Insumos!Q23</f>
        <v>0</v>
      </c>
      <c r="H449" s="21">
        <f t="shared" si="33"/>
        <v>0</v>
      </c>
    </row>
    <row r="450" spans="2:8" x14ac:dyDescent="0.25">
      <c r="B450" s="523"/>
      <c r="C450" s="524"/>
      <c r="D450" s="17" t="s">
        <v>21</v>
      </c>
      <c r="E450" s="18" t="s">
        <v>18</v>
      </c>
      <c r="F450" s="19">
        <v>0</v>
      </c>
      <c r="G450" s="20">
        <f>Insumos!Q24</f>
        <v>0</v>
      </c>
      <c r="H450" s="21">
        <f t="shared" ref="H450" si="34">F450*G450</f>
        <v>0</v>
      </c>
    </row>
    <row r="451" spans="2:8" x14ac:dyDescent="0.25">
      <c r="B451" s="523"/>
      <c r="C451" s="524"/>
      <c r="D451" s="17" t="s">
        <v>22</v>
      </c>
      <c r="E451" s="18" t="s">
        <v>18</v>
      </c>
      <c r="F451" s="19">
        <v>4</v>
      </c>
      <c r="G451" s="20">
        <f>Insumos!Q25</f>
        <v>0</v>
      </c>
      <c r="H451" s="21">
        <f t="shared" si="33"/>
        <v>0</v>
      </c>
    </row>
    <row r="452" spans="2:8" x14ac:dyDescent="0.25">
      <c r="B452" s="523"/>
      <c r="C452" s="524"/>
      <c r="D452" s="17" t="s">
        <v>23</v>
      </c>
      <c r="E452" s="18" t="s">
        <v>18</v>
      </c>
      <c r="F452" s="19">
        <v>4</v>
      </c>
      <c r="G452" s="20">
        <f>Insumos!Q26</f>
        <v>0</v>
      </c>
      <c r="H452" s="21">
        <f t="shared" si="33"/>
        <v>0</v>
      </c>
    </row>
    <row r="453" spans="2:8" x14ac:dyDescent="0.25">
      <c r="B453" s="523"/>
      <c r="C453" s="524"/>
      <c r="D453" s="17" t="s">
        <v>24</v>
      </c>
      <c r="E453" s="18" t="s">
        <v>18</v>
      </c>
      <c r="F453" s="19">
        <v>4</v>
      </c>
      <c r="G453" s="20">
        <f>Insumos!Q27</f>
        <v>0</v>
      </c>
      <c r="H453" s="21">
        <f t="shared" si="33"/>
        <v>0</v>
      </c>
    </row>
    <row r="454" spans="2:8" x14ac:dyDescent="0.25">
      <c r="B454" s="523"/>
      <c r="C454" s="524"/>
      <c r="D454" s="525"/>
      <c r="E454" s="526"/>
      <c r="F454" s="531" t="s">
        <v>25</v>
      </c>
      <c r="G454" s="515"/>
      <c r="H454" s="22">
        <f>SUM(H446:H453)</f>
        <v>0</v>
      </c>
    </row>
    <row r="455" spans="2:8" ht="30" x14ac:dyDescent="0.25">
      <c r="B455" s="523"/>
      <c r="C455" s="524"/>
      <c r="D455" s="527"/>
      <c r="E455" s="528"/>
      <c r="F455" s="26" t="s">
        <v>26</v>
      </c>
      <c r="G455" s="24">
        <f>Insumos!$K$28</f>
        <v>0.70109999999999995</v>
      </c>
      <c r="H455" s="25">
        <f>H454*G455</f>
        <v>0</v>
      </c>
    </row>
    <row r="456" spans="2:8" x14ac:dyDescent="0.25">
      <c r="B456" s="523"/>
      <c r="C456" s="524"/>
      <c r="D456" s="527"/>
      <c r="E456" s="528"/>
      <c r="F456" s="531" t="s">
        <v>8</v>
      </c>
      <c r="G456" s="515"/>
      <c r="H456" s="22">
        <f>H455+H454</f>
        <v>0</v>
      </c>
    </row>
    <row r="457" spans="2:8" x14ac:dyDescent="0.25">
      <c r="B457" s="523"/>
      <c r="C457" s="524"/>
      <c r="D457" s="527"/>
      <c r="E457" s="528"/>
      <c r="F457" s="26" t="s">
        <v>27</v>
      </c>
      <c r="G457" s="24">
        <f>BDI!$C$20</f>
        <v>0.2492</v>
      </c>
      <c r="H457" s="25">
        <f>H456*G457</f>
        <v>0</v>
      </c>
    </row>
    <row r="458" spans="2:8" x14ac:dyDescent="0.25">
      <c r="B458" s="523"/>
      <c r="C458" s="524"/>
      <c r="D458" s="529"/>
      <c r="E458" s="530"/>
      <c r="F458" s="514" t="s">
        <v>28</v>
      </c>
      <c r="G458" s="515"/>
      <c r="H458" s="27">
        <f>TRUNC(H457+H456,2)</f>
        <v>0</v>
      </c>
    </row>
    <row r="459" spans="2:8" x14ac:dyDescent="0.25">
      <c r="B459" s="532" t="s">
        <v>29</v>
      </c>
      <c r="C459" s="28"/>
      <c r="D459" s="13" t="s">
        <v>12</v>
      </c>
      <c r="E459" s="14" t="s">
        <v>13</v>
      </c>
      <c r="F459" s="15" t="s">
        <v>14</v>
      </c>
      <c r="G459" s="14" t="s">
        <v>15</v>
      </c>
      <c r="H459" s="52" t="s">
        <v>16</v>
      </c>
    </row>
    <row r="460" spans="2:8" x14ac:dyDescent="0.25">
      <c r="B460" s="533"/>
      <c r="C460" s="34" t="s">
        <v>113</v>
      </c>
      <c r="D460" s="43" t="s">
        <v>31</v>
      </c>
      <c r="E460" s="18" t="s">
        <v>32</v>
      </c>
      <c r="F460" s="37">
        <v>1</v>
      </c>
      <c r="G460" s="53">
        <f>'20 Pórtico_II'!K9</f>
        <v>0</v>
      </c>
      <c r="H460" s="21">
        <f t="shared" ref="H460:H465" si="35">G460*F460</f>
        <v>0</v>
      </c>
    </row>
    <row r="461" spans="2:8" x14ac:dyDescent="0.25">
      <c r="B461" s="533"/>
      <c r="C461" s="34" t="s">
        <v>114</v>
      </c>
      <c r="D461" s="43" t="s">
        <v>34</v>
      </c>
      <c r="E461" s="18" t="s">
        <v>35</v>
      </c>
      <c r="F461" s="37">
        <v>1</v>
      </c>
      <c r="G461" s="53">
        <f>'20 Pórtico_II'!K19</f>
        <v>0</v>
      </c>
      <c r="H461" s="21">
        <f t="shared" si="35"/>
        <v>0</v>
      </c>
    </row>
    <row r="462" spans="2:8" ht="30" x14ac:dyDescent="0.25">
      <c r="B462" s="543"/>
      <c r="C462" s="34" t="s">
        <v>115</v>
      </c>
      <c r="D462" s="43" t="s">
        <v>37</v>
      </c>
      <c r="E462" s="18" t="s">
        <v>32</v>
      </c>
      <c r="F462" s="37">
        <v>1</v>
      </c>
      <c r="G462" s="53">
        <f>'20 Pórtico_II'!K27</f>
        <v>0</v>
      </c>
      <c r="H462" s="21">
        <f t="shared" si="35"/>
        <v>0</v>
      </c>
    </row>
    <row r="463" spans="2:8" x14ac:dyDescent="0.25">
      <c r="B463" s="544" t="s">
        <v>38</v>
      </c>
      <c r="C463" s="34" t="s">
        <v>116</v>
      </c>
      <c r="D463" s="43" t="s">
        <v>40</v>
      </c>
      <c r="E463" s="18" t="s">
        <v>35</v>
      </c>
      <c r="F463" s="37">
        <v>1</v>
      </c>
      <c r="G463" s="53">
        <f>'20 Pórtico_II'!K32</f>
        <v>0</v>
      </c>
      <c r="H463" s="21">
        <f t="shared" si="35"/>
        <v>0</v>
      </c>
    </row>
    <row r="464" spans="2:8" x14ac:dyDescent="0.25">
      <c r="B464" s="545"/>
      <c r="C464" s="34" t="s">
        <v>117</v>
      </c>
      <c r="D464" s="43" t="s">
        <v>42</v>
      </c>
      <c r="E464" s="18" t="s">
        <v>35</v>
      </c>
      <c r="F464" s="37">
        <v>1</v>
      </c>
      <c r="G464" s="53">
        <f>'20 Pórtico_II'!K37</f>
        <v>0</v>
      </c>
      <c r="H464" s="21">
        <f t="shared" si="35"/>
        <v>0</v>
      </c>
    </row>
    <row r="465" spans="2:8" x14ac:dyDescent="0.25">
      <c r="B465" s="546"/>
      <c r="C465" s="34" t="s">
        <v>118</v>
      </c>
      <c r="D465" s="43" t="s">
        <v>44</v>
      </c>
      <c r="E465" s="18" t="s">
        <v>35</v>
      </c>
      <c r="F465" s="37">
        <v>1</v>
      </c>
      <c r="G465" s="53">
        <f>'20 Pórtico_II'!K44</f>
        <v>0</v>
      </c>
      <c r="H465" s="21">
        <f t="shared" si="35"/>
        <v>0</v>
      </c>
    </row>
    <row r="466" spans="2:8" x14ac:dyDescent="0.25">
      <c r="B466" s="534"/>
      <c r="C466" s="535"/>
      <c r="D466" s="525"/>
      <c r="E466" s="526"/>
      <c r="F466" s="531" t="s">
        <v>25</v>
      </c>
      <c r="G466" s="515"/>
      <c r="H466" s="22">
        <f>SUM(H459:H465)</f>
        <v>0</v>
      </c>
    </row>
    <row r="467" spans="2:8" x14ac:dyDescent="0.25">
      <c r="B467" s="536"/>
      <c r="C467" s="537"/>
      <c r="D467" s="527"/>
      <c r="E467" s="528"/>
      <c r="F467" s="26" t="s">
        <v>27</v>
      </c>
      <c r="G467" s="24">
        <f>BDI!$C$20</f>
        <v>0.2492</v>
      </c>
      <c r="H467" s="25">
        <f>H466*G467</f>
        <v>0</v>
      </c>
    </row>
    <row r="468" spans="2:8" x14ac:dyDescent="0.25">
      <c r="B468" s="538"/>
      <c r="C468" s="539"/>
      <c r="D468" s="529"/>
      <c r="E468" s="530"/>
      <c r="F468" s="514" t="s">
        <v>45</v>
      </c>
      <c r="G468" s="515"/>
      <c r="H468" s="27">
        <f>TRUNC(H467+H466,2)</f>
        <v>0</v>
      </c>
    </row>
    <row r="469" spans="2:8" x14ac:dyDescent="0.25">
      <c r="B469" s="516" t="s">
        <v>46</v>
      </c>
      <c r="C469" s="517"/>
      <c r="D469" s="517"/>
      <c r="E469" s="517"/>
      <c r="F469" s="517"/>
      <c r="G469" s="515"/>
      <c r="H469" s="45">
        <f>H468+H458</f>
        <v>0</v>
      </c>
    </row>
    <row r="470" spans="2:8" x14ac:dyDescent="0.25">
      <c r="B470" s="46"/>
      <c r="C470" s="47"/>
      <c r="D470" s="48"/>
      <c r="E470" s="48"/>
      <c r="F470" s="49"/>
      <c r="G470" s="48"/>
      <c r="H470" s="50"/>
    </row>
    <row r="471" spans="2:8" x14ac:dyDescent="0.25">
      <c r="B471" s="11" t="s">
        <v>12</v>
      </c>
      <c r="C471" s="12">
        <v>21</v>
      </c>
      <c r="D471" s="518" t="s">
        <v>1444</v>
      </c>
      <c r="E471" s="519"/>
      <c r="F471" s="519"/>
      <c r="G471" s="519"/>
      <c r="H471" s="520"/>
    </row>
    <row r="472" spans="2:8" x14ac:dyDescent="0.25">
      <c r="B472" s="547" t="s">
        <v>11</v>
      </c>
      <c r="C472" s="548"/>
      <c r="D472" s="13" t="s">
        <v>12</v>
      </c>
      <c r="E472" s="14" t="s">
        <v>13</v>
      </c>
      <c r="F472" s="15" t="s">
        <v>14</v>
      </c>
      <c r="G472" s="14" t="s">
        <v>15</v>
      </c>
      <c r="H472" s="16" t="s">
        <v>16</v>
      </c>
    </row>
    <row r="473" spans="2:8" x14ac:dyDescent="0.25">
      <c r="B473" s="536"/>
      <c r="C473" s="537"/>
      <c r="D473" s="17" t="s">
        <v>17</v>
      </c>
      <c r="E473" s="18" t="s">
        <v>18</v>
      </c>
      <c r="F473" s="19">
        <v>4</v>
      </c>
      <c r="G473" s="20">
        <f>Insumos!Q21</f>
        <v>0</v>
      </c>
      <c r="H473" s="21">
        <f t="shared" ref="H473:H479" si="36">G473*F473</f>
        <v>0</v>
      </c>
    </row>
    <row r="474" spans="2:8" x14ac:dyDescent="0.25">
      <c r="B474" s="536"/>
      <c r="C474" s="537"/>
      <c r="D474" s="17" t="s">
        <v>19</v>
      </c>
      <c r="E474" s="18" t="s">
        <v>18</v>
      </c>
      <c r="F474" s="19">
        <v>20</v>
      </c>
      <c r="G474" s="20">
        <f>Insumos!Q22</f>
        <v>0</v>
      </c>
      <c r="H474" s="21">
        <f t="shared" si="36"/>
        <v>0</v>
      </c>
    </row>
    <row r="475" spans="2:8" x14ac:dyDescent="0.25">
      <c r="B475" s="536"/>
      <c r="C475" s="537"/>
      <c r="D475" s="17" t="s">
        <v>20</v>
      </c>
      <c r="E475" s="18" t="s">
        <v>18</v>
      </c>
      <c r="F475" s="19">
        <v>20</v>
      </c>
      <c r="G475" s="20">
        <f>Insumos!Q23</f>
        <v>0</v>
      </c>
      <c r="H475" s="21">
        <f t="shared" si="36"/>
        <v>0</v>
      </c>
    </row>
    <row r="476" spans="2:8" x14ac:dyDescent="0.25">
      <c r="B476" s="536"/>
      <c r="C476" s="537"/>
      <c r="D476" s="17" t="s">
        <v>21</v>
      </c>
      <c r="E476" s="18" t="s">
        <v>18</v>
      </c>
      <c r="F476" s="19">
        <v>4</v>
      </c>
      <c r="G476" s="20">
        <f>Insumos!Q24</f>
        <v>0</v>
      </c>
      <c r="H476" s="21">
        <f t="shared" si="36"/>
        <v>0</v>
      </c>
    </row>
    <row r="477" spans="2:8" x14ac:dyDescent="0.25">
      <c r="B477" s="536"/>
      <c r="C477" s="537"/>
      <c r="D477" s="17" t="s">
        <v>22</v>
      </c>
      <c r="E477" s="18" t="s">
        <v>18</v>
      </c>
      <c r="F477" s="19">
        <v>4</v>
      </c>
      <c r="G477" s="20">
        <f>Insumos!Q25</f>
        <v>0</v>
      </c>
      <c r="H477" s="21">
        <f t="shared" si="36"/>
        <v>0</v>
      </c>
    </row>
    <row r="478" spans="2:8" x14ac:dyDescent="0.25">
      <c r="B478" s="536"/>
      <c r="C478" s="537"/>
      <c r="D478" s="17" t="s">
        <v>23</v>
      </c>
      <c r="E478" s="18" t="s">
        <v>18</v>
      </c>
      <c r="F478" s="19">
        <v>4</v>
      </c>
      <c r="G478" s="20">
        <f>Insumos!Q26</f>
        <v>0</v>
      </c>
      <c r="H478" s="21">
        <f t="shared" si="36"/>
        <v>0</v>
      </c>
    </row>
    <row r="479" spans="2:8" x14ac:dyDescent="0.25">
      <c r="B479" s="536"/>
      <c r="C479" s="537"/>
      <c r="D479" s="17" t="s">
        <v>24</v>
      </c>
      <c r="E479" s="18" t="s">
        <v>18</v>
      </c>
      <c r="F479" s="19">
        <v>4</v>
      </c>
      <c r="G479" s="20">
        <f>Insumos!Q27</f>
        <v>0</v>
      </c>
      <c r="H479" s="21">
        <f t="shared" si="36"/>
        <v>0</v>
      </c>
    </row>
    <row r="480" spans="2:8" x14ac:dyDescent="0.25">
      <c r="B480" s="536"/>
      <c r="C480" s="537"/>
      <c r="D480" s="525"/>
      <c r="E480" s="526"/>
      <c r="F480" s="531" t="s">
        <v>25</v>
      </c>
      <c r="G480" s="515"/>
      <c r="H480" s="22">
        <f>SUM(H473:H479)</f>
        <v>0</v>
      </c>
    </row>
    <row r="481" spans="2:8" ht="30" x14ac:dyDescent="0.25">
      <c r="B481" s="536"/>
      <c r="C481" s="537"/>
      <c r="D481" s="527"/>
      <c r="E481" s="528"/>
      <c r="F481" s="26" t="s">
        <v>26</v>
      </c>
      <c r="G481" s="24">
        <f>Insumos!$K$28</f>
        <v>0.70109999999999995</v>
      </c>
      <c r="H481" s="25">
        <f>H480*G481</f>
        <v>0</v>
      </c>
    </row>
    <row r="482" spans="2:8" x14ac:dyDescent="0.25">
      <c r="B482" s="536"/>
      <c r="C482" s="537"/>
      <c r="D482" s="527"/>
      <c r="E482" s="528"/>
      <c r="F482" s="531" t="s">
        <v>8</v>
      </c>
      <c r="G482" s="515"/>
      <c r="H482" s="22">
        <f>H481+H480</f>
        <v>0</v>
      </c>
    </row>
    <row r="483" spans="2:8" x14ac:dyDescent="0.25">
      <c r="B483" s="536"/>
      <c r="C483" s="537"/>
      <c r="D483" s="527"/>
      <c r="E483" s="528"/>
      <c r="F483" s="26" t="s">
        <v>27</v>
      </c>
      <c r="G483" s="24">
        <f>BDI!$C$20</f>
        <v>0.2492</v>
      </c>
      <c r="H483" s="25">
        <f>H482*G483</f>
        <v>0</v>
      </c>
    </row>
    <row r="484" spans="2:8" x14ac:dyDescent="0.25">
      <c r="B484" s="538"/>
      <c r="C484" s="539"/>
      <c r="D484" s="529"/>
      <c r="E484" s="530"/>
      <c r="F484" s="514" t="s">
        <v>28</v>
      </c>
      <c r="G484" s="515"/>
      <c r="H484" s="27">
        <f>TRUNC(H483+H482,2)</f>
        <v>0</v>
      </c>
    </row>
    <row r="485" spans="2:8" x14ac:dyDescent="0.25">
      <c r="B485" s="532" t="s">
        <v>29</v>
      </c>
      <c r="C485" s="34"/>
      <c r="D485" s="13" t="s">
        <v>12</v>
      </c>
      <c r="E485" s="14" t="s">
        <v>13</v>
      </c>
      <c r="F485" s="15" t="s">
        <v>14</v>
      </c>
      <c r="G485" s="14" t="s">
        <v>15</v>
      </c>
      <c r="H485" s="52" t="s">
        <v>16</v>
      </c>
    </row>
    <row r="486" spans="2:8" x14ac:dyDescent="0.25">
      <c r="B486" s="533"/>
      <c r="C486" s="34" t="s">
        <v>120</v>
      </c>
      <c r="D486" s="43" t="s">
        <v>31</v>
      </c>
      <c r="E486" s="18" t="s">
        <v>32</v>
      </c>
      <c r="F486" s="37">
        <v>1</v>
      </c>
      <c r="G486" s="53">
        <f>'21 Pórtico_III'!K8</f>
        <v>0</v>
      </c>
      <c r="H486" s="21">
        <f t="shared" ref="H486:H491" si="37">G486*F486</f>
        <v>0</v>
      </c>
    </row>
    <row r="487" spans="2:8" x14ac:dyDescent="0.25">
      <c r="B487" s="533"/>
      <c r="C487" s="34" t="s">
        <v>121</v>
      </c>
      <c r="D487" s="43" t="s">
        <v>34</v>
      </c>
      <c r="E487" s="18" t="s">
        <v>35</v>
      </c>
      <c r="F487" s="37">
        <v>1</v>
      </c>
      <c r="G487" s="53">
        <f>'21 Pórtico_III'!K18</f>
        <v>0</v>
      </c>
      <c r="H487" s="21">
        <f t="shared" si="37"/>
        <v>0</v>
      </c>
    </row>
    <row r="488" spans="2:8" ht="30" x14ac:dyDescent="0.25">
      <c r="B488" s="543"/>
      <c r="C488" s="34" t="s">
        <v>122</v>
      </c>
      <c r="D488" s="43" t="s">
        <v>37</v>
      </c>
      <c r="E488" s="18" t="s">
        <v>32</v>
      </c>
      <c r="F488" s="37">
        <v>1</v>
      </c>
      <c r="G488" s="53">
        <f>'21 Pórtico_III'!K26</f>
        <v>0</v>
      </c>
      <c r="H488" s="21">
        <f t="shared" si="37"/>
        <v>0</v>
      </c>
    </row>
    <row r="489" spans="2:8" x14ac:dyDescent="0.25">
      <c r="B489" s="544" t="s">
        <v>38</v>
      </c>
      <c r="C489" s="34" t="s">
        <v>123</v>
      </c>
      <c r="D489" s="43" t="s">
        <v>40</v>
      </c>
      <c r="E489" s="18" t="s">
        <v>35</v>
      </c>
      <c r="F489" s="37">
        <v>1</v>
      </c>
      <c r="G489" s="53">
        <f>'21 Pórtico_III'!K31</f>
        <v>0</v>
      </c>
      <c r="H489" s="21">
        <f t="shared" si="37"/>
        <v>0</v>
      </c>
    </row>
    <row r="490" spans="2:8" x14ac:dyDescent="0.25">
      <c r="B490" s="545"/>
      <c r="C490" s="34" t="s">
        <v>124</v>
      </c>
      <c r="D490" s="43" t="s">
        <v>42</v>
      </c>
      <c r="E490" s="18" t="s">
        <v>35</v>
      </c>
      <c r="F490" s="37">
        <v>1</v>
      </c>
      <c r="G490" s="53">
        <f>'21 Pórtico_III'!K36</f>
        <v>0</v>
      </c>
      <c r="H490" s="21">
        <f t="shared" si="37"/>
        <v>0</v>
      </c>
    </row>
    <row r="491" spans="2:8" x14ac:dyDescent="0.25">
      <c r="B491" s="546"/>
      <c r="C491" s="34" t="s">
        <v>125</v>
      </c>
      <c r="D491" s="43" t="s">
        <v>44</v>
      </c>
      <c r="E491" s="18" t="s">
        <v>35</v>
      </c>
      <c r="F491" s="37">
        <v>1</v>
      </c>
      <c r="G491" s="53">
        <f>'21 Pórtico_III'!K43</f>
        <v>0</v>
      </c>
      <c r="H491" s="21">
        <f t="shared" si="37"/>
        <v>0</v>
      </c>
    </row>
    <row r="492" spans="2:8" x14ac:dyDescent="0.25">
      <c r="B492" s="549"/>
      <c r="C492" s="550"/>
      <c r="D492" s="525"/>
      <c r="E492" s="526"/>
      <c r="F492" s="531" t="s">
        <v>25</v>
      </c>
      <c r="G492" s="515"/>
      <c r="H492" s="22">
        <f>SUM(H485:H491)</f>
        <v>0</v>
      </c>
    </row>
    <row r="493" spans="2:8" x14ac:dyDescent="0.25">
      <c r="B493" s="549"/>
      <c r="C493" s="550"/>
      <c r="D493" s="527"/>
      <c r="E493" s="528"/>
      <c r="F493" s="26" t="s">
        <v>27</v>
      </c>
      <c r="G493" s="24">
        <f>BDI!$C$20</f>
        <v>0.2492</v>
      </c>
      <c r="H493" s="25">
        <f>H492*G493</f>
        <v>0</v>
      </c>
    </row>
    <row r="494" spans="2:8" x14ac:dyDescent="0.25">
      <c r="B494" s="551"/>
      <c r="C494" s="552"/>
      <c r="D494" s="529"/>
      <c r="E494" s="530"/>
      <c r="F494" s="514" t="s">
        <v>45</v>
      </c>
      <c r="G494" s="515"/>
      <c r="H494" s="27">
        <f>TRUNC(H493+H492,2)</f>
        <v>0</v>
      </c>
    </row>
    <row r="495" spans="2:8" x14ac:dyDescent="0.25">
      <c r="B495" s="516" t="s">
        <v>46</v>
      </c>
      <c r="C495" s="517"/>
      <c r="D495" s="517"/>
      <c r="E495" s="517"/>
      <c r="F495" s="517"/>
      <c r="G495" s="515"/>
      <c r="H495" s="45">
        <f>H494+H484</f>
        <v>0</v>
      </c>
    </row>
    <row r="496" spans="2:8" x14ac:dyDescent="0.25">
      <c r="B496" s="46"/>
      <c r="C496" s="47"/>
      <c r="D496" s="48"/>
      <c r="E496" s="48"/>
      <c r="F496" s="49"/>
      <c r="G496" s="48"/>
      <c r="H496" s="50"/>
    </row>
    <row r="497" spans="2:8" x14ac:dyDescent="0.25">
      <c r="B497" s="11" t="s">
        <v>12</v>
      </c>
      <c r="C497" s="12">
        <v>22</v>
      </c>
      <c r="D497" s="518" t="s">
        <v>1985</v>
      </c>
      <c r="E497" s="519"/>
      <c r="F497" s="519"/>
      <c r="G497" s="519"/>
      <c r="H497" s="520"/>
    </row>
    <row r="498" spans="2:8" x14ac:dyDescent="0.25">
      <c r="B498" s="521" t="s">
        <v>11</v>
      </c>
      <c r="C498" s="522"/>
      <c r="D498" s="13" t="s">
        <v>12</v>
      </c>
      <c r="E498" s="14" t="s">
        <v>13</v>
      </c>
      <c r="F498" s="15" t="s">
        <v>14</v>
      </c>
      <c r="G498" s="14" t="s">
        <v>15</v>
      </c>
      <c r="H498" s="16" t="s">
        <v>16</v>
      </c>
    </row>
    <row r="499" spans="2:8" x14ac:dyDescent="0.25">
      <c r="B499" s="523"/>
      <c r="C499" s="524"/>
      <c r="D499" s="17" t="s">
        <v>17</v>
      </c>
      <c r="E499" s="18" t="s">
        <v>18</v>
      </c>
      <c r="F499" s="19">
        <v>8</v>
      </c>
      <c r="G499" s="20">
        <f>Insumos!Q21</f>
        <v>0</v>
      </c>
      <c r="H499" s="21">
        <f t="shared" ref="H499:H505" si="38">F499*G499</f>
        <v>0</v>
      </c>
    </row>
    <row r="500" spans="2:8" x14ac:dyDescent="0.25">
      <c r="B500" s="523"/>
      <c r="C500" s="524"/>
      <c r="D500" s="17" t="s">
        <v>19</v>
      </c>
      <c r="E500" s="18" t="s">
        <v>18</v>
      </c>
      <c r="F500" s="19">
        <v>36</v>
      </c>
      <c r="G500" s="20">
        <f>Insumos!Q22</f>
        <v>0</v>
      </c>
      <c r="H500" s="21">
        <f t="shared" si="38"/>
        <v>0</v>
      </c>
    </row>
    <row r="501" spans="2:8" x14ac:dyDescent="0.25">
      <c r="B501" s="523"/>
      <c r="C501" s="524"/>
      <c r="D501" s="17" t="s">
        <v>20</v>
      </c>
      <c r="E501" s="18" t="s">
        <v>18</v>
      </c>
      <c r="F501" s="19">
        <v>36</v>
      </c>
      <c r="G501" s="20">
        <f>Insumos!Q23</f>
        <v>0</v>
      </c>
      <c r="H501" s="21">
        <f t="shared" si="38"/>
        <v>0</v>
      </c>
    </row>
    <row r="502" spans="2:8" x14ac:dyDescent="0.25">
      <c r="B502" s="523"/>
      <c r="C502" s="524"/>
      <c r="D502" s="17" t="s">
        <v>21</v>
      </c>
      <c r="E502" s="18" t="s">
        <v>18</v>
      </c>
      <c r="F502" s="19">
        <v>0</v>
      </c>
      <c r="G502" s="20">
        <f>Insumos!Q24</f>
        <v>0</v>
      </c>
      <c r="H502" s="21">
        <f t="shared" si="38"/>
        <v>0</v>
      </c>
    </row>
    <row r="503" spans="2:8" x14ac:dyDescent="0.25">
      <c r="B503" s="523"/>
      <c r="C503" s="524"/>
      <c r="D503" s="17" t="s">
        <v>22</v>
      </c>
      <c r="E503" s="18" t="s">
        <v>18</v>
      </c>
      <c r="F503" s="19">
        <v>8</v>
      </c>
      <c r="G503" s="20">
        <f>Insumos!Q25</f>
        <v>0</v>
      </c>
      <c r="H503" s="21">
        <f t="shared" si="38"/>
        <v>0</v>
      </c>
    </row>
    <row r="504" spans="2:8" x14ac:dyDescent="0.25">
      <c r="B504" s="523"/>
      <c r="C504" s="524"/>
      <c r="D504" s="17" t="s">
        <v>23</v>
      </c>
      <c r="E504" s="18" t="s">
        <v>18</v>
      </c>
      <c r="F504" s="19">
        <v>8</v>
      </c>
      <c r="G504" s="20">
        <f>Insumos!Q26</f>
        <v>0</v>
      </c>
      <c r="H504" s="21">
        <f t="shared" si="38"/>
        <v>0</v>
      </c>
    </row>
    <row r="505" spans="2:8" x14ac:dyDescent="0.25">
      <c r="B505" s="523"/>
      <c r="C505" s="524"/>
      <c r="D505" s="17" t="s">
        <v>24</v>
      </c>
      <c r="E505" s="18" t="s">
        <v>18</v>
      </c>
      <c r="F505" s="19">
        <v>8</v>
      </c>
      <c r="G505" s="20">
        <f>Insumos!Q27</f>
        <v>0</v>
      </c>
      <c r="H505" s="21">
        <f t="shared" si="38"/>
        <v>0</v>
      </c>
    </row>
    <row r="506" spans="2:8" x14ac:dyDescent="0.25">
      <c r="B506" s="523"/>
      <c r="C506" s="524"/>
      <c r="D506" s="525"/>
      <c r="E506" s="526"/>
      <c r="F506" s="531" t="s">
        <v>25</v>
      </c>
      <c r="G506" s="515"/>
      <c r="H506" s="22">
        <f>SUM(H499:H505)</f>
        <v>0</v>
      </c>
    </row>
    <row r="507" spans="2:8" ht="30" x14ac:dyDescent="0.25">
      <c r="B507" s="523"/>
      <c r="C507" s="524"/>
      <c r="D507" s="527"/>
      <c r="E507" s="528"/>
      <c r="F507" s="26" t="s">
        <v>26</v>
      </c>
      <c r="G507" s="24">
        <f>Insumos!$K$28</f>
        <v>0.70109999999999995</v>
      </c>
      <c r="H507" s="25">
        <f>H506*G507</f>
        <v>0</v>
      </c>
    </row>
    <row r="508" spans="2:8" x14ac:dyDescent="0.25">
      <c r="B508" s="523"/>
      <c r="C508" s="524"/>
      <c r="D508" s="527"/>
      <c r="E508" s="528"/>
      <c r="F508" s="531" t="s">
        <v>8</v>
      </c>
      <c r="G508" s="515"/>
      <c r="H508" s="22">
        <f>H507+H506</f>
        <v>0</v>
      </c>
    </row>
    <row r="509" spans="2:8" x14ac:dyDescent="0.25">
      <c r="B509" s="523"/>
      <c r="C509" s="524"/>
      <c r="D509" s="527"/>
      <c r="E509" s="528"/>
      <c r="F509" s="26" t="s">
        <v>27</v>
      </c>
      <c r="G509" s="24">
        <f>BDI!$C$20</f>
        <v>0.2492</v>
      </c>
      <c r="H509" s="25">
        <f>H508*G509</f>
        <v>0</v>
      </c>
    </row>
    <row r="510" spans="2:8" x14ac:dyDescent="0.25">
      <c r="B510" s="523"/>
      <c r="C510" s="524"/>
      <c r="D510" s="529"/>
      <c r="E510" s="530"/>
      <c r="F510" s="514" t="s">
        <v>28</v>
      </c>
      <c r="G510" s="515"/>
      <c r="H510" s="27">
        <f>TRUNC(H509+H508,2)</f>
        <v>0</v>
      </c>
    </row>
    <row r="511" spans="2:8" x14ac:dyDescent="0.25">
      <c r="B511" s="532" t="s">
        <v>29</v>
      </c>
      <c r="C511" s="28"/>
      <c r="D511" s="13" t="s">
        <v>12</v>
      </c>
      <c r="E511" s="14" t="s">
        <v>13</v>
      </c>
      <c r="F511" s="15" t="s">
        <v>14</v>
      </c>
      <c r="G511" s="14" t="s">
        <v>15</v>
      </c>
      <c r="H511" s="52" t="s">
        <v>16</v>
      </c>
    </row>
    <row r="512" spans="2:8" x14ac:dyDescent="0.25">
      <c r="B512" s="533"/>
      <c r="C512" s="34" t="s">
        <v>127</v>
      </c>
      <c r="D512" s="43" t="s">
        <v>31</v>
      </c>
      <c r="E512" s="18" t="s">
        <v>32</v>
      </c>
      <c r="F512" s="37">
        <v>1</v>
      </c>
      <c r="G512" s="53">
        <f>'22 Torre Transmissão tipo I'!K8</f>
        <v>0</v>
      </c>
      <c r="H512" s="21">
        <f t="shared" ref="H512:H517" si="39">G512*F512</f>
        <v>0</v>
      </c>
    </row>
    <row r="513" spans="2:8" x14ac:dyDescent="0.25">
      <c r="B513" s="533"/>
      <c r="C513" s="34" t="s">
        <v>128</v>
      </c>
      <c r="D513" s="43" t="s">
        <v>34</v>
      </c>
      <c r="E513" s="18" t="s">
        <v>35</v>
      </c>
      <c r="F513" s="37">
        <v>1</v>
      </c>
      <c r="G513" s="53">
        <f>'22 Torre Transmissão tipo I'!K18</f>
        <v>0</v>
      </c>
      <c r="H513" s="21">
        <f t="shared" si="39"/>
        <v>0</v>
      </c>
    </row>
    <row r="514" spans="2:8" ht="30" x14ac:dyDescent="0.25">
      <c r="B514" s="543"/>
      <c r="C514" s="34" t="s">
        <v>129</v>
      </c>
      <c r="D514" s="43" t="s">
        <v>37</v>
      </c>
      <c r="E514" s="18" t="s">
        <v>32</v>
      </c>
      <c r="F514" s="37">
        <v>1</v>
      </c>
      <c r="G514" s="53">
        <f>'22 Torre Transmissão tipo I'!K26</f>
        <v>0</v>
      </c>
      <c r="H514" s="21">
        <f t="shared" si="39"/>
        <v>0</v>
      </c>
    </row>
    <row r="515" spans="2:8" x14ac:dyDescent="0.25">
      <c r="B515" s="544" t="s">
        <v>38</v>
      </c>
      <c r="C515" s="34" t="s">
        <v>130</v>
      </c>
      <c r="D515" s="43" t="s">
        <v>40</v>
      </c>
      <c r="E515" s="18" t="s">
        <v>35</v>
      </c>
      <c r="F515" s="37">
        <v>1</v>
      </c>
      <c r="G515" s="53">
        <f>'22 Torre Transmissão tipo I'!K31</f>
        <v>0</v>
      </c>
      <c r="H515" s="21">
        <f t="shared" si="39"/>
        <v>0</v>
      </c>
    </row>
    <row r="516" spans="2:8" x14ac:dyDescent="0.25">
      <c r="B516" s="545"/>
      <c r="C516" s="34" t="s">
        <v>131</v>
      </c>
      <c r="D516" s="43" t="s">
        <v>42</v>
      </c>
      <c r="E516" s="18" t="s">
        <v>35</v>
      </c>
      <c r="F516" s="37">
        <v>1</v>
      </c>
      <c r="G516" s="53">
        <f>'22 Torre Transmissão tipo I'!K36</f>
        <v>0</v>
      </c>
      <c r="H516" s="21">
        <f t="shared" si="39"/>
        <v>0</v>
      </c>
    </row>
    <row r="517" spans="2:8" x14ac:dyDescent="0.25">
      <c r="B517" s="546"/>
      <c r="C517" s="34" t="s">
        <v>132</v>
      </c>
      <c r="D517" s="43" t="s">
        <v>44</v>
      </c>
      <c r="E517" s="18" t="s">
        <v>35</v>
      </c>
      <c r="F517" s="37">
        <v>1</v>
      </c>
      <c r="G517" s="53">
        <f>'22 Torre Transmissão tipo I'!K43</f>
        <v>0</v>
      </c>
      <c r="H517" s="21">
        <f t="shared" si="39"/>
        <v>0</v>
      </c>
    </row>
    <row r="518" spans="2:8" x14ac:dyDescent="0.25">
      <c r="B518" s="534"/>
      <c r="C518" s="535"/>
      <c r="D518" s="525"/>
      <c r="E518" s="526"/>
      <c r="F518" s="531" t="s">
        <v>25</v>
      </c>
      <c r="G518" s="515"/>
      <c r="H518" s="22">
        <f>SUM(H511:H517)</f>
        <v>0</v>
      </c>
    </row>
    <row r="519" spans="2:8" x14ac:dyDescent="0.25">
      <c r="B519" s="536"/>
      <c r="C519" s="537"/>
      <c r="D519" s="527"/>
      <c r="E519" s="528"/>
      <c r="F519" s="26" t="s">
        <v>27</v>
      </c>
      <c r="G519" s="24">
        <f>BDI!$C$20</f>
        <v>0.2492</v>
      </c>
      <c r="H519" s="25">
        <f>H518*G519</f>
        <v>0</v>
      </c>
    </row>
    <row r="520" spans="2:8" x14ac:dyDescent="0.25">
      <c r="B520" s="538"/>
      <c r="C520" s="539"/>
      <c r="D520" s="529"/>
      <c r="E520" s="530"/>
      <c r="F520" s="514" t="s">
        <v>45</v>
      </c>
      <c r="G520" s="515"/>
      <c r="H520" s="27">
        <f>TRUNC(H519+H518,2)</f>
        <v>0</v>
      </c>
    </row>
    <row r="521" spans="2:8" x14ac:dyDescent="0.25">
      <c r="B521" s="516" t="s">
        <v>46</v>
      </c>
      <c r="C521" s="517"/>
      <c r="D521" s="517"/>
      <c r="E521" s="517"/>
      <c r="F521" s="517"/>
      <c r="G521" s="515"/>
      <c r="H521" s="45">
        <f>H520+H510</f>
        <v>0</v>
      </c>
    </row>
    <row r="522" spans="2:8" x14ac:dyDescent="0.25">
      <c r="B522" s="46"/>
      <c r="C522" s="47"/>
      <c r="D522" s="48"/>
      <c r="E522" s="48"/>
      <c r="F522" s="49"/>
      <c r="G522" s="48"/>
      <c r="H522" s="50"/>
    </row>
    <row r="523" spans="2:8" x14ac:dyDescent="0.25">
      <c r="B523" s="11" t="s">
        <v>12</v>
      </c>
      <c r="C523" s="12">
        <v>23</v>
      </c>
      <c r="D523" s="518" t="s">
        <v>1986</v>
      </c>
      <c r="E523" s="519"/>
      <c r="F523" s="519"/>
      <c r="G523" s="519"/>
      <c r="H523" s="520"/>
    </row>
    <row r="524" spans="2:8" x14ac:dyDescent="0.25">
      <c r="B524" s="521" t="s">
        <v>11</v>
      </c>
      <c r="C524" s="522"/>
      <c r="D524" s="13" t="s">
        <v>12</v>
      </c>
      <c r="E524" s="14" t="s">
        <v>13</v>
      </c>
      <c r="F524" s="15" t="s">
        <v>14</v>
      </c>
      <c r="G524" s="14" t="s">
        <v>15</v>
      </c>
      <c r="H524" s="16" t="s">
        <v>16</v>
      </c>
    </row>
    <row r="525" spans="2:8" x14ac:dyDescent="0.25">
      <c r="B525" s="523"/>
      <c r="C525" s="524"/>
      <c r="D525" s="17" t="s">
        <v>17</v>
      </c>
      <c r="E525" s="18" t="s">
        <v>18</v>
      </c>
      <c r="F525" s="19">
        <v>4</v>
      </c>
      <c r="G525" s="20">
        <f>Insumos!Q21</f>
        <v>0</v>
      </c>
      <c r="H525" s="21">
        <f>F525*G525</f>
        <v>0</v>
      </c>
    </row>
    <row r="526" spans="2:8" x14ac:dyDescent="0.25">
      <c r="B526" s="523"/>
      <c r="C526" s="524"/>
      <c r="D526" s="17" t="s">
        <v>19</v>
      </c>
      <c r="E526" s="18" t="s">
        <v>18</v>
      </c>
      <c r="F526" s="19">
        <v>18</v>
      </c>
      <c r="G526" s="20">
        <f>Insumos!Q22</f>
        <v>0</v>
      </c>
      <c r="H526" s="21">
        <f t="shared" ref="H526:H531" si="40">F526*G526</f>
        <v>0</v>
      </c>
    </row>
    <row r="527" spans="2:8" x14ac:dyDescent="0.25">
      <c r="B527" s="523"/>
      <c r="C527" s="524"/>
      <c r="D527" s="17" t="s">
        <v>20</v>
      </c>
      <c r="E527" s="18" t="s">
        <v>18</v>
      </c>
      <c r="F527" s="19">
        <v>18</v>
      </c>
      <c r="G527" s="20">
        <f>Insumos!Q23</f>
        <v>0</v>
      </c>
      <c r="H527" s="21">
        <f t="shared" si="40"/>
        <v>0</v>
      </c>
    </row>
    <row r="528" spans="2:8" x14ac:dyDescent="0.25">
      <c r="B528" s="523"/>
      <c r="C528" s="524"/>
      <c r="D528" s="17" t="s">
        <v>21</v>
      </c>
      <c r="E528" s="18" t="s">
        <v>18</v>
      </c>
      <c r="F528" s="19">
        <v>0</v>
      </c>
      <c r="G528" s="20">
        <f>Insumos!Q24</f>
        <v>0</v>
      </c>
      <c r="H528" s="21">
        <f t="shared" si="40"/>
        <v>0</v>
      </c>
    </row>
    <row r="529" spans="2:8" x14ac:dyDescent="0.25">
      <c r="B529" s="523"/>
      <c r="C529" s="524"/>
      <c r="D529" s="17" t="s">
        <v>22</v>
      </c>
      <c r="E529" s="18" t="s">
        <v>18</v>
      </c>
      <c r="F529" s="19">
        <v>4</v>
      </c>
      <c r="G529" s="20">
        <f>Insumos!Q25</f>
        <v>0</v>
      </c>
      <c r="H529" s="21">
        <f t="shared" si="40"/>
        <v>0</v>
      </c>
    </row>
    <row r="530" spans="2:8" x14ac:dyDescent="0.25">
      <c r="B530" s="523"/>
      <c r="C530" s="524"/>
      <c r="D530" s="17" t="s">
        <v>23</v>
      </c>
      <c r="E530" s="18" t="s">
        <v>18</v>
      </c>
      <c r="F530" s="19">
        <v>4</v>
      </c>
      <c r="G530" s="20">
        <f>Insumos!Q26</f>
        <v>0</v>
      </c>
      <c r="H530" s="21">
        <f t="shared" si="40"/>
        <v>0</v>
      </c>
    </row>
    <row r="531" spans="2:8" x14ac:dyDescent="0.25">
      <c r="B531" s="523"/>
      <c r="C531" s="524"/>
      <c r="D531" s="17" t="s">
        <v>24</v>
      </c>
      <c r="E531" s="18" t="s">
        <v>18</v>
      </c>
      <c r="F531" s="19">
        <v>4</v>
      </c>
      <c r="G531" s="20">
        <f>Insumos!Q27</f>
        <v>0</v>
      </c>
      <c r="H531" s="21">
        <f t="shared" si="40"/>
        <v>0</v>
      </c>
    </row>
    <row r="532" spans="2:8" x14ac:dyDescent="0.25">
      <c r="B532" s="523"/>
      <c r="C532" s="524"/>
      <c r="D532" s="525"/>
      <c r="E532" s="526"/>
      <c r="F532" s="531" t="s">
        <v>25</v>
      </c>
      <c r="G532" s="515"/>
      <c r="H532" s="22">
        <f>SUM(H525:H531)</f>
        <v>0</v>
      </c>
    </row>
    <row r="533" spans="2:8" ht="30" x14ac:dyDescent="0.25">
      <c r="B533" s="523"/>
      <c r="C533" s="524"/>
      <c r="D533" s="527"/>
      <c r="E533" s="528"/>
      <c r="F533" s="26" t="s">
        <v>26</v>
      </c>
      <c r="G533" s="24">
        <f>Insumos!$K$28</f>
        <v>0.70109999999999995</v>
      </c>
      <c r="H533" s="25">
        <f>H532*G533</f>
        <v>0</v>
      </c>
    </row>
    <row r="534" spans="2:8" x14ac:dyDescent="0.25">
      <c r="B534" s="523"/>
      <c r="C534" s="524"/>
      <c r="D534" s="527"/>
      <c r="E534" s="528"/>
      <c r="F534" s="531" t="s">
        <v>8</v>
      </c>
      <c r="G534" s="515"/>
      <c r="H534" s="22">
        <f>H533+H532</f>
        <v>0</v>
      </c>
    </row>
    <row r="535" spans="2:8" x14ac:dyDescent="0.25">
      <c r="B535" s="523"/>
      <c r="C535" s="524"/>
      <c r="D535" s="527"/>
      <c r="E535" s="528"/>
      <c r="F535" s="26" t="s">
        <v>27</v>
      </c>
      <c r="G535" s="24">
        <f>BDI!$C$20</f>
        <v>0.2492</v>
      </c>
      <c r="H535" s="25">
        <f>H534*G535</f>
        <v>0</v>
      </c>
    </row>
    <row r="536" spans="2:8" x14ac:dyDescent="0.25">
      <c r="B536" s="523"/>
      <c r="C536" s="524"/>
      <c r="D536" s="529"/>
      <c r="E536" s="530"/>
      <c r="F536" s="514" t="s">
        <v>28</v>
      </c>
      <c r="G536" s="515"/>
      <c r="H536" s="27">
        <f>TRUNC(H535+H534,2)</f>
        <v>0</v>
      </c>
    </row>
    <row r="537" spans="2:8" x14ac:dyDescent="0.25">
      <c r="B537" s="532" t="s">
        <v>29</v>
      </c>
      <c r="C537" s="28"/>
      <c r="D537" s="13" t="s">
        <v>12</v>
      </c>
      <c r="E537" s="14" t="s">
        <v>13</v>
      </c>
      <c r="F537" s="15" t="s">
        <v>14</v>
      </c>
      <c r="G537" s="14" t="s">
        <v>15</v>
      </c>
      <c r="H537" s="52" t="s">
        <v>16</v>
      </c>
    </row>
    <row r="538" spans="2:8" x14ac:dyDescent="0.25">
      <c r="B538" s="533"/>
      <c r="C538" s="34" t="s">
        <v>139</v>
      </c>
      <c r="D538" s="43" t="s">
        <v>31</v>
      </c>
      <c r="E538" s="18" t="s">
        <v>32</v>
      </c>
      <c r="F538" s="37">
        <v>1</v>
      </c>
      <c r="G538" s="53">
        <f>'23 Torre transmissão tipo II'!K8</f>
        <v>0</v>
      </c>
      <c r="H538" s="21">
        <f t="shared" ref="H538:H543" si="41">G538*F538</f>
        <v>0</v>
      </c>
    </row>
    <row r="539" spans="2:8" x14ac:dyDescent="0.25">
      <c r="B539" s="533"/>
      <c r="C539" s="34" t="s">
        <v>140</v>
      </c>
      <c r="D539" s="43" t="s">
        <v>34</v>
      </c>
      <c r="E539" s="18" t="s">
        <v>35</v>
      </c>
      <c r="F539" s="37">
        <v>1</v>
      </c>
      <c r="G539" s="53">
        <f>'23 Torre transmissão tipo II'!K18</f>
        <v>0</v>
      </c>
      <c r="H539" s="21">
        <f t="shared" si="41"/>
        <v>0</v>
      </c>
    </row>
    <row r="540" spans="2:8" ht="30" x14ac:dyDescent="0.25">
      <c r="B540" s="543"/>
      <c r="C540" s="34" t="s">
        <v>141</v>
      </c>
      <c r="D540" s="43" t="s">
        <v>37</v>
      </c>
      <c r="E540" s="18" t="s">
        <v>32</v>
      </c>
      <c r="F540" s="37">
        <v>1</v>
      </c>
      <c r="G540" s="53">
        <f>'23 Torre transmissão tipo II'!K26</f>
        <v>0</v>
      </c>
      <c r="H540" s="21">
        <f t="shared" si="41"/>
        <v>0</v>
      </c>
    </row>
    <row r="541" spans="2:8" x14ac:dyDescent="0.25">
      <c r="B541" s="544" t="s">
        <v>38</v>
      </c>
      <c r="C541" s="34" t="s">
        <v>142</v>
      </c>
      <c r="D541" s="43" t="s">
        <v>40</v>
      </c>
      <c r="E541" s="18" t="s">
        <v>35</v>
      </c>
      <c r="F541" s="37">
        <v>1</v>
      </c>
      <c r="G541" s="53">
        <f>'23 Torre transmissão tipo II'!K31</f>
        <v>0</v>
      </c>
      <c r="H541" s="21">
        <f t="shared" si="41"/>
        <v>0</v>
      </c>
    </row>
    <row r="542" spans="2:8" x14ac:dyDescent="0.25">
      <c r="B542" s="545"/>
      <c r="C542" s="34" t="s">
        <v>143</v>
      </c>
      <c r="D542" s="43" t="s">
        <v>42</v>
      </c>
      <c r="E542" s="18" t="s">
        <v>35</v>
      </c>
      <c r="F542" s="37">
        <v>1</v>
      </c>
      <c r="G542" s="53">
        <f>'23 Torre transmissão tipo II'!K36</f>
        <v>0</v>
      </c>
      <c r="H542" s="21">
        <f t="shared" si="41"/>
        <v>0</v>
      </c>
    </row>
    <row r="543" spans="2:8" x14ac:dyDescent="0.25">
      <c r="B543" s="546"/>
      <c r="C543" s="34" t="s">
        <v>144</v>
      </c>
      <c r="D543" s="43" t="s">
        <v>44</v>
      </c>
      <c r="E543" s="18" t="s">
        <v>35</v>
      </c>
      <c r="F543" s="37">
        <v>1</v>
      </c>
      <c r="G543" s="53">
        <f>'23 Torre transmissão tipo II'!K43</f>
        <v>0</v>
      </c>
      <c r="H543" s="21">
        <f t="shared" si="41"/>
        <v>0</v>
      </c>
    </row>
    <row r="544" spans="2:8" x14ac:dyDescent="0.25">
      <c r="B544" s="534"/>
      <c r="C544" s="535"/>
      <c r="D544" s="525"/>
      <c r="E544" s="526"/>
      <c r="F544" s="531" t="s">
        <v>25</v>
      </c>
      <c r="G544" s="515"/>
      <c r="H544" s="22">
        <f>SUM(H537:H543)</f>
        <v>0</v>
      </c>
    </row>
    <row r="545" spans="2:8" x14ac:dyDescent="0.25">
      <c r="B545" s="536"/>
      <c r="C545" s="537"/>
      <c r="D545" s="527"/>
      <c r="E545" s="528"/>
      <c r="F545" s="26" t="s">
        <v>27</v>
      </c>
      <c r="G545" s="24">
        <f>BDI!$C$20</f>
        <v>0.2492</v>
      </c>
      <c r="H545" s="25">
        <f>H544*G545</f>
        <v>0</v>
      </c>
    </row>
    <row r="546" spans="2:8" x14ac:dyDescent="0.25">
      <c r="B546" s="538"/>
      <c r="C546" s="539"/>
      <c r="D546" s="529"/>
      <c r="E546" s="530"/>
      <c r="F546" s="514" t="s">
        <v>45</v>
      </c>
      <c r="G546" s="515"/>
      <c r="H546" s="27">
        <f>TRUNC(H545+H544,2)</f>
        <v>0</v>
      </c>
    </row>
    <row r="547" spans="2:8" x14ac:dyDescent="0.25">
      <c r="B547" s="516" t="s">
        <v>46</v>
      </c>
      <c r="C547" s="517"/>
      <c r="D547" s="517"/>
      <c r="E547" s="517"/>
      <c r="F547" s="517"/>
      <c r="G547" s="515"/>
      <c r="H547" s="45">
        <f>H546+H536</f>
        <v>0</v>
      </c>
    </row>
    <row r="548" spans="2:8" x14ac:dyDescent="0.25">
      <c r="B548" s="46"/>
      <c r="C548" s="47"/>
      <c r="D548" s="48"/>
      <c r="E548" s="48"/>
      <c r="F548" s="49"/>
      <c r="G548" s="48"/>
      <c r="H548" s="50"/>
    </row>
    <row r="549" spans="2:8" x14ac:dyDescent="0.25">
      <c r="B549" s="11"/>
      <c r="C549" s="12"/>
      <c r="D549" s="518" t="s">
        <v>168</v>
      </c>
      <c r="E549" s="517"/>
      <c r="F549" s="517"/>
      <c r="G549" s="517"/>
      <c r="H549" s="553"/>
    </row>
    <row r="550" spans="2:8" x14ac:dyDescent="0.25">
      <c r="B550" s="11"/>
      <c r="C550" s="12">
        <v>24</v>
      </c>
      <c r="D550" s="54" t="s">
        <v>170</v>
      </c>
      <c r="E550" s="55"/>
      <c r="F550" s="56"/>
      <c r="G550" s="57"/>
      <c r="H550" s="58"/>
    </row>
    <row r="551" spans="2:8" x14ac:dyDescent="0.25">
      <c r="B551" s="521" t="s">
        <v>11</v>
      </c>
      <c r="C551" s="522"/>
      <c r="D551" s="13" t="s">
        <v>12</v>
      </c>
      <c r="E551" s="14" t="s">
        <v>13</v>
      </c>
      <c r="F551" s="15" t="s">
        <v>14</v>
      </c>
      <c r="G551" s="14" t="s">
        <v>15</v>
      </c>
      <c r="H551" s="16" t="s">
        <v>16</v>
      </c>
    </row>
    <row r="552" spans="2:8" x14ac:dyDescent="0.25">
      <c r="B552" s="523"/>
      <c r="C552" s="524"/>
      <c r="D552" s="17" t="s">
        <v>17</v>
      </c>
      <c r="E552" s="18" t="s">
        <v>18</v>
      </c>
      <c r="F552" s="19">
        <v>0.2</v>
      </c>
      <c r="G552" s="20">
        <f>Insumos!Q21</f>
        <v>0</v>
      </c>
      <c r="H552" s="21">
        <f t="shared" ref="H552:H558" si="42">G552*F552</f>
        <v>0</v>
      </c>
    </row>
    <row r="553" spans="2:8" x14ac:dyDescent="0.25">
      <c r="B553" s="523"/>
      <c r="C553" s="524"/>
      <c r="D553" s="17" t="s">
        <v>19</v>
      </c>
      <c r="E553" s="18" t="s">
        <v>18</v>
      </c>
      <c r="F553" s="19">
        <v>0.2</v>
      </c>
      <c r="G553" s="20">
        <f>Insumos!Q22</f>
        <v>0</v>
      </c>
      <c r="H553" s="21">
        <f t="shared" si="42"/>
        <v>0</v>
      </c>
    </row>
    <row r="554" spans="2:8" x14ac:dyDescent="0.25">
      <c r="B554" s="523"/>
      <c r="C554" s="524"/>
      <c r="D554" s="17" t="s">
        <v>20</v>
      </c>
      <c r="E554" s="18" t="s">
        <v>18</v>
      </c>
      <c r="F554" s="19">
        <v>0.2</v>
      </c>
      <c r="G554" s="20">
        <f>Insumos!Q23</f>
        <v>0</v>
      </c>
      <c r="H554" s="21">
        <f t="shared" si="42"/>
        <v>0</v>
      </c>
    </row>
    <row r="555" spans="2:8" x14ac:dyDescent="0.25">
      <c r="B555" s="523"/>
      <c r="C555" s="524"/>
      <c r="D555" s="17" t="s">
        <v>21</v>
      </c>
      <c r="E555" s="18" t="s">
        <v>18</v>
      </c>
      <c r="F555" s="19">
        <v>0.2</v>
      </c>
      <c r="G555" s="20">
        <f>Insumos!Q24</f>
        <v>0</v>
      </c>
      <c r="H555" s="21">
        <f t="shared" si="42"/>
        <v>0</v>
      </c>
    </row>
    <row r="556" spans="2:8" x14ac:dyDescent="0.25">
      <c r="B556" s="523"/>
      <c r="C556" s="524"/>
      <c r="D556" s="17" t="s">
        <v>22</v>
      </c>
      <c r="E556" s="18" t="s">
        <v>18</v>
      </c>
      <c r="F556" s="19">
        <v>0</v>
      </c>
      <c r="G556" s="20">
        <f>Insumos!Q25</f>
        <v>0</v>
      </c>
      <c r="H556" s="21">
        <f t="shared" si="42"/>
        <v>0</v>
      </c>
    </row>
    <row r="557" spans="2:8" x14ac:dyDescent="0.25">
      <c r="B557" s="523"/>
      <c r="C557" s="524"/>
      <c r="D557" s="17" t="s">
        <v>23</v>
      </c>
      <c r="E557" s="18" t="s">
        <v>18</v>
      </c>
      <c r="F557" s="19">
        <v>0.2</v>
      </c>
      <c r="G557" s="20">
        <f>Insumos!Q26</f>
        <v>0</v>
      </c>
      <c r="H557" s="21">
        <f t="shared" si="42"/>
        <v>0</v>
      </c>
    </row>
    <row r="558" spans="2:8" x14ac:dyDescent="0.25">
      <c r="B558" s="523"/>
      <c r="C558" s="524"/>
      <c r="D558" s="17" t="s">
        <v>24</v>
      </c>
      <c r="E558" s="18" t="s">
        <v>18</v>
      </c>
      <c r="F558" s="19">
        <v>0.2</v>
      </c>
      <c r="G558" s="20">
        <f>Insumos!Q27</f>
        <v>0</v>
      </c>
      <c r="H558" s="21">
        <f t="shared" si="42"/>
        <v>0</v>
      </c>
    </row>
    <row r="559" spans="2:8" x14ac:dyDescent="0.25">
      <c r="B559" s="523"/>
      <c r="C559" s="524"/>
      <c r="D559" s="525"/>
      <c r="E559" s="526"/>
      <c r="F559" s="531" t="s">
        <v>25</v>
      </c>
      <c r="G559" s="515"/>
      <c r="H559" s="22">
        <f>SUM(H552:H558)</f>
        <v>0</v>
      </c>
    </row>
    <row r="560" spans="2:8" ht="30" x14ac:dyDescent="0.25">
      <c r="B560" s="523"/>
      <c r="C560" s="524"/>
      <c r="D560" s="527"/>
      <c r="E560" s="528"/>
      <c r="F560" s="26" t="s">
        <v>26</v>
      </c>
      <c r="G560" s="24">
        <f>Insumos!$K$28</f>
        <v>0.70109999999999995</v>
      </c>
      <c r="H560" s="25">
        <f>H559*G560</f>
        <v>0</v>
      </c>
    </row>
    <row r="561" spans="2:8" x14ac:dyDescent="0.25">
      <c r="B561" s="523"/>
      <c r="C561" s="524"/>
      <c r="D561" s="527"/>
      <c r="E561" s="528"/>
      <c r="F561" s="531" t="s">
        <v>8</v>
      </c>
      <c r="G561" s="515"/>
      <c r="H561" s="22">
        <f>H560+H559</f>
        <v>0</v>
      </c>
    </row>
    <row r="562" spans="2:8" x14ac:dyDescent="0.25">
      <c r="B562" s="523"/>
      <c r="C562" s="524"/>
      <c r="D562" s="527"/>
      <c r="E562" s="528"/>
      <c r="F562" s="26" t="s">
        <v>27</v>
      </c>
      <c r="G562" s="24">
        <f>BDI!$C$20</f>
        <v>0.2492</v>
      </c>
      <c r="H562" s="25">
        <f>H561*G562</f>
        <v>0</v>
      </c>
    </row>
    <row r="563" spans="2:8" x14ac:dyDescent="0.25">
      <c r="B563" s="523"/>
      <c r="C563" s="524"/>
      <c r="D563" s="529"/>
      <c r="E563" s="530"/>
      <c r="F563" s="514" t="s">
        <v>28</v>
      </c>
      <c r="G563" s="515"/>
      <c r="H563" s="27">
        <f>TRUNC(H562+H561,2)</f>
        <v>0</v>
      </c>
    </row>
    <row r="564" spans="2:8" x14ac:dyDescent="0.25">
      <c r="B564" s="532" t="s">
        <v>29</v>
      </c>
      <c r="C564" s="28"/>
      <c r="D564" s="13" t="s">
        <v>12</v>
      </c>
      <c r="E564" s="14" t="s">
        <v>13</v>
      </c>
      <c r="F564" s="15" t="s">
        <v>14</v>
      </c>
      <c r="G564" s="14" t="s">
        <v>15</v>
      </c>
      <c r="H564" s="52" t="s">
        <v>16</v>
      </c>
    </row>
    <row r="565" spans="2:8" x14ac:dyDescent="0.25">
      <c r="B565" s="533"/>
      <c r="C565" s="34" t="s">
        <v>147</v>
      </c>
      <c r="D565" s="43" t="s">
        <v>31</v>
      </c>
      <c r="E565" s="18" t="s">
        <v>32</v>
      </c>
      <c r="F565" s="37">
        <v>1</v>
      </c>
      <c r="G565" s="53">
        <f>'24 Fechamentos'!K7</f>
        <v>0</v>
      </c>
      <c r="H565" s="21">
        <f t="shared" ref="H565:H570" si="43">G565*F565</f>
        <v>0</v>
      </c>
    </row>
    <row r="566" spans="2:8" x14ac:dyDescent="0.25">
      <c r="B566" s="533"/>
      <c r="C566" s="34" t="s">
        <v>148</v>
      </c>
      <c r="D566" s="43" t="s">
        <v>34</v>
      </c>
      <c r="E566" s="18" t="s">
        <v>35</v>
      </c>
      <c r="F566" s="37">
        <v>1</v>
      </c>
      <c r="G566" s="53">
        <f>'24 Fechamentos'!K13</f>
        <v>0</v>
      </c>
      <c r="H566" s="21">
        <f t="shared" si="43"/>
        <v>0</v>
      </c>
    </row>
    <row r="567" spans="2:8" ht="30" x14ac:dyDescent="0.25">
      <c r="B567" s="543"/>
      <c r="C567" s="34" t="s">
        <v>149</v>
      </c>
      <c r="D567" s="43" t="s">
        <v>37</v>
      </c>
      <c r="E567" s="18" t="s">
        <v>32</v>
      </c>
      <c r="F567" s="37">
        <v>1</v>
      </c>
      <c r="G567" s="53">
        <f>'24 Fechamentos'!K25</f>
        <v>0</v>
      </c>
      <c r="H567" s="21">
        <f t="shared" si="43"/>
        <v>0</v>
      </c>
    </row>
    <row r="568" spans="2:8" x14ac:dyDescent="0.25">
      <c r="B568" s="544" t="s">
        <v>38</v>
      </c>
      <c r="C568" s="34" t="s">
        <v>150</v>
      </c>
      <c r="D568" s="43" t="s">
        <v>40</v>
      </c>
      <c r="E568" s="18" t="s">
        <v>35</v>
      </c>
      <c r="F568" s="37">
        <v>1</v>
      </c>
      <c r="G568" s="53">
        <f>'24 Fechamentos'!K30</f>
        <v>0</v>
      </c>
      <c r="H568" s="21">
        <f t="shared" si="43"/>
        <v>0</v>
      </c>
    </row>
    <row r="569" spans="2:8" x14ac:dyDescent="0.25">
      <c r="B569" s="545"/>
      <c r="C569" s="34" t="s">
        <v>151</v>
      </c>
      <c r="D569" s="43" t="s">
        <v>42</v>
      </c>
      <c r="E569" s="18" t="s">
        <v>35</v>
      </c>
      <c r="F569" s="37">
        <v>1</v>
      </c>
      <c r="G569" s="53">
        <f>'24 Fechamentos'!K35</f>
        <v>0</v>
      </c>
      <c r="H569" s="21">
        <f t="shared" si="43"/>
        <v>0</v>
      </c>
    </row>
    <row r="570" spans="2:8" x14ac:dyDescent="0.25">
      <c r="B570" s="546"/>
      <c r="C570" s="34" t="s">
        <v>152</v>
      </c>
      <c r="D570" s="43" t="s">
        <v>44</v>
      </c>
      <c r="E570" s="18" t="s">
        <v>35</v>
      </c>
      <c r="F570" s="37">
        <v>1</v>
      </c>
      <c r="G570" s="53">
        <f>'24 Fechamentos'!K42</f>
        <v>0</v>
      </c>
      <c r="H570" s="21">
        <f t="shared" si="43"/>
        <v>0</v>
      </c>
    </row>
    <row r="571" spans="2:8" x14ac:dyDescent="0.25">
      <c r="B571" s="534"/>
      <c r="C571" s="535"/>
      <c r="D571" s="525"/>
      <c r="E571" s="526"/>
      <c r="F571" s="531" t="s">
        <v>25</v>
      </c>
      <c r="G571" s="515"/>
      <c r="H571" s="22">
        <f>SUM(H564:H570)</f>
        <v>0</v>
      </c>
    </row>
    <row r="572" spans="2:8" x14ac:dyDescent="0.25">
      <c r="B572" s="536"/>
      <c r="C572" s="537"/>
      <c r="D572" s="527"/>
      <c r="E572" s="528"/>
      <c r="F572" s="26" t="s">
        <v>27</v>
      </c>
      <c r="G572" s="24">
        <f>BDI!$C$20</f>
        <v>0.2492</v>
      </c>
      <c r="H572" s="25">
        <f>H571*G572</f>
        <v>0</v>
      </c>
    </row>
    <row r="573" spans="2:8" x14ac:dyDescent="0.25">
      <c r="B573" s="538"/>
      <c r="C573" s="539"/>
      <c r="D573" s="529"/>
      <c r="E573" s="530"/>
      <c r="F573" s="514" t="s">
        <v>45</v>
      </c>
      <c r="G573" s="515"/>
      <c r="H573" s="27">
        <f>TRUNC(H572+H571,2)</f>
        <v>0</v>
      </c>
    </row>
    <row r="574" spans="2:8" x14ac:dyDescent="0.25">
      <c r="B574" s="516" t="s">
        <v>46</v>
      </c>
      <c r="C574" s="517"/>
      <c r="D574" s="517"/>
      <c r="E574" s="517"/>
      <c r="F574" s="517"/>
      <c r="G574" s="515"/>
      <c r="H574" s="45">
        <f>H573+H563</f>
        <v>0</v>
      </c>
    </row>
    <row r="575" spans="2:8" x14ac:dyDescent="0.25">
      <c r="B575" s="46"/>
      <c r="C575" s="47"/>
      <c r="D575" s="48"/>
      <c r="E575" s="48"/>
      <c r="F575" s="49"/>
      <c r="G575" s="48"/>
      <c r="H575" s="50"/>
    </row>
    <row r="576" spans="2:8" x14ac:dyDescent="0.25">
      <c r="B576" s="11" t="s">
        <v>12</v>
      </c>
      <c r="C576" s="12">
        <v>25</v>
      </c>
      <c r="D576" s="54" t="s">
        <v>178</v>
      </c>
      <c r="E576" s="55"/>
      <c r="F576" s="56"/>
      <c r="G576" s="57"/>
      <c r="H576" s="58"/>
    </row>
    <row r="577" spans="2:8" x14ac:dyDescent="0.25">
      <c r="B577" s="521" t="s">
        <v>11</v>
      </c>
      <c r="C577" s="522"/>
      <c r="D577" s="13" t="s">
        <v>12</v>
      </c>
      <c r="E577" s="14" t="s">
        <v>13</v>
      </c>
      <c r="F577" s="15" t="s">
        <v>14</v>
      </c>
      <c r="G577" s="14" t="s">
        <v>15</v>
      </c>
      <c r="H577" s="16" t="s">
        <v>16</v>
      </c>
    </row>
    <row r="578" spans="2:8" x14ac:dyDescent="0.25">
      <c r="B578" s="523"/>
      <c r="C578" s="524"/>
      <c r="D578" s="17" t="s">
        <v>17</v>
      </c>
      <c r="E578" s="18" t="s">
        <v>18</v>
      </c>
      <c r="F578" s="19">
        <v>0.2</v>
      </c>
      <c r="G578" s="20">
        <f>Insumos!Q21</f>
        <v>0</v>
      </c>
      <c r="H578" s="21">
        <f t="shared" ref="H578:H584" si="44">G578*F578</f>
        <v>0</v>
      </c>
    </row>
    <row r="579" spans="2:8" x14ac:dyDescent="0.25">
      <c r="B579" s="523"/>
      <c r="C579" s="524"/>
      <c r="D579" s="17" t="s">
        <v>19</v>
      </c>
      <c r="E579" s="18" t="s">
        <v>18</v>
      </c>
      <c r="F579" s="19">
        <v>0.4</v>
      </c>
      <c r="G579" s="20">
        <f>Insumos!Q22</f>
        <v>0</v>
      </c>
      <c r="H579" s="21">
        <f t="shared" si="44"/>
        <v>0</v>
      </c>
    </row>
    <row r="580" spans="2:8" x14ac:dyDescent="0.25">
      <c r="B580" s="523"/>
      <c r="C580" s="524"/>
      <c r="D580" s="17" t="s">
        <v>20</v>
      </c>
      <c r="E580" s="18" t="s">
        <v>18</v>
      </c>
      <c r="F580" s="19">
        <v>0.4</v>
      </c>
      <c r="G580" s="20">
        <f>Insumos!Q23</f>
        <v>0</v>
      </c>
      <c r="H580" s="21">
        <f t="shared" si="44"/>
        <v>0</v>
      </c>
    </row>
    <row r="581" spans="2:8" x14ac:dyDescent="0.25">
      <c r="B581" s="523"/>
      <c r="C581" s="524"/>
      <c r="D581" s="17" t="s">
        <v>21</v>
      </c>
      <c r="E581" s="18" t="s">
        <v>18</v>
      </c>
      <c r="F581" s="19">
        <v>0</v>
      </c>
      <c r="G581" s="20">
        <f>Insumos!Q24</f>
        <v>0</v>
      </c>
      <c r="H581" s="21">
        <f t="shared" si="44"/>
        <v>0</v>
      </c>
    </row>
    <row r="582" spans="2:8" x14ac:dyDescent="0.25">
      <c r="B582" s="523"/>
      <c r="C582" s="524"/>
      <c r="D582" s="17" t="s">
        <v>22</v>
      </c>
      <c r="E582" s="18" t="s">
        <v>18</v>
      </c>
      <c r="F582" s="19">
        <v>0</v>
      </c>
      <c r="G582" s="20">
        <f>Insumos!Q25</f>
        <v>0</v>
      </c>
      <c r="H582" s="21">
        <f t="shared" si="44"/>
        <v>0</v>
      </c>
    </row>
    <row r="583" spans="2:8" x14ac:dyDescent="0.25">
      <c r="B583" s="523"/>
      <c r="C583" s="524"/>
      <c r="D583" s="17" t="s">
        <v>23</v>
      </c>
      <c r="E583" s="18" t="s">
        <v>18</v>
      </c>
      <c r="F583" s="19">
        <v>0.2</v>
      </c>
      <c r="G583" s="20">
        <f>Insumos!Q26</f>
        <v>0</v>
      </c>
      <c r="H583" s="21">
        <f t="shared" si="44"/>
        <v>0</v>
      </c>
    </row>
    <row r="584" spans="2:8" x14ac:dyDescent="0.25">
      <c r="B584" s="523"/>
      <c r="C584" s="524"/>
      <c r="D584" s="17" t="s">
        <v>24</v>
      </c>
      <c r="E584" s="18" t="s">
        <v>18</v>
      </c>
      <c r="F584" s="19">
        <v>0.4</v>
      </c>
      <c r="G584" s="20">
        <f>Insumos!Q27</f>
        <v>0</v>
      </c>
      <c r="H584" s="21">
        <f t="shared" si="44"/>
        <v>0</v>
      </c>
    </row>
    <row r="585" spans="2:8" x14ac:dyDescent="0.25">
      <c r="B585" s="523"/>
      <c r="C585" s="524"/>
      <c r="D585" s="525"/>
      <c r="E585" s="526"/>
      <c r="F585" s="531" t="s">
        <v>25</v>
      </c>
      <c r="G585" s="515"/>
      <c r="H585" s="22">
        <f>SUM(H578:H584)</f>
        <v>0</v>
      </c>
    </row>
    <row r="586" spans="2:8" ht="30" x14ac:dyDescent="0.25">
      <c r="B586" s="523"/>
      <c r="C586" s="524"/>
      <c r="D586" s="527"/>
      <c r="E586" s="528"/>
      <c r="F586" s="26" t="s">
        <v>26</v>
      </c>
      <c r="G586" s="24">
        <f>Insumos!$K$28</f>
        <v>0.70109999999999995</v>
      </c>
      <c r="H586" s="25">
        <f>H585*G586</f>
        <v>0</v>
      </c>
    </row>
    <row r="587" spans="2:8" x14ac:dyDescent="0.25">
      <c r="B587" s="523"/>
      <c r="C587" s="524"/>
      <c r="D587" s="527"/>
      <c r="E587" s="528"/>
      <c r="F587" s="531" t="s">
        <v>8</v>
      </c>
      <c r="G587" s="515"/>
      <c r="H587" s="22">
        <f>H586+H585</f>
        <v>0</v>
      </c>
    </row>
    <row r="588" spans="2:8" x14ac:dyDescent="0.25">
      <c r="B588" s="523"/>
      <c r="C588" s="524"/>
      <c r="D588" s="527"/>
      <c r="E588" s="528"/>
      <c r="F588" s="26" t="s">
        <v>27</v>
      </c>
      <c r="G588" s="24">
        <f>BDI!$C$20</f>
        <v>0.2492</v>
      </c>
      <c r="H588" s="25">
        <f>H587*G588</f>
        <v>0</v>
      </c>
    </row>
    <row r="589" spans="2:8" x14ac:dyDescent="0.25">
      <c r="B589" s="523"/>
      <c r="C589" s="524"/>
      <c r="D589" s="529"/>
      <c r="E589" s="530"/>
      <c r="F589" s="514" t="s">
        <v>28</v>
      </c>
      <c r="G589" s="515"/>
      <c r="H589" s="27">
        <f>TRUNC(H588+H587,2)</f>
        <v>0</v>
      </c>
    </row>
    <row r="590" spans="2:8" x14ac:dyDescent="0.25">
      <c r="B590" s="532" t="s">
        <v>29</v>
      </c>
      <c r="C590" s="28"/>
      <c r="D590" s="13" t="s">
        <v>12</v>
      </c>
      <c r="E590" s="14" t="s">
        <v>13</v>
      </c>
      <c r="F590" s="15" t="s">
        <v>14</v>
      </c>
      <c r="G590" s="14" t="s">
        <v>15</v>
      </c>
      <c r="H590" s="52" t="s">
        <v>16</v>
      </c>
    </row>
    <row r="591" spans="2:8" x14ac:dyDescent="0.25">
      <c r="B591" s="533"/>
      <c r="C591" s="34" t="s">
        <v>154</v>
      </c>
      <c r="D591" s="43" t="s">
        <v>31</v>
      </c>
      <c r="E591" s="18" t="s">
        <v>32</v>
      </c>
      <c r="F591" s="37">
        <v>1</v>
      </c>
      <c r="G591" s="53">
        <f>'25 Disciplinadores'!K7</f>
        <v>0</v>
      </c>
      <c r="H591" s="21">
        <f t="shared" ref="H591:H596" si="45">G591*F591</f>
        <v>0</v>
      </c>
    </row>
    <row r="592" spans="2:8" x14ac:dyDescent="0.25">
      <c r="B592" s="533"/>
      <c r="C592" s="34" t="s">
        <v>155</v>
      </c>
      <c r="D592" s="43" t="s">
        <v>34</v>
      </c>
      <c r="E592" s="18" t="s">
        <v>35</v>
      </c>
      <c r="F592" s="37">
        <v>1</v>
      </c>
      <c r="G592" s="53">
        <f>'25 Disciplinadores'!K13</f>
        <v>0</v>
      </c>
      <c r="H592" s="21">
        <f t="shared" si="45"/>
        <v>0</v>
      </c>
    </row>
    <row r="593" spans="2:8" ht="30" x14ac:dyDescent="0.25">
      <c r="B593" s="543"/>
      <c r="C593" s="34" t="s">
        <v>156</v>
      </c>
      <c r="D593" s="43" t="s">
        <v>37</v>
      </c>
      <c r="E593" s="18" t="s">
        <v>32</v>
      </c>
      <c r="F593" s="37">
        <v>1</v>
      </c>
      <c r="G593" s="53">
        <f>'25 Disciplinadores'!K24</f>
        <v>0</v>
      </c>
      <c r="H593" s="21">
        <f t="shared" si="45"/>
        <v>0</v>
      </c>
    </row>
    <row r="594" spans="2:8" x14ac:dyDescent="0.25">
      <c r="B594" s="544" t="s">
        <v>38</v>
      </c>
      <c r="C594" s="34" t="s">
        <v>157</v>
      </c>
      <c r="D594" s="43" t="s">
        <v>40</v>
      </c>
      <c r="E594" s="18" t="s">
        <v>35</v>
      </c>
      <c r="F594" s="37">
        <v>1</v>
      </c>
      <c r="G594" s="53">
        <f>'25 Disciplinadores'!K29</f>
        <v>0</v>
      </c>
      <c r="H594" s="21">
        <f t="shared" si="45"/>
        <v>0</v>
      </c>
    </row>
    <row r="595" spans="2:8" x14ac:dyDescent="0.25">
      <c r="B595" s="545"/>
      <c r="C595" s="34" t="s">
        <v>158</v>
      </c>
      <c r="D595" s="43" t="s">
        <v>42</v>
      </c>
      <c r="E595" s="18" t="s">
        <v>35</v>
      </c>
      <c r="F595" s="37">
        <v>1</v>
      </c>
      <c r="G595" s="53">
        <f>'25 Disciplinadores'!K34</f>
        <v>0</v>
      </c>
      <c r="H595" s="21">
        <f t="shared" si="45"/>
        <v>0</v>
      </c>
    </row>
    <row r="596" spans="2:8" x14ac:dyDescent="0.25">
      <c r="B596" s="546"/>
      <c r="C596" s="34" t="s">
        <v>159</v>
      </c>
      <c r="D596" s="43" t="s">
        <v>44</v>
      </c>
      <c r="E596" s="18" t="s">
        <v>35</v>
      </c>
      <c r="F596" s="37">
        <v>1</v>
      </c>
      <c r="G596" s="53">
        <f>'25 Disciplinadores'!K41</f>
        <v>0</v>
      </c>
      <c r="H596" s="21">
        <f t="shared" si="45"/>
        <v>0</v>
      </c>
    </row>
    <row r="597" spans="2:8" x14ac:dyDescent="0.25">
      <c r="B597" s="534"/>
      <c r="C597" s="535"/>
      <c r="D597" s="525"/>
      <c r="E597" s="526"/>
      <c r="F597" s="531" t="s">
        <v>25</v>
      </c>
      <c r="G597" s="515"/>
      <c r="H597" s="22">
        <f>SUM(H590:H596)</f>
        <v>0</v>
      </c>
    </row>
    <row r="598" spans="2:8" x14ac:dyDescent="0.25">
      <c r="B598" s="536"/>
      <c r="C598" s="537"/>
      <c r="D598" s="527"/>
      <c r="E598" s="528"/>
      <c r="F598" s="26" t="s">
        <v>27</v>
      </c>
      <c r="G598" s="24">
        <f>BDI!$C$20</f>
        <v>0.2492</v>
      </c>
      <c r="H598" s="25">
        <f>H597*G598</f>
        <v>0</v>
      </c>
    </row>
    <row r="599" spans="2:8" x14ac:dyDescent="0.25">
      <c r="B599" s="538"/>
      <c r="C599" s="539"/>
      <c r="D599" s="529"/>
      <c r="E599" s="530"/>
      <c r="F599" s="514" t="s">
        <v>45</v>
      </c>
      <c r="G599" s="515"/>
      <c r="H599" s="27">
        <f>TRUNC(H598+H597,2)</f>
        <v>0</v>
      </c>
    </row>
    <row r="600" spans="2:8" x14ac:dyDescent="0.25">
      <c r="B600" s="516" t="s">
        <v>46</v>
      </c>
      <c r="C600" s="517"/>
      <c r="D600" s="517"/>
      <c r="E600" s="517"/>
      <c r="F600" s="517"/>
      <c r="G600" s="515"/>
      <c r="H600" s="45">
        <f>H599+H589</f>
        <v>0</v>
      </c>
    </row>
    <row r="601" spans="2:8" x14ac:dyDescent="0.25">
      <c r="B601" s="46"/>
      <c r="C601" s="47"/>
      <c r="D601" s="48"/>
      <c r="E601" s="48"/>
      <c r="F601" s="49"/>
      <c r="G601" s="48"/>
      <c r="H601" s="50"/>
    </row>
    <row r="602" spans="2:8" x14ac:dyDescent="0.25">
      <c r="B602" s="11" t="s">
        <v>12</v>
      </c>
      <c r="C602" s="12">
        <v>26</v>
      </c>
      <c r="D602" s="54" t="s">
        <v>186</v>
      </c>
      <c r="E602" s="55"/>
      <c r="F602" s="56"/>
      <c r="G602" s="57"/>
      <c r="H602" s="58"/>
    </row>
    <row r="603" spans="2:8" x14ac:dyDescent="0.25">
      <c r="B603" s="521" t="s">
        <v>11</v>
      </c>
      <c r="C603" s="522"/>
      <c r="D603" s="13" t="s">
        <v>12</v>
      </c>
      <c r="E603" s="14" t="s">
        <v>13</v>
      </c>
      <c r="F603" s="15" t="s">
        <v>14</v>
      </c>
      <c r="G603" s="14" t="s">
        <v>15</v>
      </c>
      <c r="H603" s="16" t="s">
        <v>16</v>
      </c>
    </row>
    <row r="604" spans="2:8" x14ac:dyDescent="0.25">
      <c r="B604" s="523"/>
      <c r="C604" s="524"/>
      <c r="D604" s="17" t="s">
        <v>17</v>
      </c>
      <c r="E604" s="18" t="s">
        <v>18</v>
      </c>
      <c r="F604" s="19">
        <v>0.1</v>
      </c>
      <c r="G604" s="20">
        <f>Insumos!Q21</f>
        <v>0</v>
      </c>
      <c r="H604" s="21">
        <f t="shared" ref="H604:H610" si="46">G604*F604</f>
        <v>0</v>
      </c>
    </row>
    <row r="605" spans="2:8" x14ac:dyDescent="0.25">
      <c r="B605" s="523"/>
      <c r="C605" s="524"/>
      <c r="D605" s="17" t="s">
        <v>19</v>
      </c>
      <c r="E605" s="18" t="s">
        <v>18</v>
      </c>
      <c r="F605" s="19">
        <v>0.1</v>
      </c>
      <c r="G605" s="20">
        <f>Insumos!Q22</f>
        <v>0</v>
      </c>
      <c r="H605" s="21">
        <f t="shared" si="46"/>
        <v>0</v>
      </c>
    </row>
    <row r="606" spans="2:8" x14ac:dyDescent="0.25">
      <c r="B606" s="523"/>
      <c r="C606" s="524"/>
      <c r="D606" s="17" t="s">
        <v>20</v>
      </c>
      <c r="E606" s="18" t="s">
        <v>18</v>
      </c>
      <c r="F606" s="19">
        <v>0.2</v>
      </c>
      <c r="G606" s="20">
        <f>Insumos!Q23</f>
        <v>0</v>
      </c>
      <c r="H606" s="21">
        <f t="shared" si="46"/>
        <v>0</v>
      </c>
    </row>
    <row r="607" spans="2:8" x14ac:dyDescent="0.25">
      <c r="B607" s="523"/>
      <c r="C607" s="524"/>
      <c r="D607" s="17" t="s">
        <v>21</v>
      </c>
      <c r="E607" s="18" t="s">
        <v>18</v>
      </c>
      <c r="F607" s="19">
        <v>0</v>
      </c>
      <c r="G607" s="20">
        <f>Insumos!Q24</f>
        <v>0</v>
      </c>
      <c r="H607" s="21">
        <f t="shared" si="46"/>
        <v>0</v>
      </c>
    </row>
    <row r="608" spans="2:8" x14ac:dyDescent="0.25">
      <c r="B608" s="523"/>
      <c r="C608" s="524"/>
      <c r="D608" s="17" t="s">
        <v>22</v>
      </c>
      <c r="E608" s="18" t="s">
        <v>18</v>
      </c>
      <c r="F608" s="19">
        <v>0</v>
      </c>
      <c r="G608" s="20">
        <f>Insumos!Q25</f>
        <v>0</v>
      </c>
      <c r="H608" s="21">
        <f t="shared" si="46"/>
        <v>0</v>
      </c>
    </row>
    <row r="609" spans="2:8" x14ac:dyDescent="0.25">
      <c r="B609" s="523"/>
      <c r="C609" s="524"/>
      <c r="D609" s="17" t="s">
        <v>23</v>
      </c>
      <c r="E609" s="18" t="s">
        <v>18</v>
      </c>
      <c r="F609" s="19">
        <v>0.1</v>
      </c>
      <c r="G609" s="20">
        <f>Insumos!Q26</f>
        <v>0</v>
      </c>
      <c r="H609" s="21">
        <f t="shared" si="46"/>
        <v>0</v>
      </c>
    </row>
    <row r="610" spans="2:8" x14ac:dyDescent="0.25">
      <c r="B610" s="523"/>
      <c r="C610" s="524"/>
      <c r="D610" s="17" t="s">
        <v>24</v>
      </c>
      <c r="E610" s="18" t="s">
        <v>18</v>
      </c>
      <c r="F610" s="19">
        <v>0.1</v>
      </c>
      <c r="G610" s="20">
        <f>Insumos!Q27</f>
        <v>0</v>
      </c>
      <c r="H610" s="21">
        <f t="shared" si="46"/>
        <v>0</v>
      </c>
    </row>
    <row r="611" spans="2:8" x14ac:dyDescent="0.25">
      <c r="B611" s="523"/>
      <c r="C611" s="524"/>
      <c r="D611" s="525"/>
      <c r="E611" s="526"/>
      <c r="F611" s="531" t="s">
        <v>25</v>
      </c>
      <c r="G611" s="515"/>
      <c r="H611" s="22">
        <f>SUM(H604:H610)</f>
        <v>0</v>
      </c>
    </row>
    <row r="612" spans="2:8" ht="30" x14ac:dyDescent="0.25">
      <c r="B612" s="523"/>
      <c r="C612" s="524"/>
      <c r="D612" s="527"/>
      <c r="E612" s="528"/>
      <c r="F612" s="26" t="s">
        <v>26</v>
      </c>
      <c r="G612" s="24">
        <f>Insumos!$K$28</f>
        <v>0.70109999999999995</v>
      </c>
      <c r="H612" s="25">
        <f>H611*G612</f>
        <v>0</v>
      </c>
    </row>
    <row r="613" spans="2:8" x14ac:dyDescent="0.25">
      <c r="B613" s="523"/>
      <c r="C613" s="524"/>
      <c r="D613" s="527"/>
      <c r="E613" s="528"/>
      <c r="F613" s="531" t="s">
        <v>8</v>
      </c>
      <c r="G613" s="515"/>
      <c r="H613" s="22">
        <f>H612+H611</f>
        <v>0</v>
      </c>
    </row>
    <row r="614" spans="2:8" x14ac:dyDescent="0.25">
      <c r="B614" s="523"/>
      <c r="C614" s="524"/>
      <c r="D614" s="527"/>
      <c r="E614" s="528"/>
      <c r="F614" s="26" t="s">
        <v>27</v>
      </c>
      <c r="G614" s="24">
        <f>BDI!$C$20</f>
        <v>0.2492</v>
      </c>
      <c r="H614" s="25">
        <f>H613*G614</f>
        <v>0</v>
      </c>
    </row>
    <row r="615" spans="2:8" x14ac:dyDescent="0.25">
      <c r="B615" s="523"/>
      <c r="C615" s="524"/>
      <c r="D615" s="529"/>
      <c r="E615" s="530"/>
      <c r="F615" s="514" t="s">
        <v>28</v>
      </c>
      <c r="G615" s="515"/>
      <c r="H615" s="27">
        <f>TRUNC(H614+H613,2)</f>
        <v>0</v>
      </c>
    </row>
    <row r="616" spans="2:8" x14ac:dyDescent="0.25">
      <c r="B616" s="532" t="s">
        <v>29</v>
      </c>
      <c r="C616" s="28"/>
      <c r="D616" s="13" t="s">
        <v>12</v>
      </c>
      <c r="E616" s="14" t="s">
        <v>13</v>
      </c>
      <c r="F616" s="15" t="s">
        <v>14</v>
      </c>
      <c r="G616" s="14" t="s">
        <v>15</v>
      </c>
      <c r="H616" s="52" t="s">
        <v>16</v>
      </c>
    </row>
    <row r="617" spans="2:8" x14ac:dyDescent="0.25">
      <c r="B617" s="533"/>
      <c r="C617" s="34" t="s">
        <v>161</v>
      </c>
      <c r="D617" s="43" t="s">
        <v>31</v>
      </c>
      <c r="E617" s="18" t="s">
        <v>32</v>
      </c>
      <c r="F617" s="37">
        <v>1</v>
      </c>
      <c r="G617" s="53">
        <f>'26 Barricadas'!K7</f>
        <v>0</v>
      </c>
      <c r="H617" s="21">
        <f t="shared" ref="H617:H622" si="47">G617*F617</f>
        <v>0</v>
      </c>
    </row>
    <row r="618" spans="2:8" x14ac:dyDescent="0.25">
      <c r="B618" s="533"/>
      <c r="C618" s="34" t="s">
        <v>162</v>
      </c>
      <c r="D618" s="43" t="s">
        <v>34</v>
      </c>
      <c r="E618" s="18" t="s">
        <v>35</v>
      </c>
      <c r="F618" s="37">
        <v>1</v>
      </c>
      <c r="G618" s="53">
        <f>'26 Barricadas'!K13</f>
        <v>0</v>
      </c>
      <c r="H618" s="21">
        <f t="shared" si="47"/>
        <v>0</v>
      </c>
    </row>
    <row r="619" spans="2:8" ht="30" x14ac:dyDescent="0.25">
      <c r="B619" s="543"/>
      <c r="C619" s="34" t="s">
        <v>163</v>
      </c>
      <c r="D619" s="43" t="s">
        <v>37</v>
      </c>
      <c r="E619" s="18" t="s">
        <v>32</v>
      </c>
      <c r="F619" s="37">
        <v>1</v>
      </c>
      <c r="G619" s="53">
        <f>'26 Barricadas'!K23</f>
        <v>0</v>
      </c>
      <c r="H619" s="21">
        <f t="shared" si="47"/>
        <v>0</v>
      </c>
    </row>
    <row r="620" spans="2:8" x14ac:dyDescent="0.25">
      <c r="B620" s="544" t="s">
        <v>38</v>
      </c>
      <c r="C620" s="34" t="s">
        <v>164</v>
      </c>
      <c r="D620" s="43" t="s">
        <v>40</v>
      </c>
      <c r="E620" s="18" t="s">
        <v>35</v>
      </c>
      <c r="F620" s="37">
        <v>1</v>
      </c>
      <c r="G620" s="53">
        <f>'26 Barricadas'!K28</f>
        <v>0</v>
      </c>
      <c r="H620" s="21">
        <f t="shared" si="47"/>
        <v>0</v>
      </c>
    </row>
    <row r="621" spans="2:8" x14ac:dyDescent="0.25">
      <c r="B621" s="545"/>
      <c r="C621" s="34" t="s">
        <v>165</v>
      </c>
      <c r="D621" s="43" t="s">
        <v>42</v>
      </c>
      <c r="E621" s="18" t="s">
        <v>35</v>
      </c>
      <c r="F621" s="37">
        <v>1</v>
      </c>
      <c r="G621" s="53">
        <f>'26 Barricadas'!K33</f>
        <v>0</v>
      </c>
      <c r="H621" s="21">
        <f t="shared" si="47"/>
        <v>0</v>
      </c>
    </row>
    <row r="622" spans="2:8" x14ac:dyDescent="0.25">
      <c r="B622" s="546"/>
      <c r="C622" s="34" t="s">
        <v>166</v>
      </c>
      <c r="D622" s="43" t="s">
        <v>44</v>
      </c>
      <c r="E622" s="18" t="s">
        <v>35</v>
      </c>
      <c r="F622" s="37">
        <v>1</v>
      </c>
      <c r="G622" s="53">
        <f>'26 Barricadas'!K40</f>
        <v>0</v>
      </c>
      <c r="H622" s="21">
        <f t="shared" si="47"/>
        <v>0</v>
      </c>
    </row>
    <row r="623" spans="2:8" x14ac:dyDescent="0.25">
      <c r="B623" s="534"/>
      <c r="C623" s="535"/>
      <c r="D623" s="525"/>
      <c r="E623" s="526"/>
      <c r="F623" s="531" t="s">
        <v>25</v>
      </c>
      <c r="G623" s="515"/>
      <c r="H623" s="22">
        <f>SUM(H616:H622)</f>
        <v>0</v>
      </c>
    </row>
    <row r="624" spans="2:8" x14ac:dyDescent="0.25">
      <c r="B624" s="536"/>
      <c r="C624" s="537"/>
      <c r="D624" s="527"/>
      <c r="E624" s="528"/>
      <c r="F624" s="26" t="s">
        <v>27</v>
      </c>
      <c r="G624" s="24">
        <f>BDI!$C$20</f>
        <v>0.2492</v>
      </c>
      <c r="H624" s="25">
        <f>H623*G624</f>
        <v>0</v>
      </c>
    </row>
    <row r="625" spans="2:8" x14ac:dyDescent="0.25">
      <c r="B625" s="538"/>
      <c r="C625" s="539"/>
      <c r="D625" s="529"/>
      <c r="E625" s="530"/>
      <c r="F625" s="514" t="s">
        <v>45</v>
      </c>
      <c r="G625" s="515"/>
      <c r="H625" s="27">
        <f>TRUNC(H624+H623,2)</f>
        <v>0</v>
      </c>
    </row>
    <row r="626" spans="2:8" x14ac:dyDescent="0.25">
      <c r="B626" s="516" t="s">
        <v>46</v>
      </c>
      <c r="C626" s="517"/>
      <c r="D626" s="517"/>
      <c r="E626" s="517"/>
      <c r="F626" s="517"/>
      <c r="G626" s="515"/>
      <c r="H626" s="45">
        <f>H625+H615</f>
        <v>0</v>
      </c>
    </row>
    <row r="627" spans="2:8" x14ac:dyDescent="0.25">
      <c r="B627" s="46"/>
      <c r="C627" s="47"/>
      <c r="D627" s="48"/>
      <c r="E627" s="48"/>
      <c r="F627" s="49"/>
      <c r="G627" s="48"/>
      <c r="H627" s="50"/>
    </row>
    <row r="628" spans="2:8" x14ac:dyDescent="0.25">
      <c r="B628" s="11" t="s">
        <v>12</v>
      </c>
      <c r="C628" s="12">
        <v>27</v>
      </c>
      <c r="D628" s="518" t="s">
        <v>194</v>
      </c>
      <c r="E628" s="517"/>
      <c r="F628" s="517"/>
      <c r="G628" s="517"/>
      <c r="H628" s="553"/>
    </row>
    <row r="629" spans="2:8" x14ac:dyDescent="0.25">
      <c r="B629" s="11"/>
      <c r="C629" s="12"/>
      <c r="D629" s="518" t="s">
        <v>196</v>
      </c>
      <c r="E629" s="519"/>
      <c r="F629" s="519"/>
      <c r="G629" s="519"/>
      <c r="H629" s="520"/>
    </row>
    <row r="630" spans="2:8" x14ac:dyDescent="0.25">
      <c r="B630" s="547" t="s">
        <v>11</v>
      </c>
      <c r="C630" s="548"/>
      <c r="D630" s="13" t="s">
        <v>12</v>
      </c>
      <c r="E630" s="14" t="s">
        <v>13</v>
      </c>
      <c r="F630" s="15" t="s">
        <v>14</v>
      </c>
      <c r="G630" s="14" t="s">
        <v>15</v>
      </c>
      <c r="H630" s="16" t="s">
        <v>16</v>
      </c>
    </row>
    <row r="631" spans="2:8" x14ac:dyDescent="0.25">
      <c r="B631" s="536"/>
      <c r="C631" s="537"/>
      <c r="D631" s="17" t="s">
        <v>17</v>
      </c>
      <c r="E631" s="18" t="s">
        <v>18</v>
      </c>
      <c r="F631" s="19">
        <v>0.25</v>
      </c>
      <c r="G631" s="20">
        <f>Insumos!Q21</f>
        <v>0</v>
      </c>
      <c r="H631" s="21">
        <f t="shared" ref="H631:H637" si="48">G631*F631</f>
        <v>0</v>
      </c>
    </row>
    <row r="632" spans="2:8" x14ac:dyDescent="0.25">
      <c r="B632" s="536"/>
      <c r="C632" s="537"/>
      <c r="D632" s="17" t="s">
        <v>19</v>
      </c>
      <c r="E632" s="18" t="s">
        <v>18</v>
      </c>
      <c r="F632" s="19">
        <v>1</v>
      </c>
      <c r="G632" s="20">
        <f>Insumos!Q22</f>
        <v>0</v>
      </c>
      <c r="H632" s="21">
        <f t="shared" si="48"/>
        <v>0</v>
      </c>
    </row>
    <row r="633" spans="2:8" x14ac:dyDescent="0.25">
      <c r="B633" s="536"/>
      <c r="C633" s="537"/>
      <c r="D633" s="17" t="s">
        <v>20</v>
      </c>
      <c r="E633" s="18" t="s">
        <v>18</v>
      </c>
      <c r="F633" s="19">
        <v>1</v>
      </c>
      <c r="G633" s="20">
        <f>Insumos!Q23</f>
        <v>0</v>
      </c>
      <c r="H633" s="21">
        <f t="shared" si="48"/>
        <v>0</v>
      </c>
    </row>
    <row r="634" spans="2:8" x14ac:dyDescent="0.25">
      <c r="B634" s="536"/>
      <c r="C634" s="537"/>
      <c r="D634" s="17" t="s">
        <v>21</v>
      </c>
      <c r="E634" s="18" t="s">
        <v>18</v>
      </c>
      <c r="F634" s="19">
        <v>0</v>
      </c>
      <c r="G634" s="20">
        <f>Insumos!Q24</f>
        <v>0</v>
      </c>
      <c r="H634" s="21">
        <f t="shared" si="48"/>
        <v>0</v>
      </c>
    </row>
    <row r="635" spans="2:8" x14ac:dyDescent="0.25">
      <c r="B635" s="536"/>
      <c r="C635" s="537"/>
      <c r="D635" s="17" t="s">
        <v>22</v>
      </c>
      <c r="E635" s="18" t="s">
        <v>18</v>
      </c>
      <c r="F635" s="19">
        <v>0.25</v>
      </c>
      <c r="G635" s="20">
        <f>Insumos!Q25</f>
        <v>0</v>
      </c>
      <c r="H635" s="21">
        <f t="shared" si="48"/>
        <v>0</v>
      </c>
    </row>
    <row r="636" spans="2:8" x14ac:dyDescent="0.25">
      <c r="B636" s="536"/>
      <c r="C636" s="537"/>
      <c r="D636" s="17" t="s">
        <v>23</v>
      </c>
      <c r="E636" s="18" t="s">
        <v>18</v>
      </c>
      <c r="F636" s="19">
        <v>0.25</v>
      </c>
      <c r="G636" s="20">
        <f>Insumos!Q26</f>
        <v>0</v>
      </c>
      <c r="H636" s="21">
        <f t="shared" si="48"/>
        <v>0</v>
      </c>
    </row>
    <row r="637" spans="2:8" x14ac:dyDescent="0.25">
      <c r="B637" s="536"/>
      <c r="C637" s="537"/>
      <c r="D637" s="17" t="s">
        <v>24</v>
      </c>
      <c r="E637" s="18" t="s">
        <v>18</v>
      </c>
      <c r="F637" s="19">
        <v>0.2</v>
      </c>
      <c r="G637" s="20">
        <f>Insumos!Q27</f>
        <v>0</v>
      </c>
      <c r="H637" s="21">
        <f t="shared" si="48"/>
        <v>0</v>
      </c>
    </row>
    <row r="638" spans="2:8" x14ac:dyDescent="0.25">
      <c r="B638" s="536"/>
      <c r="C638" s="537"/>
      <c r="D638" s="525"/>
      <c r="E638" s="526"/>
      <c r="F638" s="531" t="s">
        <v>25</v>
      </c>
      <c r="G638" s="515"/>
      <c r="H638" s="22">
        <f>SUM(H630:H637)</f>
        <v>0</v>
      </c>
    </row>
    <row r="639" spans="2:8" ht="30" x14ac:dyDescent="0.25">
      <c r="B639" s="536"/>
      <c r="C639" s="537"/>
      <c r="D639" s="527"/>
      <c r="E639" s="528"/>
      <c r="F639" s="26" t="s">
        <v>26</v>
      </c>
      <c r="G639" s="24">
        <f>Insumos!$K$28</f>
        <v>0.70109999999999995</v>
      </c>
      <c r="H639" s="25">
        <f>H638*G639</f>
        <v>0</v>
      </c>
    </row>
    <row r="640" spans="2:8" x14ac:dyDescent="0.25">
      <c r="B640" s="536"/>
      <c r="C640" s="537"/>
      <c r="D640" s="527"/>
      <c r="E640" s="528"/>
      <c r="F640" s="531" t="s">
        <v>8</v>
      </c>
      <c r="G640" s="515"/>
      <c r="H640" s="22">
        <f>H639+H638</f>
        <v>0</v>
      </c>
    </row>
    <row r="641" spans="2:8" x14ac:dyDescent="0.25">
      <c r="B641" s="536"/>
      <c r="C641" s="537"/>
      <c r="D641" s="527"/>
      <c r="E641" s="528"/>
      <c r="F641" s="26" t="s">
        <v>27</v>
      </c>
      <c r="G641" s="24">
        <f>BDI!$C$20</f>
        <v>0.2492</v>
      </c>
      <c r="H641" s="25">
        <f>H640*G641</f>
        <v>0</v>
      </c>
    </row>
    <row r="642" spans="2:8" x14ac:dyDescent="0.25">
      <c r="B642" s="538"/>
      <c r="C642" s="539"/>
      <c r="D642" s="529"/>
      <c r="E642" s="530"/>
      <c r="F642" s="514" t="s">
        <v>28</v>
      </c>
      <c r="G642" s="515"/>
      <c r="H642" s="27">
        <f>TRUNC(H641+H640,2)</f>
        <v>0</v>
      </c>
    </row>
    <row r="643" spans="2:8" x14ac:dyDescent="0.25">
      <c r="B643" s="532" t="s">
        <v>29</v>
      </c>
      <c r="C643" s="34"/>
      <c r="D643" s="13" t="s">
        <v>12</v>
      </c>
      <c r="E643" s="14" t="s">
        <v>13</v>
      </c>
      <c r="F643" s="15" t="s">
        <v>14</v>
      </c>
      <c r="G643" s="14" t="s">
        <v>15</v>
      </c>
      <c r="H643" s="52" t="s">
        <v>16</v>
      </c>
    </row>
    <row r="644" spans="2:8" x14ac:dyDescent="0.25">
      <c r="B644" s="533"/>
      <c r="C644" s="34" t="s">
        <v>171</v>
      </c>
      <c r="D644" s="43" t="s">
        <v>31</v>
      </c>
      <c r="E644" s="18" t="s">
        <v>32</v>
      </c>
      <c r="F644" s="37">
        <v>1</v>
      </c>
      <c r="G644" s="53">
        <f>'27 Barracas_ I'!K7</f>
        <v>0</v>
      </c>
      <c r="H644" s="21">
        <f t="shared" ref="H644:H649" si="49">G644*F644</f>
        <v>0</v>
      </c>
    </row>
    <row r="645" spans="2:8" x14ac:dyDescent="0.25">
      <c r="B645" s="533"/>
      <c r="C645" s="34" t="s">
        <v>172</v>
      </c>
      <c r="D645" s="43" t="s">
        <v>34</v>
      </c>
      <c r="E645" s="18" t="s">
        <v>35</v>
      </c>
      <c r="F645" s="37">
        <v>1</v>
      </c>
      <c r="G645" s="53">
        <f>'27 Barracas_ I'!K13</f>
        <v>0</v>
      </c>
      <c r="H645" s="21">
        <f t="shared" si="49"/>
        <v>0</v>
      </c>
    </row>
    <row r="646" spans="2:8" ht="30" x14ac:dyDescent="0.25">
      <c r="B646" s="543"/>
      <c r="C646" s="34" t="s">
        <v>173</v>
      </c>
      <c r="D646" s="43" t="s">
        <v>37</v>
      </c>
      <c r="E646" s="18" t="s">
        <v>32</v>
      </c>
      <c r="F646" s="37">
        <v>1</v>
      </c>
      <c r="G646" s="53">
        <f>'27 Barracas_ I'!K23</f>
        <v>0</v>
      </c>
      <c r="H646" s="21">
        <f t="shared" si="49"/>
        <v>0</v>
      </c>
    </row>
    <row r="647" spans="2:8" x14ac:dyDescent="0.25">
      <c r="B647" s="544" t="s">
        <v>38</v>
      </c>
      <c r="C647" s="34" t="s">
        <v>174</v>
      </c>
      <c r="D647" s="43" t="s">
        <v>40</v>
      </c>
      <c r="E647" s="18" t="s">
        <v>35</v>
      </c>
      <c r="F647" s="37">
        <v>1</v>
      </c>
      <c r="G647" s="53">
        <f>'27 Barracas_ I'!K28</f>
        <v>0</v>
      </c>
      <c r="H647" s="21">
        <f t="shared" si="49"/>
        <v>0</v>
      </c>
    </row>
    <row r="648" spans="2:8" x14ac:dyDescent="0.25">
      <c r="B648" s="545"/>
      <c r="C648" s="34" t="s">
        <v>175</v>
      </c>
      <c r="D648" s="43" t="s">
        <v>42</v>
      </c>
      <c r="E648" s="18" t="s">
        <v>35</v>
      </c>
      <c r="F648" s="37">
        <v>1</v>
      </c>
      <c r="G648" s="53">
        <f>'27 Barracas_ I'!K33</f>
        <v>0</v>
      </c>
      <c r="H648" s="21">
        <f t="shared" si="49"/>
        <v>0</v>
      </c>
    </row>
    <row r="649" spans="2:8" x14ac:dyDescent="0.25">
      <c r="B649" s="546"/>
      <c r="C649" s="34" t="s">
        <v>176</v>
      </c>
      <c r="D649" s="43" t="s">
        <v>44</v>
      </c>
      <c r="E649" s="18" t="s">
        <v>35</v>
      </c>
      <c r="F649" s="37">
        <v>1</v>
      </c>
      <c r="G649" s="53">
        <f>'27 Barracas_ I'!K40</f>
        <v>0</v>
      </c>
      <c r="H649" s="21">
        <f t="shared" si="49"/>
        <v>0</v>
      </c>
    </row>
    <row r="650" spans="2:8" x14ac:dyDescent="0.25">
      <c r="B650" s="549"/>
      <c r="C650" s="550"/>
      <c r="D650" s="525"/>
      <c r="E650" s="526"/>
      <c r="F650" s="531" t="s">
        <v>25</v>
      </c>
      <c r="G650" s="515"/>
      <c r="H650" s="22">
        <f>SUM(H643:H649)</f>
        <v>0</v>
      </c>
    </row>
    <row r="651" spans="2:8" x14ac:dyDescent="0.25">
      <c r="B651" s="549"/>
      <c r="C651" s="550"/>
      <c r="D651" s="527"/>
      <c r="E651" s="528"/>
      <c r="F651" s="26" t="s">
        <v>27</v>
      </c>
      <c r="G651" s="24">
        <f>BDI!$C$20</f>
        <v>0.2492</v>
      </c>
      <c r="H651" s="25">
        <f>H650*G651</f>
        <v>0</v>
      </c>
    </row>
    <row r="652" spans="2:8" x14ac:dyDescent="0.25">
      <c r="B652" s="551"/>
      <c r="C652" s="552"/>
      <c r="D652" s="529"/>
      <c r="E652" s="530"/>
      <c r="F652" s="514" t="s">
        <v>45</v>
      </c>
      <c r="G652" s="515"/>
      <c r="H652" s="27">
        <f>TRUNC(H651+H650,2)</f>
        <v>0</v>
      </c>
    </row>
    <row r="653" spans="2:8" x14ac:dyDescent="0.25">
      <c r="B653" s="516" t="s">
        <v>46</v>
      </c>
      <c r="C653" s="517"/>
      <c r="D653" s="517"/>
      <c r="E653" s="517"/>
      <c r="F653" s="517"/>
      <c r="G653" s="515"/>
      <c r="H653" s="45">
        <f>H652+H642</f>
        <v>0</v>
      </c>
    </row>
    <row r="654" spans="2:8" x14ac:dyDescent="0.25">
      <c r="B654" s="46"/>
      <c r="C654" s="47"/>
      <c r="D654" s="48"/>
      <c r="E654" s="48"/>
      <c r="F654" s="49"/>
      <c r="G654" s="48"/>
      <c r="H654" s="50"/>
    </row>
    <row r="655" spans="2:8" x14ac:dyDescent="0.25">
      <c r="B655" s="11" t="s">
        <v>12</v>
      </c>
      <c r="C655" s="12">
        <v>28</v>
      </c>
      <c r="D655" s="518" t="s">
        <v>203</v>
      </c>
      <c r="E655" s="517"/>
      <c r="F655" s="517"/>
      <c r="G655" s="517"/>
      <c r="H655" s="553"/>
    </row>
    <row r="656" spans="2:8" x14ac:dyDescent="0.25">
      <c r="B656" s="11"/>
      <c r="C656" s="12"/>
      <c r="D656" s="518" t="s">
        <v>205</v>
      </c>
      <c r="E656" s="519"/>
      <c r="F656" s="519"/>
      <c r="G656" s="519"/>
      <c r="H656" s="520"/>
    </row>
    <row r="657" spans="2:8" x14ac:dyDescent="0.25">
      <c r="B657" s="547" t="s">
        <v>11</v>
      </c>
      <c r="C657" s="548"/>
      <c r="D657" s="13" t="s">
        <v>12</v>
      </c>
      <c r="E657" s="14" t="s">
        <v>13</v>
      </c>
      <c r="F657" s="15" t="s">
        <v>14</v>
      </c>
      <c r="G657" s="14" t="s">
        <v>15</v>
      </c>
      <c r="H657" s="16" t="s">
        <v>16</v>
      </c>
    </row>
    <row r="658" spans="2:8" x14ac:dyDescent="0.25">
      <c r="B658" s="536"/>
      <c r="C658" s="537"/>
      <c r="D658" s="17" t="s">
        <v>17</v>
      </c>
      <c r="E658" s="18" t="s">
        <v>18</v>
      </c>
      <c r="F658" s="19">
        <v>0.5</v>
      </c>
      <c r="G658" s="20">
        <f>Insumos!Q21</f>
        <v>0</v>
      </c>
      <c r="H658" s="21">
        <f t="shared" ref="H658:H664" si="50">G658*F658</f>
        <v>0</v>
      </c>
    </row>
    <row r="659" spans="2:8" x14ac:dyDescent="0.25">
      <c r="B659" s="536"/>
      <c r="C659" s="537"/>
      <c r="D659" s="17" t="s">
        <v>19</v>
      </c>
      <c r="E659" s="18" t="s">
        <v>18</v>
      </c>
      <c r="F659" s="19">
        <v>2.5</v>
      </c>
      <c r="G659" s="20">
        <f>Insumos!Q22</f>
        <v>0</v>
      </c>
      <c r="H659" s="21">
        <f t="shared" si="50"/>
        <v>0</v>
      </c>
    </row>
    <row r="660" spans="2:8" x14ac:dyDescent="0.25">
      <c r="B660" s="536"/>
      <c r="C660" s="537"/>
      <c r="D660" s="17" t="s">
        <v>20</v>
      </c>
      <c r="E660" s="18" t="s">
        <v>18</v>
      </c>
      <c r="F660" s="19">
        <v>2.5</v>
      </c>
      <c r="G660" s="20">
        <f>Insumos!Q23</f>
        <v>0</v>
      </c>
      <c r="H660" s="21">
        <f t="shared" si="50"/>
        <v>0</v>
      </c>
    </row>
    <row r="661" spans="2:8" x14ac:dyDescent="0.25">
      <c r="B661" s="536"/>
      <c r="C661" s="537"/>
      <c r="D661" s="17" t="s">
        <v>21</v>
      </c>
      <c r="E661" s="18" t="s">
        <v>18</v>
      </c>
      <c r="F661" s="19">
        <v>0</v>
      </c>
      <c r="G661" s="20">
        <f>Insumos!Q24</f>
        <v>0</v>
      </c>
      <c r="H661" s="21">
        <f t="shared" si="50"/>
        <v>0</v>
      </c>
    </row>
    <row r="662" spans="2:8" x14ac:dyDescent="0.25">
      <c r="B662" s="536"/>
      <c r="C662" s="537"/>
      <c r="D662" s="17" t="s">
        <v>22</v>
      </c>
      <c r="E662" s="18" t="s">
        <v>18</v>
      </c>
      <c r="F662" s="19">
        <v>1</v>
      </c>
      <c r="G662" s="20">
        <f>Insumos!Q25</f>
        <v>0</v>
      </c>
      <c r="H662" s="21">
        <f t="shared" si="50"/>
        <v>0</v>
      </c>
    </row>
    <row r="663" spans="2:8" x14ac:dyDescent="0.25">
      <c r="B663" s="536"/>
      <c r="C663" s="537"/>
      <c r="D663" s="17" t="s">
        <v>23</v>
      </c>
      <c r="E663" s="18" t="s">
        <v>18</v>
      </c>
      <c r="F663" s="19">
        <v>1</v>
      </c>
      <c r="G663" s="20">
        <f>Insumos!Q26</f>
        <v>0</v>
      </c>
      <c r="H663" s="21">
        <f t="shared" si="50"/>
        <v>0</v>
      </c>
    </row>
    <row r="664" spans="2:8" x14ac:dyDescent="0.25">
      <c r="B664" s="536"/>
      <c r="C664" s="537"/>
      <c r="D664" s="17" t="s">
        <v>24</v>
      </c>
      <c r="E664" s="18" t="s">
        <v>18</v>
      </c>
      <c r="F664" s="19">
        <v>1</v>
      </c>
      <c r="G664" s="20">
        <f>Insumos!Q27</f>
        <v>0</v>
      </c>
      <c r="H664" s="21">
        <f t="shared" si="50"/>
        <v>0</v>
      </c>
    </row>
    <row r="665" spans="2:8" x14ac:dyDescent="0.25">
      <c r="B665" s="536"/>
      <c r="C665" s="537"/>
      <c r="D665" s="525"/>
      <c r="E665" s="526"/>
      <c r="F665" s="531" t="s">
        <v>25</v>
      </c>
      <c r="G665" s="515"/>
      <c r="H665" s="22">
        <f>SUM(H657:H664)</f>
        <v>0</v>
      </c>
    </row>
    <row r="666" spans="2:8" ht="30" x14ac:dyDescent="0.25">
      <c r="B666" s="536"/>
      <c r="C666" s="537"/>
      <c r="D666" s="527"/>
      <c r="E666" s="528"/>
      <c r="F666" s="26" t="s">
        <v>26</v>
      </c>
      <c r="G666" s="24">
        <f>Insumos!$K$28</f>
        <v>0.70109999999999995</v>
      </c>
      <c r="H666" s="25">
        <f>H665*G666</f>
        <v>0</v>
      </c>
    </row>
    <row r="667" spans="2:8" x14ac:dyDescent="0.25">
      <c r="B667" s="536"/>
      <c r="C667" s="537"/>
      <c r="D667" s="527"/>
      <c r="E667" s="528"/>
      <c r="F667" s="531" t="s">
        <v>8</v>
      </c>
      <c r="G667" s="515"/>
      <c r="H667" s="22">
        <f>H666+H665</f>
        <v>0</v>
      </c>
    </row>
    <row r="668" spans="2:8" x14ac:dyDescent="0.25">
      <c r="B668" s="536"/>
      <c r="C668" s="537"/>
      <c r="D668" s="527"/>
      <c r="E668" s="528"/>
      <c r="F668" s="26" t="s">
        <v>27</v>
      </c>
      <c r="G668" s="24">
        <f>BDI!$C$20</f>
        <v>0.2492</v>
      </c>
      <c r="H668" s="25">
        <f>H667*G668</f>
        <v>0</v>
      </c>
    </row>
    <row r="669" spans="2:8" x14ac:dyDescent="0.25">
      <c r="B669" s="538"/>
      <c r="C669" s="539"/>
      <c r="D669" s="529"/>
      <c r="E669" s="530"/>
      <c r="F669" s="514" t="s">
        <v>28</v>
      </c>
      <c r="G669" s="515"/>
      <c r="H669" s="27">
        <f>TRUNC(H668+H667,2)</f>
        <v>0</v>
      </c>
    </row>
    <row r="670" spans="2:8" x14ac:dyDescent="0.25">
      <c r="B670" s="532" t="s">
        <v>29</v>
      </c>
      <c r="C670" s="34"/>
      <c r="D670" s="13" t="s">
        <v>12</v>
      </c>
      <c r="E670" s="14" t="s">
        <v>13</v>
      </c>
      <c r="F670" s="15" t="s">
        <v>14</v>
      </c>
      <c r="G670" s="14" t="s">
        <v>15</v>
      </c>
      <c r="H670" s="52" t="s">
        <v>16</v>
      </c>
    </row>
    <row r="671" spans="2:8" x14ac:dyDescent="0.25">
      <c r="B671" s="533"/>
      <c r="C671" s="34" t="s">
        <v>179</v>
      </c>
      <c r="D671" s="43" t="s">
        <v>31</v>
      </c>
      <c r="E671" s="18" t="s">
        <v>32</v>
      </c>
      <c r="F671" s="37">
        <v>1</v>
      </c>
      <c r="G671" s="53">
        <f>'28 Barracas_II'!K7</f>
        <v>0</v>
      </c>
      <c r="H671" s="21">
        <f t="shared" ref="H671:H676" si="51">G671*F671</f>
        <v>0</v>
      </c>
    </row>
    <row r="672" spans="2:8" x14ac:dyDescent="0.25">
      <c r="B672" s="533"/>
      <c r="C672" s="34" t="s">
        <v>180</v>
      </c>
      <c r="D672" s="43" t="s">
        <v>34</v>
      </c>
      <c r="E672" s="18" t="s">
        <v>35</v>
      </c>
      <c r="F672" s="37">
        <v>1</v>
      </c>
      <c r="G672" s="53">
        <f>'28 Barracas_II'!K13</f>
        <v>0</v>
      </c>
      <c r="H672" s="21">
        <f t="shared" si="51"/>
        <v>0</v>
      </c>
    </row>
    <row r="673" spans="2:8" ht="30" x14ac:dyDescent="0.25">
      <c r="B673" s="543"/>
      <c r="C673" s="34" t="s">
        <v>181</v>
      </c>
      <c r="D673" s="43" t="s">
        <v>37</v>
      </c>
      <c r="E673" s="18" t="s">
        <v>32</v>
      </c>
      <c r="F673" s="37">
        <v>1</v>
      </c>
      <c r="G673" s="53">
        <f>'28 Barracas_II'!K23</f>
        <v>0</v>
      </c>
      <c r="H673" s="21">
        <f t="shared" si="51"/>
        <v>0</v>
      </c>
    </row>
    <row r="674" spans="2:8" x14ac:dyDescent="0.25">
      <c r="B674" s="544" t="s">
        <v>38</v>
      </c>
      <c r="C674" s="34" t="s">
        <v>182</v>
      </c>
      <c r="D674" s="43" t="s">
        <v>40</v>
      </c>
      <c r="E674" s="18" t="s">
        <v>35</v>
      </c>
      <c r="F674" s="37">
        <v>1</v>
      </c>
      <c r="G674" s="53">
        <f>'28 Barracas_II'!K28</f>
        <v>0</v>
      </c>
      <c r="H674" s="21">
        <f t="shared" si="51"/>
        <v>0</v>
      </c>
    </row>
    <row r="675" spans="2:8" x14ac:dyDescent="0.25">
      <c r="B675" s="545"/>
      <c r="C675" s="34" t="s">
        <v>183</v>
      </c>
      <c r="D675" s="43" t="s">
        <v>42</v>
      </c>
      <c r="E675" s="18" t="s">
        <v>35</v>
      </c>
      <c r="F675" s="37">
        <v>1</v>
      </c>
      <c r="G675" s="53">
        <f>'28 Barracas_II'!K33</f>
        <v>0</v>
      </c>
      <c r="H675" s="21">
        <f t="shared" si="51"/>
        <v>0</v>
      </c>
    </row>
    <row r="676" spans="2:8" x14ac:dyDescent="0.25">
      <c r="B676" s="546"/>
      <c r="C676" s="34" t="s">
        <v>184</v>
      </c>
      <c r="D676" s="43" t="s">
        <v>44</v>
      </c>
      <c r="E676" s="18" t="s">
        <v>35</v>
      </c>
      <c r="F676" s="37">
        <v>1</v>
      </c>
      <c r="G676" s="53">
        <f>'28 Barracas_II'!K40</f>
        <v>0</v>
      </c>
      <c r="H676" s="21">
        <f t="shared" si="51"/>
        <v>0</v>
      </c>
    </row>
    <row r="677" spans="2:8" x14ac:dyDescent="0.25">
      <c r="B677" s="549"/>
      <c r="C677" s="550"/>
      <c r="D677" s="525"/>
      <c r="E677" s="526"/>
      <c r="F677" s="531" t="s">
        <v>25</v>
      </c>
      <c r="G677" s="515"/>
      <c r="H677" s="22">
        <f>SUM(H670:H676)</f>
        <v>0</v>
      </c>
    </row>
    <row r="678" spans="2:8" x14ac:dyDescent="0.25">
      <c r="B678" s="549"/>
      <c r="C678" s="550"/>
      <c r="D678" s="527"/>
      <c r="E678" s="528"/>
      <c r="F678" s="26" t="s">
        <v>27</v>
      </c>
      <c r="G678" s="24">
        <f>BDI!$C$20</f>
        <v>0.2492</v>
      </c>
      <c r="H678" s="25">
        <f>H677*G678</f>
        <v>0</v>
      </c>
    </row>
    <row r="679" spans="2:8" x14ac:dyDescent="0.25">
      <c r="B679" s="551"/>
      <c r="C679" s="552"/>
      <c r="D679" s="529"/>
      <c r="E679" s="530"/>
      <c r="F679" s="514" t="s">
        <v>45</v>
      </c>
      <c r="G679" s="515"/>
      <c r="H679" s="27">
        <f>TRUNC(H678+H677,2)</f>
        <v>0</v>
      </c>
    </row>
    <row r="680" spans="2:8" x14ac:dyDescent="0.25">
      <c r="B680" s="516" t="s">
        <v>46</v>
      </c>
      <c r="C680" s="517"/>
      <c r="D680" s="517"/>
      <c r="E680" s="517"/>
      <c r="F680" s="517"/>
      <c r="G680" s="515"/>
      <c r="H680" s="45">
        <f>H679+H669</f>
        <v>0</v>
      </c>
    </row>
    <row r="681" spans="2:8" x14ac:dyDescent="0.25">
      <c r="B681" s="46"/>
      <c r="C681" s="47"/>
      <c r="D681" s="48"/>
      <c r="E681" s="48"/>
      <c r="F681" s="49"/>
      <c r="G681" s="48"/>
      <c r="H681" s="50"/>
    </row>
    <row r="682" spans="2:8" x14ac:dyDescent="0.25">
      <c r="B682" s="11"/>
      <c r="C682" s="12"/>
      <c r="D682" s="518" t="s">
        <v>136</v>
      </c>
      <c r="E682" s="517"/>
      <c r="F682" s="517"/>
      <c r="G682" s="517"/>
      <c r="H682" s="553"/>
    </row>
    <row r="683" spans="2:8" x14ac:dyDescent="0.25">
      <c r="B683" s="11" t="s">
        <v>12</v>
      </c>
      <c r="C683" s="12">
        <v>29</v>
      </c>
      <c r="D683" s="54" t="s">
        <v>138</v>
      </c>
      <c r="E683" s="55"/>
      <c r="F683" s="56"/>
      <c r="G683" s="57"/>
      <c r="H683" s="58"/>
    </row>
    <row r="684" spans="2:8" x14ac:dyDescent="0.25">
      <c r="B684" s="521" t="s">
        <v>11</v>
      </c>
      <c r="C684" s="522"/>
      <c r="D684" s="13" t="s">
        <v>12</v>
      </c>
      <c r="E684" s="14" t="s">
        <v>13</v>
      </c>
      <c r="F684" s="15" t="s">
        <v>14</v>
      </c>
      <c r="G684" s="14" t="s">
        <v>15</v>
      </c>
      <c r="H684" s="16" t="s">
        <v>16</v>
      </c>
    </row>
    <row r="685" spans="2:8" x14ac:dyDescent="0.25">
      <c r="B685" s="523"/>
      <c r="C685" s="524"/>
      <c r="D685" s="17" t="s">
        <v>17</v>
      </c>
      <c r="E685" s="18" t="s">
        <v>18</v>
      </c>
      <c r="F685" s="19">
        <v>24</v>
      </c>
      <c r="G685" s="20">
        <f>Insumos!Q21</f>
        <v>0</v>
      </c>
      <c r="H685" s="21">
        <f t="shared" ref="H685:H691" si="52">G685*F685</f>
        <v>0</v>
      </c>
    </row>
    <row r="686" spans="2:8" x14ac:dyDescent="0.25">
      <c r="B686" s="523"/>
      <c r="C686" s="524"/>
      <c r="D686" s="17" t="s">
        <v>19</v>
      </c>
      <c r="E686" s="18" t="s">
        <v>18</v>
      </c>
      <c r="F686" s="19">
        <v>300</v>
      </c>
      <c r="G686" s="20">
        <f>Insumos!Q22</f>
        <v>0</v>
      </c>
      <c r="H686" s="21">
        <f t="shared" si="52"/>
        <v>0</v>
      </c>
    </row>
    <row r="687" spans="2:8" x14ac:dyDescent="0.25">
      <c r="B687" s="523"/>
      <c r="C687" s="524"/>
      <c r="D687" s="17" t="s">
        <v>20</v>
      </c>
      <c r="E687" s="18" t="s">
        <v>18</v>
      </c>
      <c r="F687" s="19">
        <v>300</v>
      </c>
      <c r="G687" s="20">
        <f>Insumos!Q23</f>
        <v>0</v>
      </c>
      <c r="H687" s="21">
        <f t="shared" si="52"/>
        <v>0</v>
      </c>
    </row>
    <row r="688" spans="2:8" x14ac:dyDescent="0.25">
      <c r="B688" s="523"/>
      <c r="C688" s="524"/>
      <c r="D688" s="17" t="s">
        <v>21</v>
      </c>
      <c r="E688" s="18" t="s">
        <v>18</v>
      </c>
      <c r="F688" s="19">
        <v>300</v>
      </c>
      <c r="G688" s="20">
        <f>Insumos!Q24</f>
        <v>0</v>
      </c>
      <c r="H688" s="21">
        <f t="shared" si="52"/>
        <v>0</v>
      </c>
    </row>
    <row r="689" spans="2:8" x14ac:dyDescent="0.25">
      <c r="B689" s="523"/>
      <c r="C689" s="524"/>
      <c r="D689" s="17" t="s">
        <v>22</v>
      </c>
      <c r="E689" s="18" t="s">
        <v>18</v>
      </c>
      <c r="F689" s="19">
        <v>24</v>
      </c>
      <c r="G689" s="20">
        <f>Insumos!Q25</f>
        <v>0</v>
      </c>
      <c r="H689" s="21">
        <f t="shared" si="52"/>
        <v>0</v>
      </c>
    </row>
    <row r="690" spans="2:8" x14ac:dyDescent="0.25">
      <c r="B690" s="523"/>
      <c r="C690" s="524"/>
      <c r="D690" s="17" t="s">
        <v>23</v>
      </c>
      <c r="E690" s="18" t="s">
        <v>18</v>
      </c>
      <c r="F690" s="19">
        <v>72</v>
      </c>
      <c r="G690" s="20">
        <f>Insumos!Q26</f>
        <v>0</v>
      </c>
      <c r="H690" s="21">
        <f t="shared" si="52"/>
        <v>0</v>
      </c>
    </row>
    <row r="691" spans="2:8" x14ac:dyDescent="0.25">
      <c r="B691" s="523"/>
      <c r="C691" s="524"/>
      <c r="D691" s="17" t="s">
        <v>24</v>
      </c>
      <c r="E691" s="18" t="s">
        <v>18</v>
      </c>
      <c r="F691" s="19">
        <v>72</v>
      </c>
      <c r="G691" s="20">
        <f>Insumos!Q27</f>
        <v>0</v>
      </c>
      <c r="H691" s="21">
        <f t="shared" si="52"/>
        <v>0</v>
      </c>
    </row>
    <row r="692" spans="2:8" x14ac:dyDescent="0.25">
      <c r="B692" s="523"/>
      <c r="C692" s="524"/>
      <c r="D692" s="525"/>
      <c r="E692" s="526"/>
      <c r="F692" s="531" t="s">
        <v>25</v>
      </c>
      <c r="G692" s="515"/>
      <c r="H692" s="22">
        <f>SUM(H685:H691)</f>
        <v>0</v>
      </c>
    </row>
    <row r="693" spans="2:8" ht="30" x14ac:dyDescent="0.25">
      <c r="B693" s="523"/>
      <c r="C693" s="524"/>
      <c r="D693" s="527"/>
      <c r="E693" s="528"/>
      <c r="F693" s="26" t="s">
        <v>26</v>
      </c>
      <c r="G693" s="24">
        <f>Insumos!$K$28</f>
        <v>0.70109999999999995</v>
      </c>
      <c r="H693" s="25">
        <f>H692*G693</f>
        <v>0</v>
      </c>
    </row>
    <row r="694" spans="2:8" x14ac:dyDescent="0.25">
      <c r="B694" s="523"/>
      <c r="C694" s="524"/>
      <c r="D694" s="527"/>
      <c r="E694" s="528"/>
      <c r="F694" s="531" t="s">
        <v>8</v>
      </c>
      <c r="G694" s="515"/>
      <c r="H694" s="22">
        <f>H693+H692</f>
        <v>0</v>
      </c>
    </row>
    <row r="695" spans="2:8" x14ac:dyDescent="0.25">
      <c r="B695" s="523"/>
      <c r="C695" s="524"/>
      <c r="D695" s="527"/>
      <c r="E695" s="528"/>
      <c r="F695" s="26" t="s">
        <v>27</v>
      </c>
      <c r="G695" s="24">
        <f>BDI!$C$20</f>
        <v>0.2492</v>
      </c>
      <c r="H695" s="25">
        <f>H694*G695</f>
        <v>0</v>
      </c>
    </row>
    <row r="696" spans="2:8" x14ac:dyDescent="0.25">
      <c r="B696" s="523"/>
      <c r="C696" s="524"/>
      <c r="D696" s="529"/>
      <c r="E696" s="530"/>
      <c r="F696" s="514" t="s">
        <v>28</v>
      </c>
      <c r="G696" s="515"/>
      <c r="H696" s="27">
        <f>TRUNC(H695+H694,2)</f>
        <v>0</v>
      </c>
    </row>
    <row r="697" spans="2:8" x14ac:dyDescent="0.25">
      <c r="B697" s="532" t="s">
        <v>29</v>
      </c>
      <c r="C697" s="28"/>
      <c r="D697" s="13" t="s">
        <v>12</v>
      </c>
      <c r="E697" s="14" t="s">
        <v>13</v>
      </c>
      <c r="F697" s="15" t="s">
        <v>14</v>
      </c>
      <c r="G697" s="14" t="s">
        <v>15</v>
      </c>
      <c r="H697" s="52" t="s">
        <v>16</v>
      </c>
    </row>
    <row r="698" spans="2:8" x14ac:dyDescent="0.25">
      <c r="B698" s="533"/>
      <c r="C698" s="34" t="s">
        <v>187</v>
      </c>
      <c r="D698" s="43" t="s">
        <v>31</v>
      </c>
      <c r="E698" s="18" t="s">
        <v>32</v>
      </c>
      <c r="F698" s="37">
        <v>1</v>
      </c>
      <c r="G698" s="53">
        <f>'29 Passarela Tipo I'!K10</f>
        <v>0</v>
      </c>
      <c r="H698" s="21">
        <f t="shared" ref="H698:H703" si="53">G698*F698</f>
        <v>0</v>
      </c>
    </row>
    <row r="699" spans="2:8" x14ac:dyDescent="0.25">
      <c r="B699" s="533"/>
      <c r="C699" s="34" t="s">
        <v>188</v>
      </c>
      <c r="D699" s="43" t="s">
        <v>34</v>
      </c>
      <c r="E699" s="18" t="s">
        <v>35</v>
      </c>
      <c r="F699" s="37">
        <v>1</v>
      </c>
      <c r="G699" s="53">
        <f>'29 Passarela Tipo I'!K20</f>
        <v>0</v>
      </c>
      <c r="H699" s="21">
        <f t="shared" si="53"/>
        <v>0</v>
      </c>
    </row>
    <row r="700" spans="2:8" ht="30" x14ac:dyDescent="0.25">
      <c r="B700" s="543"/>
      <c r="C700" s="34" t="s">
        <v>189</v>
      </c>
      <c r="D700" s="43" t="s">
        <v>37</v>
      </c>
      <c r="E700" s="18" t="s">
        <v>32</v>
      </c>
      <c r="F700" s="37">
        <v>1</v>
      </c>
      <c r="G700" s="53">
        <f>'29 Passarela Tipo I'!K35</f>
        <v>0</v>
      </c>
      <c r="H700" s="21">
        <f t="shared" si="53"/>
        <v>0</v>
      </c>
    </row>
    <row r="701" spans="2:8" x14ac:dyDescent="0.25">
      <c r="B701" s="544" t="s">
        <v>38</v>
      </c>
      <c r="C701" s="34" t="s">
        <v>190</v>
      </c>
      <c r="D701" s="43" t="s">
        <v>40</v>
      </c>
      <c r="E701" s="18" t="s">
        <v>35</v>
      </c>
      <c r="F701" s="37">
        <v>1</v>
      </c>
      <c r="G701" s="53">
        <f>'29 Passarela Tipo I'!K40</f>
        <v>0</v>
      </c>
      <c r="H701" s="21">
        <f t="shared" si="53"/>
        <v>0</v>
      </c>
    </row>
    <row r="702" spans="2:8" x14ac:dyDescent="0.25">
      <c r="B702" s="545"/>
      <c r="C702" s="34" t="s">
        <v>191</v>
      </c>
      <c r="D702" s="43" t="s">
        <v>42</v>
      </c>
      <c r="E702" s="18" t="s">
        <v>35</v>
      </c>
      <c r="F702" s="37">
        <v>1</v>
      </c>
      <c r="G702" s="53">
        <f>'29 Passarela Tipo I'!K45</f>
        <v>0</v>
      </c>
      <c r="H702" s="21">
        <f t="shared" si="53"/>
        <v>0</v>
      </c>
    </row>
    <row r="703" spans="2:8" x14ac:dyDescent="0.25">
      <c r="B703" s="546"/>
      <c r="C703" s="34" t="s">
        <v>192</v>
      </c>
      <c r="D703" s="43" t="s">
        <v>44</v>
      </c>
      <c r="E703" s="18" t="s">
        <v>35</v>
      </c>
      <c r="F703" s="37">
        <v>1</v>
      </c>
      <c r="G703" s="53">
        <f>'29 Passarela Tipo I'!K52</f>
        <v>0</v>
      </c>
      <c r="H703" s="21">
        <f t="shared" si="53"/>
        <v>0</v>
      </c>
    </row>
    <row r="704" spans="2:8" x14ac:dyDescent="0.25">
      <c r="B704" s="534"/>
      <c r="C704" s="535"/>
      <c r="D704" s="525"/>
      <c r="E704" s="526"/>
      <c r="F704" s="531" t="s">
        <v>25</v>
      </c>
      <c r="G704" s="515"/>
      <c r="H704" s="22">
        <f>SUM(H697:H703)</f>
        <v>0</v>
      </c>
    </row>
    <row r="705" spans="2:8" x14ac:dyDescent="0.25">
      <c r="B705" s="536"/>
      <c r="C705" s="537"/>
      <c r="D705" s="527"/>
      <c r="E705" s="528"/>
      <c r="F705" s="26" t="s">
        <v>27</v>
      </c>
      <c r="G705" s="24">
        <f>BDI!$C$20</f>
        <v>0.2492</v>
      </c>
      <c r="H705" s="25">
        <f>H704*G705</f>
        <v>0</v>
      </c>
    </row>
    <row r="706" spans="2:8" x14ac:dyDescent="0.25">
      <c r="B706" s="538"/>
      <c r="C706" s="539"/>
      <c r="D706" s="529"/>
      <c r="E706" s="530"/>
      <c r="F706" s="514" t="s">
        <v>45</v>
      </c>
      <c r="G706" s="515"/>
      <c r="H706" s="27">
        <f>TRUNC(H705+H704,2)</f>
        <v>0</v>
      </c>
    </row>
    <row r="707" spans="2:8" x14ac:dyDescent="0.25">
      <c r="B707" s="516" t="s">
        <v>46</v>
      </c>
      <c r="C707" s="517"/>
      <c r="D707" s="517"/>
      <c r="E707" s="517"/>
      <c r="F707" s="517"/>
      <c r="G707" s="515"/>
      <c r="H707" s="45">
        <f>H706+H696</f>
        <v>0</v>
      </c>
    </row>
    <row r="708" spans="2:8" x14ac:dyDescent="0.25">
      <c r="B708" s="46"/>
      <c r="C708" s="47"/>
      <c r="D708" s="48"/>
      <c r="E708" s="48"/>
      <c r="F708" s="49"/>
      <c r="G708" s="48"/>
      <c r="H708" s="50"/>
    </row>
    <row r="709" spans="2:8" x14ac:dyDescent="0.25">
      <c r="B709" s="11" t="s">
        <v>12</v>
      </c>
      <c r="C709" s="12">
        <v>30</v>
      </c>
      <c r="D709" s="54" t="s">
        <v>146</v>
      </c>
      <c r="E709" s="55"/>
      <c r="F709" s="56"/>
      <c r="G709" s="57"/>
      <c r="H709" s="58"/>
    </row>
    <row r="710" spans="2:8" x14ac:dyDescent="0.25">
      <c r="B710" s="521" t="s">
        <v>11</v>
      </c>
      <c r="C710" s="522"/>
      <c r="D710" s="13" t="s">
        <v>12</v>
      </c>
      <c r="E710" s="14" t="s">
        <v>13</v>
      </c>
      <c r="F710" s="15" t="s">
        <v>14</v>
      </c>
      <c r="G710" s="14" t="s">
        <v>15</v>
      </c>
      <c r="H710" s="16" t="s">
        <v>16</v>
      </c>
    </row>
    <row r="711" spans="2:8" x14ac:dyDescent="0.25">
      <c r="B711" s="523"/>
      <c r="C711" s="524"/>
      <c r="D711" s="17" t="s">
        <v>17</v>
      </c>
      <c r="E711" s="18" t="s">
        <v>18</v>
      </c>
      <c r="F711" s="19">
        <v>8</v>
      </c>
      <c r="G711" s="20">
        <f>Insumos!Q21</f>
        <v>0</v>
      </c>
      <c r="H711" s="21">
        <f t="shared" ref="H711:H717" si="54">G711*F711</f>
        <v>0</v>
      </c>
    </row>
    <row r="712" spans="2:8" x14ac:dyDescent="0.25">
      <c r="B712" s="523"/>
      <c r="C712" s="524"/>
      <c r="D712" s="17" t="s">
        <v>19</v>
      </c>
      <c r="E712" s="18" t="s">
        <v>18</v>
      </c>
      <c r="F712" s="19">
        <v>160</v>
      </c>
      <c r="G712" s="20">
        <f>Insumos!Q22</f>
        <v>0</v>
      </c>
      <c r="H712" s="21">
        <f t="shared" si="54"/>
        <v>0</v>
      </c>
    </row>
    <row r="713" spans="2:8" x14ac:dyDescent="0.25">
      <c r="B713" s="523"/>
      <c r="C713" s="524"/>
      <c r="D713" s="17" t="s">
        <v>20</v>
      </c>
      <c r="E713" s="18" t="s">
        <v>18</v>
      </c>
      <c r="F713" s="19">
        <v>160</v>
      </c>
      <c r="G713" s="20">
        <f>Insumos!Q23</f>
        <v>0</v>
      </c>
      <c r="H713" s="21">
        <f t="shared" si="54"/>
        <v>0</v>
      </c>
    </row>
    <row r="714" spans="2:8" x14ac:dyDescent="0.25">
      <c r="B714" s="523"/>
      <c r="C714" s="524"/>
      <c r="D714" s="17" t="s">
        <v>21</v>
      </c>
      <c r="E714" s="18" t="s">
        <v>18</v>
      </c>
      <c r="F714" s="19">
        <v>64</v>
      </c>
      <c r="G714" s="20">
        <f>Insumos!Q24</f>
        <v>0</v>
      </c>
      <c r="H714" s="21">
        <f t="shared" si="54"/>
        <v>0</v>
      </c>
    </row>
    <row r="715" spans="2:8" x14ac:dyDescent="0.25">
      <c r="B715" s="523"/>
      <c r="C715" s="524"/>
      <c r="D715" s="17" t="s">
        <v>22</v>
      </c>
      <c r="E715" s="18" t="s">
        <v>18</v>
      </c>
      <c r="F715" s="19">
        <v>8</v>
      </c>
      <c r="G715" s="20">
        <f>Insumos!Q25</f>
        <v>0</v>
      </c>
      <c r="H715" s="21">
        <f t="shared" si="54"/>
        <v>0</v>
      </c>
    </row>
    <row r="716" spans="2:8" x14ac:dyDescent="0.25">
      <c r="B716" s="523"/>
      <c r="C716" s="524"/>
      <c r="D716" s="17" t="s">
        <v>23</v>
      </c>
      <c r="E716" s="18" t="s">
        <v>18</v>
      </c>
      <c r="F716" s="19">
        <v>24</v>
      </c>
      <c r="G716" s="20">
        <f>Insumos!Q26</f>
        <v>0</v>
      </c>
      <c r="H716" s="21">
        <f t="shared" si="54"/>
        <v>0</v>
      </c>
    </row>
    <row r="717" spans="2:8" x14ac:dyDescent="0.25">
      <c r="B717" s="523"/>
      <c r="C717" s="524"/>
      <c r="D717" s="17" t="s">
        <v>24</v>
      </c>
      <c r="E717" s="18" t="s">
        <v>18</v>
      </c>
      <c r="F717" s="19">
        <v>24</v>
      </c>
      <c r="G717" s="20">
        <f>Insumos!Q27</f>
        <v>0</v>
      </c>
      <c r="H717" s="21">
        <f t="shared" si="54"/>
        <v>0</v>
      </c>
    </row>
    <row r="718" spans="2:8" x14ac:dyDescent="0.25">
      <c r="B718" s="523"/>
      <c r="C718" s="524"/>
      <c r="D718" s="525"/>
      <c r="E718" s="526"/>
      <c r="F718" s="531" t="s">
        <v>25</v>
      </c>
      <c r="G718" s="515"/>
      <c r="H718" s="22">
        <f>SUM(H711:H717)</f>
        <v>0</v>
      </c>
    </row>
    <row r="719" spans="2:8" ht="30" x14ac:dyDescent="0.25">
      <c r="B719" s="523"/>
      <c r="C719" s="524"/>
      <c r="D719" s="527"/>
      <c r="E719" s="528"/>
      <c r="F719" s="26" t="s">
        <v>26</v>
      </c>
      <c r="G719" s="24">
        <f>Insumos!$K$28</f>
        <v>0.70109999999999995</v>
      </c>
      <c r="H719" s="25">
        <f>H718*G719</f>
        <v>0</v>
      </c>
    </row>
    <row r="720" spans="2:8" x14ac:dyDescent="0.25">
      <c r="B720" s="523"/>
      <c r="C720" s="524"/>
      <c r="D720" s="527"/>
      <c r="E720" s="528"/>
      <c r="F720" s="531" t="s">
        <v>8</v>
      </c>
      <c r="G720" s="515"/>
      <c r="H720" s="22">
        <f>H719+H718</f>
        <v>0</v>
      </c>
    </row>
    <row r="721" spans="2:8" x14ac:dyDescent="0.25">
      <c r="B721" s="523"/>
      <c r="C721" s="524"/>
      <c r="D721" s="527"/>
      <c r="E721" s="528"/>
      <c r="F721" s="26" t="s">
        <v>27</v>
      </c>
      <c r="G721" s="24">
        <f>BDI!$C$20</f>
        <v>0.2492</v>
      </c>
      <c r="H721" s="25">
        <f>H720*G721</f>
        <v>0</v>
      </c>
    </row>
    <row r="722" spans="2:8" x14ac:dyDescent="0.25">
      <c r="B722" s="523"/>
      <c r="C722" s="524"/>
      <c r="D722" s="529"/>
      <c r="E722" s="530"/>
      <c r="F722" s="514" t="s">
        <v>28</v>
      </c>
      <c r="G722" s="515"/>
      <c r="H722" s="27">
        <f>TRUNC(H721+H720,2)</f>
        <v>0</v>
      </c>
    </row>
    <row r="723" spans="2:8" x14ac:dyDescent="0.25">
      <c r="B723" s="532" t="s">
        <v>29</v>
      </c>
      <c r="C723" s="28"/>
      <c r="D723" s="13" t="s">
        <v>12</v>
      </c>
      <c r="E723" s="14" t="s">
        <v>13</v>
      </c>
      <c r="F723" s="15" t="s">
        <v>14</v>
      </c>
      <c r="G723" s="14" t="s">
        <v>15</v>
      </c>
      <c r="H723" s="52" t="s">
        <v>16</v>
      </c>
    </row>
    <row r="724" spans="2:8" x14ac:dyDescent="0.25">
      <c r="B724" s="533"/>
      <c r="C724" s="34" t="s">
        <v>197</v>
      </c>
      <c r="D724" s="43" t="s">
        <v>31</v>
      </c>
      <c r="E724" s="18" t="s">
        <v>32</v>
      </c>
      <c r="F724" s="37">
        <v>1</v>
      </c>
      <c r="G724" s="53">
        <f>'30 Passarela Tipo II'!K10</f>
        <v>0</v>
      </c>
      <c r="H724" s="21">
        <f t="shared" ref="H724:H729" si="55">G724*F724</f>
        <v>0</v>
      </c>
    </row>
    <row r="725" spans="2:8" x14ac:dyDescent="0.25">
      <c r="B725" s="533"/>
      <c r="C725" s="34" t="s">
        <v>198</v>
      </c>
      <c r="D725" s="43" t="s">
        <v>34</v>
      </c>
      <c r="E725" s="18" t="s">
        <v>35</v>
      </c>
      <c r="F725" s="37">
        <v>1</v>
      </c>
      <c r="G725" s="53">
        <f>'30 Passarela Tipo II'!K20</f>
        <v>0</v>
      </c>
      <c r="H725" s="21">
        <f t="shared" si="55"/>
        <v>0</v>
      </c>
    </row>
    <row r="726" spans="2:8" ht="30" x14ac:dyDescent="0.25">
      <c r="B726" s="543"/>
      <c r="C726" s="34" t="s">
        <v>199</v>
      </c>
      <c r="D726" s="43" t="s">
        <v>37</v>
      </c>
      <c r="E726" s="18" t="s">
        <v>32</v>
      </c>
      <c r="F726" s="37">
        <v>1</v>
      </c>
      <c r="G726" s="53">
        <f>'30 Passarela Tipo II'!K35</f>
        <v>0</v>
      </c>
      <c r="H726" s="21">
        <f t="shared" si="55"/>
        <v>0</v>
      </c>
    </row>
    <row r="727" spans="2:8" x14ac:dyDescent="0.25">
      <c r="B727" s="544" t="s">
        <v>38</v>
      </c>
      <c r="C727" s="34" t="s">
        <v>200</v>
      </c>
      <c r="D727" s="43" t="s">
        <v>40</v>
      </c>
      <c r="E727" s="18" t="s">
        <v>35</v>
      </c>
      <c r="F727" s="37">
        <v>1</v>
      </c>
      <c r="G727" s="53">
        <f>'30 Passarela Tipo II'!K40</f>
        <v>0</v>
      </c>
      <c r="H727" s="21">
        <f t="shared" si="55"/>
        <v>0</v>
      </c>
    </row>
    <row r="728" spans="2:8" x14ac:dyDescent="0.25">
      <c r="B728" s="545"/>
      <c r="C728" s="34" t="s">
        <v>201</v>
      </c>
      <c r="D728" s="43" t="s">
        <v>42</v>
      </c>
      <c r="E728" s="18" t="s">
        <v>35</v>
      </c>
      <c r="F728" s="37">
        <v>1</v>
      </c>
      <c r="G728" s="53">
        <f>'30 Passarela Tipo II'!K45</f>
        <v>0</v>
      </c>
      <c r="H728" s="21">
        <f t="shared" si="55"/>
        <v>0</v>
      </c>
    </row>
    <row r="729" spans="2:8" x14ac:dyDescent="0.25">
      <c r="B729" s="546"/>
      <c r="C729" s="34" t="s">
        <v>202</v>
      </c>
      <c r="D729" s="43" t="s">
        <v>44</v>
      </c>
      <c r="E729" s="18" t="s">
        <v>35</v>
      </c>
      <c r="F729" s="37">
        <v>1</v>
      </c>
      <c r="G729" s="53">
        <f>'30 Passarela Tipo II'!K52</f>
        <v>0</v>
      </c>
      <c r="H729" s="21">
        <f t="shared" si="55"/>
        <v>0</v>
      </c>
    </row>
    <row r="730" spans="2:8" x14ac:dyDescent="0.25">
      <c r="B730" s="534"/>
      <c r="C730" s="535"/>
      <c r="D730" s="525"/>
      <c r="E730" s="526"/>
      <c r="F730" s="531" t="s">
        <v>25</v>
      </c>
      <c r="G730" s="515"/>
      <c r="H730" s="22">
        <f>SUM(H723:H729)</f>
        <v>0</v>
      </c>
    </row>
    <row r="731" spans="2:8" x14ac:dyDescent="0.25">
      <c r="B731" s="536"/>
      <c r="C731" s="537"/>
      <c r="D731" s="527"/>
      <c r="E731" s="528"/>
      <c r="F731" s="26" t="s">
        <v>27</v>
      </c>
      <c r="G731" s="24">
        <f>BDI!$C$20</f>
        <v>0.2492</v>
      </c>
      <c r="H731" s="25">
        <f>H730*G731</f>
        <v>0</v>
      </c>
    </row>
    <row r="732" spans="2:8" x14ac:dyDescent="0.25">
      <c r="B732" s="538"/>
      <c r="C732" s="539"/>
      <c r="D732" s="529"/>
      <c r="E732" s="530"/>
      <c r="F732" s="514" t="s">
        <v>45</v>
      </c>
      <c r="G732" s="515"/>
      <c r="H732" s="27">
        <f>TRUNC(H731+H730,2)</f>
        <v>0</v>
      </c>
    </row>
    <row r="733" spans="2:8" x14ac:dyDescent="0.25">
      <c r="B733" s="46"/>
      <c r="C733" s="47"/>
      <c r="D733" s="48"/>
      <c r="E733" s="48"/>
      <c r="F733" s="49"/>
      <c r="G733" s="48"/>
      <c r="H733" s="50"/>
    </row>
    <row r="734" spans="2:8" x14ac:dyDescent="0.25">
      <c r="B734" s="516" t="s">
        <v>46</v>
      </c>
      <c r="C734" s="517"/>
      <c r="D734" s="517"/>
      <c r="E734" s="517"/>
      <c r="F734" s="517"/>
      <c r="G734" s="515"/>
      <c r="H734" s="45">
        <f>H732+H722</f>
        <v>0</v>
      </c>
    </row>
    <row r="735" spans="2:8" x14ac:dyDescent="0.25">
      <c r="B735" s="11"/>
      <c r="C735" s="12">
        <v>31</v>
      </c>
      <c r="D735" s="54" t="s">
        <v>1438</v>
      </c>
      <c r="E735" s="55"/>
      <c r="F735" s="56"/>
      <c r="G735" s="57"/>
      <c r="H735" s="58"/>
    </row>
    <row r="736" spans="2:8" x14ac:dyDescent="0.25">
      <c r="B736" s="521" t="s">
        <v>11</v>
      </c>
      <c r="C736" s="522"/>
      <c r="D736" s="13" t="s">
        <v>12</v>
      </c>
      <c r="E736" s="14" t="s">
        <v>13</v>
      </c>
      <c r="F736" s="15" t="s">
        <v>14</v>
      </c>
      <c r="G736" s="14" t="s">
        <v>15</v>
      </c>
      <c r="H736" s="16" t="s">
        <v>16</v>
      </c>
    </row>
    <row r="737" spans="2:8" x14ac:dyDescent="0.25">
      <c r="B737" s="523"/>
      <c r="C737" s="524"/>
      <c r="D737" s="17" t="s">
        <v>17</v>
      </c>
      <c r="E737" s="18" t="s">
        <v>18</v>
      </c>
      <c r="F737" s="19">
        <v>0.1</v>
      </c>
      <c r="G737" s="20">
        <f>Insumos!Q21</f>
        <v>0</v>
      </c>
      <c r="H737" s="21">
        <f t="shared" ref="H737:H743" si="56">G737*F737</f>
        <v>0</v>
      </c>
    </row>
    <row r="738" spans="2:8" x14ac:dyDescent="0.25">
      <c r="B738" s="523"/>
      <c r="C738" s="524"/>
      <c r="D738" s="17" t="s">
        <v>19</v>
      </c>
      <c r="E738" s="18" t="s">
        <v>18</v>
      </c>
      <c r="F738" s="19">
        <v>0.1</v>
      </c>
      <c r="G738" s="20">
        <f>Insumos!Q22</f>
        <v>0</v>
      </c>
      <c r="H738" s="21">
        <f t="shared" si="56"/>
        <v>0</v>
      </c>
    </row>
    <row r="739" spans="2:8" x14ac:dyDescent="0.25">
      <c r="B739" s="523"/>
      <c r="C739" s="524"/>
      <c r="D739" s="17" t="s">
        <v>20</v>
      </c>
      <c r="E739" s="18" t="s">
        <v>18</v>
      </c>
      <c r="F739" s="19">
        <v>0.2</v>
      </c>
      <c r="G739" s="20">
        <f>Insumos!Q23</f>
        <v>0</v>
      </c>
      <c r="H739" s="21">
        <f t="shared" si="56"/>
        <v>0</v>
      </c>
    </row>
    <row r="740" spans="2:8" x14ac:dyDescent="0.25">
      <c r="B740" s="523"/>
      <c r="C740" s="524"/>
      <c r="D740" s="17" t="s">
        <v>21</v>
      </c>
      <c r="E740" s="18" t="s">
        <v>18</v>
      </c>
      <c r="F740" s="19">
        <v>0.2</v>
      </c>
      <c r="G740" s="20">
        <f>Insumos!Q24</f>
        <v>0</v>
      </c>
      <c r="H740" s="21">
        <f t="shared" si="56"/>
        <v>0</v>
      </c>
    </row>
    <row r="741" spans="2:8" x14ac:dyDescent="0.25">
      <c r="B741" s="523"/>
      <c r="C741" s="524"/>
      <c r="D741" s="17" t="s">
        <v>22</v>
      </c>
      <c r="E741" s="18" t="s">
        <v>18</v>
      </c>
      <c r="F741" s="19">
        <v>0</v>
      </c>
      <c r="G741" s="20">
        <f>Insumos!Q25</f>
        <v>0</v>
      </c>
      <c r="H741" s="21">
        <f t="shared" si="56"/>
        <v>0</v>
      </c>
    </row>
    <row r="742" spans="2:8" x14ac:dyDescent="0.25">
      <c r="B742" s="523"/>
      <c r="C742" s="524"/>
      <c r="D742" s="17" t="s">
        <v>23</v>
      </c>
      <c r="E742" s="18" t="s">
        <v>18</v>
      </c>
      <c r="F742" s="19">
        <v>0.1</v>
      </c>
      <c r="G742" s="20">
        <f>Insumos!Q26</f>
        <v>0</v>
      </c>
      <c r="H742" s="21">
        <f t="shared" si="56"/>
        <v>0</v>
      </c>
    </row>
    <row r="743" spans="2:8" x14ac:dyDescent="0.25">
      <c r="B743" s="523"/>
      <c r="C743" s="524"/>
      <c r="D743" s="17" t="s">
        <v>24</v>
      </c>
      <c r="E743" s="18" t="s">
        <v>18</v>
      </c>
      <c r="F743" s="19">
        <v>0.1</v>
      </c>
      <c r="G743" s="20">
        <f>Insumos!Q27</f>
        <v>0</v>
      </c>
      <c r="H743" s="21">
        <f t="shared" si="56"/>
        <v>0</v>
      </c>
    </row>
    <row r="744" spans="2:8" x14ac:dyDescent="0.25">
      <c r="B744" s="523"/>
      <c r="C744" s="524"/>
      <c r="D744" s="525"/>
      <c r="E744" s="526"/>
      <c r="F744" s="531" t="s">
        <v>25</v>
      </c>
      <c r="G744" s="515"/>
      <c r="H744" s="22">
        <f>SUM(H736:H743)</f>
        <v>0</v>
      </c>
    </row>
    <row r="745" spans="2:8" ht="30" x14ac:dyDescent="0.25">
      <c r="B745" s="523"/>
      <c r="C745" s="524"/>
      <c r="D745" s="527"/>
      <c r="E745" s="528"/>
      <c r="F745" s="26" t="s">
        <v>26</v>
      </c>
      <c r="G745" s="24">
        <f>Insumos!$K$28</f>
        <v>0.70109999999999995</v>
      </c>
      <c r="H745" s="25">
        <f>H744*G745</f>
        <v>0</v>
      </c>
    </row>
    <row r="746" spans="2:8" x14ac:dyDescent="0.25">
      <c r="B746" s="523"/>
      <c r="C746" s="524"/>
      <c r="D746" s="527"/>
      <c r="E746" s="528"/>
      <c r="F746" s="531" t="s">
        <v>8</v>
      </c>
      <c r="G746" s="515"/>
      <c r="H746" s="22">
        <f>H745+H744</f>
        <v>0</v>
      </c>
    </row>
    <row r="747" spans="2:8" x14ac:dyDescent="0.25">
      <c r="B747" s="523"/>
      <c r="C747" s="524"/>
      <c r="D747" s="527"/>
      <c r="E747" s="528"/>
      <c r="F747" s="26" t="s">
        <v>27</v>
      </c>
      <c r="G747" s="24">
        <f>BDI!$C$20</f>
        <v>0.2492</v>
      </c>
      <c r="H747" s="25">
        <f>H746*G747</f>
        <v>0</v>
      </c>
    </row>
    <row r="748" spans="2:8" x14ac:dyDescent="0.25">
      <c r="B748" s="523"/>
      <c r="C748" s="524"/>
      <c r="D748" s="529"/>
      <c r="E748" s="530"/>
      <c r="F748" s="514" t="s">
        <v>28</v>
      </c>
      <c r="G748" s="515"/>
      <c r="H748" s="27">
        <f>TRUNC(H747+H746,2)</f>
        <v>0</v>
      </c>
    </row>
    <row r="749" spans="2:8" x14ac:dyDescent="0.25">
      <c r="B749" s="532" t="s">
        <v>29</v>
      </c>
      <c r="C749" s="28"/>
      <c r="D749" s="13" t="s">
        <v>12</v>
      </c>
      <c r="E749" s="14" t="s">
        <v>13</v>
      </c>
      <c r="F749" s="15" t="s">
        <v>14</v>
      </c>
      <c r="G749" s="14" t="s">
        <v>15</v>
      </c>
      <c r="H749" s="52" t="s">
        <v>16</v>
      </c>
    </row>
    <row r="750" spans="2:8" x14ac:dyDescent="0.25">
      <c r="B750" s="533"/>
      <c r="C750" s="34" t="s">
        <v>1815</v>
      </c>
      <c r="D750" s="43" t="s">
        <v>31</v>
      </c>
      <c r="E750" s="18" t="s">
        <v>32</v>
      </c>
      <c r="F750" s="37">
        <v>1</v>
      </c>
      <c r="G750" s="53">
        <f>'31 Piso'!K7</f>
        <v>0</v>
      </c>
      <c r="H750" s="21">
        <f t="shared" ref="H750:H755" si="57">G750*F750</f>
        <v>0</v>
      </c>
    </row>
    <row r="751" spans="2:8" x14ac:dyDescent="0.25">
      <c r="B751" s="533"/>
      <c r="C751" s="34" t="s">
        <v>1816</v>
      </c>
      <c r="D751" s="43" t="s">
        <v>34</v>
      </c>
      <c r="E751" s="18" t="s">
        <v>35</v>
      </c>
      <c r="F751" s="37">
        <v>1</v>
      </c>
      <c r="G751" s="53">
        <f>'31 Piso'!K13</f>
        <v>0</v>
      </c>
      <c r="H751" s="21">
        <f t="shared" si="57"/>
        <v>0</v>
      </c>
    </row>
    <row r="752" spans="2:8" ht="30" x14ac:dyDescent="0.25">
      <c r="B752" s="543"/>
      <c r="C752" s="34" t="s">
        <v>1817</v>
      </c>
      <c r="D752" s="43" t="s">
        <v>37</v>
      </c>
      <c r="E752" s="18" t="s">
        <v>32</v>
      </c>
      <c r="F752" s="37">
        <v>1</v>
      </c>
      <c r="G752" s="53">
        <f>'31 Piso'!K24</f>
        <v>0</v>
      </c>
      <c r="H752" s="21">
        <f t="shared" si="57"/>
        <v>0</v>
      </c>
    </row>
    <row r="753" spans="2:8" x14ac:dyDescent="0.25">
      <c r="B753" s="544" t="s">
        <v>38</v>
      </c>
      <c r="C753" s="34" t="s">
        <v>1818</v>
      </c>
      <c r="D753" s="43" t="s">
        <v>40</v>
      </c>
      <c r="E753" s="18" t="s">
        <v>35</v>
      </c>
      <c r="F753" s="37">
        <v>1</v>
      </c>
      <c r="G753" s="53">
        <f>'31 Piso'!K29</f>
        <v>0</v>
      </c>
      <c r="H753" s="21">
        <f t="shared" si="57"/>
        <v>0</v>
      </c>
    </row>
    <row r="754" spans="2:8" x14ac:dyDescent="0.25">
      <c r="B754" s="545"/>
      <c r="C754" s="34" t="s">
        <v>1819</v>
      </c>
      <c r="D754" s="43" t="s">
        <v>42</v>
      </c>
      <c r="E754" s="18" t="s">
        <v>35</v>
      </c>
      <c r="F754" s="37">
        <v>1</v>
      </c>
      <c r="G754" s="53">
        <f>'31 Piso'!K34</f>
        <v>0</v>
      </c>
      <c r="H754" s="21">
        <f t="shared" si="57"/>
        <v>0</v>
      </c>
    </row>
    <row r="755" spans="2:8" x14ac:dyDescent="0.25">
      <c r="B755" s="546"/>
      <c r="C755" s="34" t="s">
        <v>1820</v>
      </c>
      <c r="D755" s="43" t="s">
        <v>44</v>
      </c>
      <c r="E755" s="18" t="s">
        <v>35</v>
      </c>
      <c r="F755" s="37">
        <v>1</v>
      </c>
      <c r="G755" s="53">
        <f>'31 Piso'!K41</f>
        <v>0</v>
      </c>
      <c r="H755" s="21">
        <f t="shared" si="57"/>
        <v>0</v>
      </c>
    </row>
    <row r="756" spans="2:8" x14ac:dyDescent="0.25">
      <c r="B756" s="534"/>
      <c r="C756" s="535"/>
      <c r="D756" s="525"/>
      <c r="E756" s="526"/>
      <c r="F756" s="531" t="s">
        <v>25</v>
      </c>
      <c r="G756" s="515"/>
      <c r="H756" s="22">
        <f>SUM(H749:H755)</f>
        <v>0</v>
      </c>
    </row>
    <row r="757" spans="2:8" x14ac:dyDescent="0.25">
      <c r="B757" s="536"/>
      <c r="C757" s="537"/>
      <c r="D757" s="527"/>
      <c r="E757" s="528"/>
      <c r="F757" s="26" t="s">
        <v>27</v>
      </c>
      <c r="G757" s="24">
        <f>BDI!$C$20</f>
        <v>0.2492</v>
      </c>
      <c r="H757" s="25">
        <f>H756*G757</f>
        <v>0</v>
      </c>
    </row>
    <row r="758" spans="2:8" x14ac:dyDescent="0.25">
      <c r="B758" s="538"/>
      <c r="C758" s="539"/>
      <c r="D758" s="529"/>
      <c r="E758" s="530"/>
      <c r="F758" s="514" t="s">
        <v>45</v>
      </c>
      <c r="G758" s="515"/>
      <c r="H758" s="27">
        <f>TRUNC(H757+H756,2)</f>
        <v>0</v>
      </c>
    </row>
    <row r="759" spans="2:8" x14ac:dyDescent="0.25">
      <c r="B759" s="554" t="s">
        <v>46</v>
      </c>
      <c r="C759" s="555"/>
      <c r="D759" s="555"/>
      <c r="E759" s="555"/>
      <c r="F759" s="555"/>
      <c r="G759" s="556"/>
      <c r="H759" s="45">
        <f>H758+H748</f>
        <v>0</v>
      </c>
    </row>
    <row r="760" spans="2:8" x14ac:dyDescent="0.25">
      <c r="B760" s="46"/>
      <c r="C760" s="47"/>
      <c r="D760" s="48"/>
      <c r="E760" s="48"/>
      <c r="F760" s="49"/>
      <c r="G760" s="48"/>
      <c r="H760" s="50"/>
    </row>
    <row r="761" spans="2:8" x14ac:dyDescent="0.25">
      <c r="B761" s="11"/>
      <c r="C761" s="12"/>
      <c r="D761" s="518" t="s">
        <v>214</v>
      </c>
      <c r="E761" s="517"/>
      <c r="F761" s="517"/>
      <c r="G761" s="517"/>
      <c r="H761" s="553"/>
    </row>
    <row r="762" spans="2:8" x14ac:dyDescent="0.25">
      <c r="B762" s="11" t="s">
        <v>12</v>
      </c>
      <c r="C762" s="12">
        <v>32</v>
      </c>
      <c r="D762" s="518" t="s">
        <v>1944</v>
      </c>
      <c r="E762" s="519"/>
      <c r="F762" s="519"/>
      <c r="G762" s="519"/>
      <c r="H762" s="520"/>
    </row>
    <row r="763" spans="2:8" x14ac:dyDescent="0.25">
      <c r="B763" s="547" t="s">
        <v>11</v>
      </c>
      <c r="C763" s="548"/>
      <c r="D763" s="13" t="s">
        <v>12</v>
      </c>
      <c r="E763" s="14" t="s">
        <v>13</v>
      </c>
      <c r="F763" s="15" t="s">
        <v>14</v>
      </c>
      <c r="G763" s="14" t="s">
        <v>15</v>
      </c>
      <c r="H763" s="16" t="s">
        <v>16</v>
      </c>
    </row>
    <row r="764" spans="2:8" x14ac:dyDescent="0.25">
      <c r="B764" s="536"/>
      <c r="C764" s="537"/>
      <c r="D764" s="17" t="s">
        <v>17</v>
      </c>
      <c r="E764" s="18" t="s">
        <v>18</v>
      </c>
      <c r="F764" s="19">
        <v>8</v>
      </c>
      <c r="G764" s="20">
        <f>Insumos!Q21</f>
        <v>0</v>
      </c>
      <c r="H764" s="21">
        <f t="shared" ref="H764:H770" si="58">G764*F764</f>
        <v>0</v>
      </c>
    </row>
    <row r="765" spans="2:8" x14ac:dyDescent="0.25">
      <c r="B765" s="536"/>
      <c r="C765" s="537"/>
      <c r="D765" s="17" t="s">
        <v>19</v>
      </c>
      <c r="E765" s="18" t="s">
        <v>18</v>
      </c>
      <c r="F765" s="19">
        <v>16</v>
      </c>
      <c r="G765" s="20">
        <f>Insumos!Q22</f>
        <v>0</v>
      </c>
      <c r="H765" s="21">
        <f t="shared" si="58"/>
        <v>0</v>
      </c>
    </row>
    <row r="766" spans="2:8" x14ac:dyDescent="0.25">
      <c r="B766" s="536"/>
      <c r="C766" s="537"/>
      <c r="D766" s="17" t="s">
        <v>20</v>
      </c>
      <c r="E766" s="18" t="s">
        <v>18</v>
      </c>
      <c r="F766" s="19">
        <v>16</v>
      </c>
      <c r="G766" s="20">
        <f>Insumos!Q23</f>
        <v>0</v>
      </c>
      <c r="H766" s="21">
        <f t="shared" si="58"/>
        <v>0</v>
      </c>
    </row>
    <row r="767" spans="2:8" x14ac:dyDescent="0.25">
      <c r="B767" s="536"/>
      <c r="C767" s="537"/>
      <c r="D767" s="17" t="s">
        <v>21</v>
      </c>
      <c r="E767" s="18" t="s">
        <v>18</v>
      </c>
      <c r="F767" s="19">
        <v>0</v>
      </c>
      <c r="G767" s="20">
        <f>Insumos!Q24</f>
        <v>0</v>
      </c>
      <c r="H767" s="21">
        <f t="shared" si="58"/>
        <v>0</v>
      </c>
    </row>
    <row r="768" spans="2:8" x14ac:dyDescent="0.25">
      <c r="B768" s="536"/>
      <c r="C768" s="537"/>
      <c r="D768" s="17" t="s">
        <v>22</v>
      </c>
      <c r="E768" s="18" t="s">
        <v>18</v>
      </c>
      <c r="F768" s="19">
        <v>4</v>
      </c>
      <c r="G768" s="20">
        <f>Insumos!Q25</f>
        <v>0</v>
      </c>
      <c r="H768" s="21">
        <f t="shared" si="58"/>
        <v>0</v>
      </c>
    </row>
    <row r="769" spans="2:8" x14ac:dyDescent="0.25">
      <c r="B769" s="536"/>
      <c r="C769" s="537"/>
      <c r="D769" s="17" t="s">
        <v>23</v>
      </c>
      <c r="E769" s="18" t="s">
        <v>18</v>
      </c>
      <c r="F769" s="19">
        <v>4</v>
      </c>
      <c r="G769" s="20">
        <f>Insumos!Q26</f>
        <v>0</v>
      </c>
      <c r="H769" s="21">
        <f t="shared" si="58"/>
        <v>0</v>
      </c>
    </row>
    <row r="770" spans="2:8" x14ac:dyDescent="0.25">
      <c r="B770" s="536"/>
      <c r="C770" s="537"/>
      <c r="D770" s="17" t="s">
        <v>24</v>
      </c>
      <c r="E770" s="18" t="s">
        <v>18</v>
      </c>
      <c r="F770" s="19">
        <v>4</v>
      </c>
      <c r="G770" s="20">
        <f>Insumos!Q27</f>
        <v>0</v>
      </c>
      <c r="H770" s="21">
        <f t="shared" si="58"/>
        <v>0</v>
      </c>
    </row>
    <row r="771" spans="2:8" x14ac:dyDescent="0.25">
      <c r="B771" s="536"/>
      <c r="C771" s="537"/>
      <c r="D771" s="525"/>
      <c r="E771" s="526"/>
      <c r="F771" s="531" t="s">
        <v>25</v>
      </c>
      <c r="G771" s="515"/>
      <c r="H771" s="22">
        <f>SUM(H763:H770)</f>
        <v>0</v>
      </c>
    </row>
    <row r="772" spans="2:8" ht="30" x14ac:dyDescent="0.25">
      <c r="B772" s="536"/>
      <c r="C772" s="537"/>
      <c r="D772" s="527"/>
      <c r="E772" s="528"/>
      <c r="F772" s="26" t="s">
        <v>26</v>
      </c>
      <c r="G772" s="24">
        <f>Insumos!$K$28</f>
        <v>0.70109999999999995</v>
      </c>
      <c r="H772" s="25">
        <f>H771*G772</f>
        <v>0</v>
      </c>
    </row>
    <row r="773" spans="2:8" x14ac:dyDescent="0.25">
      <c r="B773" s="536"/>
      <c r="C773" s="537"/>
      <c r="D773" s="527"/>
      <c r="E773" s="528"/>
      <c r="F773" s="531" t="s">
        <v>8</v>
      </c>
      <c r="G773" s="515"/>
      <c r="H773" s="22">
        <f>H772+H771</f>
        <v>0</v>
      </c>
    </row>
    <row r="774" spans="2:8" x14ac:dyDescent="0.25">
      <c r="B774" s="536"/>
      <c r="C774" s="537"/>
      <c r="D774" s="527"/>
      <c r="E774" s="528"/>
      <c r="F774" s="26" t="s">
        <v>27</v>
      </c>
      <c r="G774" s="24">
        <f>BDI!$C$20</f>
        <v>0.2492</v>
      </c>
      <c r="H774" s="25">
        <f>H773*G774</f>
        <v>0</v>
      </c>
    </row>
    <row r="775" spans="2:8" x14ac:dyDescent="0.25">
      <c r="B775" s="538"/>
      <c r="C775" s="539"/>
      <c r="D775" s="529"/>
      <c r="E775" s="530"/>
      <c r="F775" s="514" t="s">
        <v>28</v>
      </c>
      <c r="G775" s="515"/>
      <c r="H775" s="27">
        <f>TRUNC(H774+H773,2)</f>
        <v>0</v>
      </c>
    </row>
    <row r="776" spans="2:8" x14ac:dyDescent="0.25">
      <c r="B776" s="532" t="s">
        <v>29</v>
      </c>
      <c r="C776" s="34"/>
      <c r="D776" s="13" t="s">
        <v>12</v>
      </c>
      <c r="E776" s="14" t="s">
        <v>13</v>
      </c>
      <c r="F776" s="15" t="s">
        <v>14</v>
      </c>
      <c r="G776" s="14" t="s">
        <v>15</v>
      </c>
      <c r="H776" s="52" t="s">
        <v>16</v>
      </c>
    </row>
    <row r="777" spans="2:8" x14ac:dyDescent="0.25">
      <c r="B777" s="533"/>
      <c r="C777" s="34" t="s">
        <v>207</v>
      </c>
      <c r="D777" s="43" t="s">
        <v>31</v>
      </c>
      <c r="E777" s="18" t="s">
        <v>32</v>
      </c>
      <c r="F777" s="37">
        <v>1</v>
      </c>
      <c r="G777" s="53">
        <f>'32 Toldo_I'!K8</f>
        <v>0</v>
      </c>
      <c r="H777" s="21">
        <f t="shared" ref="H777:H782" si="59">G777*F777</f>
        <v>0</v>
      </c>
    </row>
    <row r="778" spans="2:8" x14ac:dyDescent="0.25">
      <c r="B778" s="533"/>
      <c r="C778" s="34" t="s">
        <v>208</v>
      </c>
      <c r="D778" s="43" t="s">
        <v>34</v>
      </c>
      <c r="E778" s="18" t="s">
        <v>35</v>
      </c>
      <c r="F778" s="37">
        <v>1</v>
      </c>
      <c r="G778" s="53">
        <f>'32 Toldo_I'!K19</f>
        <v>0</v>
      </c>
      <c r="H778" s="21">
        <f t="shared" si="59"/>
        <v>0</v>
      </c>
    </row>
    <row r="779" spans="2:8" ht="30" x14ac:dyDescent="0.25">
      <c r="B779" s="543"/>
      <c r="C779" s="34" t="s">
        <v>209</v>
      </c>
      <c r="D779" s="43" t="s">
        <v>37</v>
      </c>
      <c r="E779" s="18" t="s">
        <v>32</v>
      </c>
      <c r="F779" s="37">
        <v>1</v>
      </c>
      <c r="G779" s="53">
        <f>'32 Toldo_I'!K32</f>
        <v>0</v>
      </c>
      <c r="H779" s="21">
        <f t="shared" si="59"/>
        <v>0</v>
      </c>
    </row>
    <row r="780" spans="2:8" x14ac:dyDescent="0.25">
      <c r="B780" s="544" t="s">
        <v>38</v>
      </c>
      <c r="C780" s="34" t="s">
        <v>210</v>
      </c>
      <c r="D780" s="43" t="s">
        <v>40</v>
      </c>
      <c r="E780" s="18" t="s">
        <v>35</v>
      </c>
      <c r="F780" s="37">
        <v>1</v>
      </c>
      <c r="G780" s="53">
        <f>'32 Toldo_I'!K37</f>
        <v>0</v>
      </c>
      <c r="H780" s="21">
        <f t="shared" si="59"/>
        <v>0</v>
      </c>
    </row>
    <row r="781" spans="2:8" x14ac:dyDescent="0.25">
      <c r="B781" s="545"/>
      <c r="C781" s="34" t="s">
        <v>211</v>
      </c>
      <c r="D781" s="43" t="s">
        <v>42</v>
      </c>
      <c r="E781" s="18" t="s">
        <v>35</v>
      </c>
      <c r="F781" s="37">
        <v>1</v>
      </c>
      <c r="G781" s="53">
        <f>'32 Toldo_I'!K42</f>
        <v>0</v>
      </c>
      <c r="H781" s="21">
        <f t="shared" si="59"/>
        <v>0</v>
      </c>
    </row>
    <row r="782" spans="2:8" x14ac:dyDescent="0.25">
      <c r="B782" s="546"/>
      <c r="C782" s="34" t="s">
        <v>212</v>
      </c>
      <c r="D782" s="43" t="s">
        <v>44</v>
      </c>
      <c r="E782" s="18" t="s">
        <v>35</v>
      </c>
      <c r="F782" s="37">
        <v>1</v>
      </c>
      <c r="G782" s="53">
        <f>'32 Toldo_I'!K49</f>
        <v>0</v>
      </c>
      <c r="H782" s="21">
        <f t="shared" si="59"/>
        <v>0</v>
      </c>
    </row>
    <row r="783" spans="2:8" x14ac:dyDescent="0.25">
      <c r="B783" s="549"/>
      <c r="C783" s="550"/>
      <c r="D783" s="525"/>
      <c r="E783" s="526"/>
      <c r="F783" s="531" t="s">
        <v>25</v>
      </c>
      <c r="G783" s="515"/>
      <c r="H783" s="22">
        <f>SUM(H776:H782)</f>
        <v>0</v>
      </c>
    </row>
    <row r="784" spans="2:8" x14ac:dyDescent="0.25">
      <c r="B784" s="549"/>
      <c r="C784" s="550"/>
      <c r="D784" s="527"/>
      <c r="E784" s="528"/>
      <c r="F784" s="26" t="s">
        <v>27</v>
      </c>
      <c r="G784" s="24">
        <f>BDI!$C$20</f>
        <v>0.2492</v>
      </c>
      <c r="H784" s="25">
        <f>H783*G784</f>
        <v>0</v>
      </c>
    </row>
    <row r="785" spans="2:8" x14ac:dyDescent="0.25">
      <c r="B785" s="551"/>
      <c r="C785" s="552"/>
      <c r="D785" s="529"/>
      <c r="E785" s="530"/>
      <c r="F785" s="514" t="s">
        <v>45</v>
      </c>
      <c r="G785" s="515"/>
      <c r="H785" s="27">
        <f>TRUNC(H784+H783,2)</f>
        <v>0</v>
      </c>
    </row>
    <row r="786" spans="2:8" x14ac:dyDescent="0.25">
      <c r="B786" s="516" t="s">
        <v>46</v>
      </c>
      <c r="C786" s="517"/>
      <c r="D786" s="517"/>
      <c r="E786" s="517"/>
      <c r="F786" s="517"/>
      <c r="G786" s="515"/>
      <c r="H786" s="45">
        <f>H785+H775</f>
        <v>0</v>
      </c>
    </row>
    <row r="787" spans="2:8" x14ac:dyDescent="0.25">
      <c r="B787" s="46"/>
      <c r="C787" s="47"/>
      <c r="D787" s="48"/>
      <c r="E787" s="48"/>
      <c r="F787" s="49"/>
      <c r="G787" s="48"/>
      <c r="H787" s="50"/>
    </row>
    <row r="788" spans="2:8" x14ac:dyDescent="0.25">
      <c r="B788" s="11" t="s">
        <v>12</v>
      </c>
      <c r="C788" s="12">
        <v>33</v>
      </c>
      <c r="D788" s="518" t="s">
        <v>1943</v>
      </c>
      <c r="E788" s="519"/>
      <c r="F788" s="519"/>
      <c r="G788" s="519"/>
      <c r="H788" s="520"/>
    </row>
    <row r="789" spans="2:8" x14ac:dyDescent="0.25">
      <c r="B789" s="547" t="s">
        <v>11</v>
      </c>
      <c r="C789" s="548"/>
      <c r="D789" s="13" t="s">
        <v>12</v>
      </c>
      <c r="E789" s="14" t="s">
        <v>13</v>
      </c>
      <c r="F789" s="15" t="s">
        <v>14</v>
      </c>
      <c r="G789" s="14" t="s">
        <v>15</v>
      </c>
      <c r="H789" s="16" t="s">
        <v>16</v>
      </c>
    </row>
    <row r="790" spans="2:8" x14ac:dyDescent="0.25">
      <c r="B790" s="536"/>
      <c r="C790" s="537"/>
      <c r="D790" s="17" t="s">
        <v>17</v>
      </c>
      <c r="E790" s="18" t="s">
        <v>18</v>
      </c>
      <c r="F790" s="19">
        <v>4</v>
      </c>
      <c r="G790" s="20">
        <f>Insumos!Q21</f>
        <v>0</v>
      </c>
      <c r="H790" s="21">
        <f t="shared" ref="H790:H796" si="60">G790*F790</f>
        <v>0</v>
      </c>
    </row>
    <row r="791" spans="2:8" x14ac:dyDescent="0.25">
      <c r="B791" s="536"/>
      <c r="C791" s="537"/>
      <c r="D791" s="17" t="s">
        <v>19</v>
      </c>
      <c r="E791" s="18" t="s">
        <v>18</v>
      </c>
      <c r="F791" s="19">
        <v>8</v>
      </c>
      <c r="G791" s="20">
        <f>Insumos!Q22</f>
        <v>0</v>
      </c>
      <c r="H791" s="21">
        <f t="shared" si="60"/>
        <v>0</v>
      </c>
    </row>
    <row r="792" spans="2:8" x14ac:dyDescent="0.25">
      <c r="B792" s="536"/>
      <c r="C792" s="537"/>
      <c r="D792" s="17" t="s">
        <v>20</v>
      </c>
      <c r="E792" s="18" t="s">
        <v>18</v>
      </c>
      <c r="F792" s="19">
        <v>8</v>
      </c>
      <c r="G792" s="20">
        <f>Insumos!Q23</f>
        <v>0</v>
      </c>
      <c r="H792" s="21">
        <f t="shared" si="60"/>
        <v>0</v>
      </c>
    </row>
    <row r="793" spans="2:8" x14ac:dyDescent="0.25">
      <c r="B793" s="536"/>
      <c r="C793" s="537"/>
      <c r="D793" s="17" t="s">
        <v>21</v>
      </c>
      <c r="E793" s="18" t="s">
        <v>18</v>
      </c>
      <c r="F793" s="19">
        <v>0</v>
      </c>
      <c r="G793" s="20">
        <f>Insumos!Q24</f>
        <v>0</v>
      </c>
      <c r="H793" s="21">
        <f t="shared" si="60"/>
        <v>0</v>
      </c>
    </row>
    <row r="794" spans="2:8" x14ac:dyDescent="0.25">
      <c r="B794" s="536"/>
      <c r="C794" s="537"/>
      <c r="D794" s="17" t="s">
        <v>22</v>
      </c>
      <c r="E794" s="18" t="s">
        <v>18</v>
      </c>
      <c r="F794" s="19">
        <v>2</v>
      </c>
      <c r="G794" s="20">
        <f>Insumos!Q25</f>
        <v>0</v>
      </c>
      <c r="H794" s="21">
        <f t="shared" si="60"/>
        <v>0</v>
      </c>
    </row>
    <row r="795" spans="2:8" x14ac:dyDescent="0.25">
      <c r="B795" s="536"/>
      <c r="C795" s="537"/>
      <c r="D795" s="17" t="s">
        <v>23</v>
      </c>
      <c r="E795" s="18" t="s">
        <v>18</v>
      </c>
      <c r="F795" s="19">
        <v>2</v>
      </c>
      <c r="G795" s="20">
        <f>Insumos!Q26</f>
        <v>0</v>
      </c>
      <c r="H795" s="21">
        <f t="shared" si="60"/>
        <v>0</v>
      </c>
    </row>
    <row r="796" spans="2:8" x14ac:dyDescent="0.25">
      <c r="B796" s="536"/>
      <c r="C796" s="537"/>
      <c r="D796" s="17" t="s">
        <v>24</v>
      </c>
      <c r="E796" s="18" t="s">
        <v>18</v>
      </c>
      <c r="F796" s="19">
        <v>2</v>
      </c>
      <c r="G796" s="20">
        <f>Insumos!Q27</f>
        <v>0</v>
      </c>
      <c r="H796" s="21">
        <f t="shared" si="60"/>
        <v>0</v>
      </c>
    </row>
    <row r="797" spans="2:8" x14ac:dyDescent="0.25">
      <c r="B797" s="536"/>
      <c r="C797" s="537"/>
      <c r="D797" s="525"/>
      <c r="E797" s="526"/>
      <c r="F797" s="531" t="s">
        <v>25</v>
      </c>
      <c r="G797" s="515"/>
      <c r="H797" s="22">
        <f>SUM(H789:H796)</f>
        <v>0</v>
      </c>
    </row>
    <row r="798" spans="2:8" ht="30" x14ac:dyDescent="0.25">
      <c r="B798" s="536"/>
      <c r="C798" s="537"/>
      <c r="D798" s="527"/>
      <c r="E798" s="528"/>
      <c r="F798" s="26" t="s">
        <v>26</v>
      </c>
      <c r="G798" s="24">
        <f>Insumos!$K$28</f>
        <v>0.70109999999999995</v>
      </c>
      <c r="H798" s="25">
        <f>H797*G798</f>
        <v>0</v>
      </c>
    </row>
    <row r="799" spans="2:8" x14ac:dyDescent="0.25">
      <c r="B799" s="536"/>
      <c r="C799" s="537"/>
      <c r="D799" s="527"/>
      <c r="E799" s="528"/>
      <c r="F799" s="531" t="s">
        <v>8</v>
      </c>
      <c r="G799" s="515"/>
      <c r="H799" s="22">
        <f>H798+H797</f>
        <v>0</v>
      </c>
    </row>
    <row r="800" spans="2:8" x14ac:dyDescent="0.25">
      <c r="B800" s="536"/>
      <c r="C800" s="537"/>
      <c r="D800" s="527"/>
      <c r="E800" s="528"/>
      <c r="F800" s="26" t="s">
        <v>27</v>
      </c>
      <c r="G800" s="24">
        <f>BDI!$C$20</f>
        <v>0.2492</v>
      </c>
      <c r="H800" s="25">
        <f>H799*G800</f>
        <v>0</v>
      </c>
    </row>
    <row r="801" spans="2:8" x14ac:dyDescent="0.25">
      <c r="B801" s="538"/>
      <c r="C801" s="539"/>
      <c r="D801" s="529"/>
      <c r="E801" s="530"/>
      <c r="F801" s="514" t="s">
        <v>28</v>
      </c>
      <c r="G801" s="515"/>
      <c r="H801" s="27">
        <f>TRUNC(H800+H799,2)</f>
        <v>0</v>
      </c>
    </row>
    <row r="802" spans="2:8" x14ac:dyDescent="0.25">
      <c r="B802" s="532" t="s">
        <v>29</v>
      </c>
      <c r="C802" s="34"/>
      <c r="D802" s="13" t="s">
        <v>12</v>
      </c>
      <c r="E802" s="14" t="s">
        <v>13</v>
      </c>
      <c r="F802" s="15" t="s">
        <v>14</v>
      </c>
      <c r="G802" s="14" t="s">
        <v>15</v>
      </c>
      <c r="H802" s="52" t="s">
        <v>16</v>
      </c>
    </row>
    <row r="803" spans="2:8" x14ac:dyDescent="0.25">
      <c r="B803" s="533"/>
      <c r="C803" s="34" t="s">
        <v>1821</v>
      </c>
      <c r="D803" s="43" t="s">
        <v>31</v>
      </c>
      <c r="E803" s="18" t="s">
        <v>32</v>
      </c>
      <c r="F803" s="37">
        <v>1</v>
      </c>
      <c r="G803" s="53">
        <f>'33 Toldo_II'!K8</f>
        <v>0</v>
      </c>
      <c r="H803" s="21">
        <f t="shared" ref="H803:H808" si="61">G803*F803</f>
        <v>0</v>
      </c>
    </row>
    <row r="804" spans="2:8" x14ac:dyDescent="0.25">
      <c r="B804" s="533"/>
      <c r="C804" s="34" t="s">
        <v>1822</v>
      </c>
      <c r="D804" s="43" t="s">
        <v>34</v>
      </c>
      <c r="E804" s="18" t="s">
        <v>35</v>
      </c>
      <c r="F804" s="37">
        <v>1</v>
      </c>
      <c r="G804" s="53">
        <f>'33 Toldo_II'!K19</f>
        <v>0</v>
      </c>
      <c r="H804" s="21">
        <f t="shared" si="61"/>
        <v>0</v>
      </c>
    </row>
    <row r="805" spans="2:8" ht="30" x14ac:dyDescent="0.25">
      <c r="B805" s="543"/>
      <c r="C805" s="34" t="s">
        <v>1823</v>
      </c>
      <c r="D805" s="43" t="s">
        <v>37</v>
      </c>
      <c r="E805" s="18" t="s">
        <v>32</v>
      </c>
      <c r="F805" s="37">
        <v>1</v>
      </c>
      <c r="G805" s="53">
        <f>'33 Toldo_II'!K32</f>
        <v>0</v>
      </c>
      <c r="H805" s="21">
        <f t="shared" si="61"/>
        <v>0</v>
      </c>
    </row>
    <row r="806" spans="2:8" x14ac:dyDescent="0.25">
      <c r="B806" s="544" t="s">
        <v>38</v>
      </c>
      <c r="C806" s="34" t="s">
        <v>1824</v>
      </c>
      <c r="D806" s="43" t="s">
        <v>40</v>
      </c>
      <c r="E806" s="18" t="s">
        <v>35</v>
      </c>
      <c r="F806" s="37">
        <v>1</v>
      </c>
      <c r="G806" s="53">
        <f>'33 Toldo_II'!K37</f>
        <v>0</v>
      </c>
      <c r="H806" s="21">
        <f t="shared" si="61"/>
        <v>0</v>
      </c>
    </row>
    <row r="807" spans="2:8" x14ac:dyDescent="0.25">
      <c r="B807" s="545"/>
      <c r="C807" s="34" t="s">
        <v>1825</v>
      </c>
      <c r="D807" s="43" t="s">
        <v>42</v>
      </c>
      <c r="E807" s="18" t="s">
        <v>35</v>
      </c>
      <c r="F807" s="37">
        <v>1</v>
      </c>
      <c r="G807" s="53">
        <f>'33 Toldo_II'!K42</f>
        <v>0</v>
      </c>
      <c r="H807" s="21">
        <f t="shared" si="61"/>
        <v>0</v>
      </c>
    </row>
    <row r="808" spans="2:8" x14ac:dyDescent="0.25">
      <c r="B808" s="546"/>
      <c r="C808" s="34" t="s">
        <v>1826</v>
      </c>
      <c r="D808" s="43" t="s">
        <v>44</v>
      </c>
      <c r="E808" s="18" t="s">
        <v>35</v>
      </c>
      <c r="F808" s="37">
        <v>1</v>
      </c>
      <c r="G808" s="53">
        <f>'33 Toldo_II'!K49</f>
        <v>0</v>
      </c>
      <c r="H808" s="21">
        <f t="shared" si="61"/>
        <v>0</v>
      </c>
    </row>
    <row r="809" spans="2:8" x14ac:dyDescent="0.25">
      <c r="B809" s="549"/>
      <c r="C809" s="550"/>
      <c r="D809" s="525"/>
      <c r="E809" s="526"/>
      <c r="F809" s="531" t="s">
        <v>25</v>
      </c>
      <c r="G809" s="515"/>
      <c r="H809" s="22">
        <f>SUM(H802:H808)</f>
        <v>0</v>
      </c>
    </row>
    <row r="810" spans="2:8" x14ac:dyDescent="0.25">
      <c r="B810" s="549"/>
      <c r="C810" s="550"/>
      <c r="D810" s="527"/>
      <c r="E810" s="528"/>
      <c r="F810" s="26" t="s">
        <v>27</v>
      </c>
      <c r="G810" s="24">
        <f>BDI!$C$20</f>
        <v>0.2492</v>
      </c>
      <c r="H810" s="25">
        <f>H809*G810</f>
        <v>0</v>
      </c>
    </row>
    <row r="811" spans="2:8" x14ac:dyDescent="0.25">
      <c r="B811" s="551"/>
      <c r="C811" s="552"/>
      <c r="D811" s="529"/>
      <c r="E811" s="530"/>
      <c r="F811" s="514" t="s">
        <v>45</v>
      </c>
      <c r="G811" s="515"/>
      <c r="H811" s="27">
        <f>TRUNC(H810+H809,2)</f>
        <v>0</v>
      </c>
    </row>
    <row r="812" spans="2:8" x14ac:dyDescent="0.25">
      <c r="B812" s="516" t="s">
        <v>46</v>
      </c>
      <c r="C812" s="517"/>
      <c r="D812" s="517"/>
      <c r="E812" s="517"/>
      <c r="F812" s="517"/>
      <c r="G812" s="515"/>
      <c r="H812" s="45">
        <f>H811+H801</f>
        <v>0</v>
      </c>
    </row>
    <row r="813" spans="2:8" x14ac:dyDescent="0.25">
      <c r="B813" s="46"/>
      <c r="C813" s="47"/>
      <c r="D813" s="48"/>
      <c r="E813" s="48"/>
      <c r="F813" s="49"/>
      <c r="G813" s="48"/>
      <c r="H813" s="50"/>
    </row>
    <row r="814" spans="2:8" x14ac:dyDescent="0.25">
      <c r="B814" s="11"/>
      <c r="C814" s="12"/>
      <c r="D814" s="518" t="s">
        <v>224</v>
      </c>
      <c r="E814" s="517"/>
      <c r="F814" s="517"/>
      <c r="G814" s="517"/>
      <c r="H814" s="553"/>
    </row>
    <row r="815" spans="2:8" x14ac:dyDescent="0.25">
      <c r="B815" s="11" t="s">
        <v>12</v>
      </c>
      <c r="C815" s="12">
        <v>34</v>
      </c>
      <c r="D815" s="518" t="s">
        <v>226</v>
      </c>
      <c r="E815" s="519"/>
      <c r="F815" s="519"/>
      <c r="G815" s="519"/>
      <c r="H815" s="520"/>
    </row>
    <row r="816" spans="2:8" x14ac:dyDescent="0.25">
      <c r="B816" s="547" t="s">
        <v>11</v>
      </c>
      <c r="C816" s="548"/>
      <c r="D816" s="13" t="s">
        <v>12</v>
      </c>
      <c r="E816" s="14" t="s">
        <v>13</v>
      </c>
      <c r="F816" s="15" t="s">
        <v>14</v>
      </c>
      <c r="G816" s="14" t="s">
        <v>15</v>
      </c>
      <c r="H816" s="16" t="s">
        <v>16</v>
      </c>
    </row>
    <row r="817" spans="2:8" x14ac:dyDescent="0.25">
      <c r="B817" s="536"/>
      <c r="C817" s="537"/>
      <c r="D817" s="17" t="s">
        <v>17</v>
      </c>
      <c r="E817" s="18" t="s">
        <v>18</v>
      </c>
      <c r="F817" s="19">
        <v>40</v>
      </c>
      <c r="G817" s="20">
        <f>Insumos!Q21</f>
        <v>0</v>
      </c>
      <c r="H817" s="21">
        <f t="shared" ref="H817:H823" si="62">G817*F817</f>
        <v>0</v>
      </c>
    </row>
    <row r="818" spans="2:8" x14ac:dyDescent="0.25">
      <c r="B818" s="536"/>
      <c r="C818" s="537"/>
      <c r="D818" s="17" t="s">
        <v>19</v>
      </c>
      <c r="E818" s="18" t="s">
        <v>18</v>
      </c>
      <c r="F818" s="19">
        <v>240</v>
      </c>
      <c r="G818" s="20">
        <f>Insumos!Q22</f>
        <v>0</v>
      </c>
      <c r="H818" s="21">
        <f t="shared" si="62"/>
        <v>0</v>
      </c>
    </row>
    <row r="819" spans="2:8" x14ac:dyDescent="0.25">
      <c r="B819" s="536"/>
      <c r="C819" s="537"/>
      <c r="D819" s="17" t="s">
        <v>20</v>
      </c>
      <c r="E819" s="18" t="s">
        <v>18</v>
      </c>
      <c r="F819" s="19">
        <v>240</v>
      </c>
      <c r="G819" s="20">
        <f>Insumos!Q23</f>
        <v>0</v>
      </c>
      <c r="H819" s="21">
        <f t="shared" si="62"/>
        <v>0</v>
      </c>
    </row>
    <row r="820" spans="2:8" x14ac:dyDescent="0.25">
      <c r="B820" s="536"/>
      <c r="C820" s="537"/>
      <c r="D820" s="17" t="s">
        <v>21</v>
      </c>
      <c r="E820" s="18" t="s">
        <v>18</v>
      </c>
      <c r="F820" s="19">
        <v>160</v>
      </c>
      <c r="G820" s="20">
        <f>Insumos!Q24</f>
        <v>0</v>
      </c>
      <c r="H820" s="21">
        <f t="shared" si="62"/>
        <v>0</v>
      </c>
    </row>
    <row r="821" spans="2:8" x14ac:dyDescent="0.25">
      <c r="B821" s="536"/>
      <c r="C821" s="537"/>
      <c r="D821" s="17" t="s">
        <v>22</v>
      </c>
      <c r="E821" s="18" t="s">
        <v>18</v>
      </c>
      <c r="F821" s="19">
        <v>160</v>
      </c>
      <c r="G821" s="20">
        <f>Insumos!Q25</f>
        <v>0</v>
      </c>
      <c r="H821" s="21">
        <f t="shared" si="62"/>
        <v>0</v>
      </c>
    </row>
    <row r="822" spans="2:8" x14ac:dyDescent="0.25">
      <c r="B822" s="536"/>
      <c r="C822" s="537"/>
      <c r="D822" s="17" t="s">
        <v>23</v>
      </c>
      <c r="E822" s="18" t="s">
        <v>18</v>
      </c>
      <c r="F822" s="19">
        <v>40</v>
      </c>
      <c r="G822" s="20">
        <f>Insumos!Q26</f>
        <v>0</v>
      </c>
      <c r="H822" s="21">
        <f t="shared" si="62"/>
        <v>0</v>
      </c>
    </row>
    <row r="823" spans="2:8" x14ac:dyDescent="0.25">
      <c r="B823" s="536"/>
      <c r="C823" s="537"/>
      <c r="D823" s="17" t="s">
        <v>24</v>
      </c>
      <c r="E823" s="18" t="s">
        <v>18</v>
      </c>
      <c r="F823" s="19">
        <v>40</v>
      </c>
      <c r="G823" s="20">
        <f>Insumos!Q27</f>
        <v>0</v>
      </c>
      <c r="H823" s="21">
        <f t="shared" si="62"/>
        <v>0</v>
      </c>
    </row>
    <row r="824" spans="2:8" x14ac:dyDescent="0.25">
      <c r="B824" s="536"/>
      <c r="C824" s="537"/>
      <c r="D824" s="525"/>
      <c r="E824" s="526"/>
      <c r="F824" s="531" t="s">
        <v>25</v>
      </c>
      <c r="G824" s="515"/>
      <c r="H824" s="22">
        <f>SUM(H817:H823)</f>
        <v>0</v>
      </c>
    </row>
    <row r="825" spans="2:8" ht="30" x14ac:dyDescent="0.25">
      <c r="B825" s="536"/>
      <c r="C825" s="537"/>
      <c r="D825" s="527"/>
      <c r="E825" s="528"/>
      <c r="F825" s="26" t="s">
        <v>26</v>
      </c>
      <c r="G825" s="24">
        <f>Insumos!$K$28</f>
        <v>0.70109999999999995</v>
      </c>
      <c r="H825" s="25">
        <f>H824*G825</f>
        <v>0</v>
      </c>
    </row>
    <row r="826" spans="2:8" x14ac:dyDescent="0.25">
      <c r="B826" s="536"/>
      <c r="C826" s="537"/>
      <c r="D826" s="527"/>
      <c r="E826" s="528"/>
      <c r="F826" s="531" t="s">
        <v>8</v>
      </c>
      <c r="G826" s="515"/>
      <c r="H826" s="22">
        <f>H825+H824</f>
        <v>0</v>
      </c>
    </row>
    <row r="827" spans="2:8" x14ac:dyDescent="0.25">
      <c r="B827" s="536"/>
      <c r="C827" s="537"/>
      <c r="D827" s="527"/>
      <c r="E827" s="528"/>
      <c r="F827" s="26" t="s">
        <v>27</v>
      </c>
      <c r="G827" s="24">
        <f>BDI!$C$20</f>
        <v>0.2492</v>
      </c>
      <c r="H827" s="25">
        <f>H826*G827</f>
        <v>0</v>
      </c>
    </row>
    <row r="828" spans="2:8" x14ac:dyDescent="0.25">
      <c r="B828" s="538"/>
      <c r="C828" s="539"/>
      <c r="D828" s="529"/>
      <c r="E828" s="530"/>
      <c r="F828" s="514" t="s">
        <v>28</v>
      </c>
      <c r="G828" s="515"/>
      <c r="H828" s="27">
        <f>TRUNC(H827+H826,2)</f>
        <v>0</v>
      </c>
    </row>
    <row r="829" spans="2:8" x14ac:dyDescent="0.25">
      <c r="B829" s="532" t="s">
        <v>29</v>
      </c>
      <c r="C829" s="34"/>
      <c r="D829" s="13" t="s">
        <v>12</v>
      </c>
      <c r="E829" s="14" t="s">
        <v>13</v>
      </c>
      <c r="F829" s="15" t="s">
        <v>14</v>
      </c>
      <c r="G829" s="14" t="s">
        <v>15</v>
      </c>
      <c r="H829" s="52" t="s">
        <v>16</v>
      </c>
    </row>
    <row r="830" spans="2:8" x14ac:dyDescent="0.25">
      <c r="B830" s="533"/>
      <c r="C830" s="34" t="s">
        <v>216</v>
      </c>
      <c r="D830" s="43" t="s">
        <v>31</v>
      </c>
      <c r="E830" s="18" t="s">
        <v>32</v>
      </c>
      <c r="F830" s="37">
        <v>1</v>
      </c>
      <c r="G830" s="53">
        <f>'34 Estande Alto Moura'!K11</f>
        <v>0</v>
      </c>
      <c r="H830" s="21">
        <f t="shared" ref="H830:H835" si="63">G830*F830</f>
        <v>0</v>
      </c>
    </row>
    <row r="831" spans="2:8" x14ac:dyDescent="0.25">
      <c r="B831" s="533"/>
      <c r="C831" s="34" t="s">
        <v>217</v>
      </c>
      <c r="D831" s="43" t="s">
        <v>34</v>
      </c>
      <c r="E831" s="18" t="s">
        <v>35</v>
      </c>
      <c r="F831" s="37">
        <v>1</v>
      </c>
      <c r="G831" s="53">
        <f>'34 Estande Alto Moura'!K21</f>
        <v>0</v>
      </c>
      <c r="H831" s="21">
        <f t="shared" si="63"/>
        <v>0</v>
      </c>
    </row>
    <row r="832" spans="2:8" ht="30" x14ac:dyDescent="0.25">
      <c r="B832" s="543"/>
      <c r="C832" s="34" t="s">
        <v>218</v>
      </c>
      <c r="D832" s="43" t="s">
        <v>37</v>
      </c>
      <c r="E832" s="18" t="s">
        <v>32</v>
      </c>
      <c r="F832" s="37">
        <v>1</v>
      </c>
      <c r="G832" s="53">
        <f>'34 Estande Alto Moura'!K34</f>
        <v>0</v>
      </c>
      <c r="H832" s="21">
        <f t="shared" si="63"/>
        <v>0</v>
      </c>
    </row>
    <row r="833" spans="2:8" x14ac:dyDescent="0.25">
      <c r="B833" s="544" t="s">
        <v>38</v>
      </c>
      <c r="C833" s="34" t="s">
        <v>219</v>
      </c>
      <c r="D833" s="43" t="s">
        <v>40</v>
      </c>
      <c r="E833" s="18" t="s">
        <v>35</v>
      </c>
      <c r="F833" s="37">
        <v>1</v>
      </c>
      <c r="G833" s="53">
        <f>'34 Estande Alto Moura'!K39</f>
        <v>0</v>
      </c>
      <c r="H833" s="21">
        <f t="shared" si="63"/>
        <v>0</v>
      </c>
    </row>
    <row r="834" spans="2:8" x14ac:dyDescent="0.25">
      <c r="B834" s="545"/>
      <c r="C834" s="34" t="s">
        <v>220</v>
      </c>
      <c r="D834" s="43" t="s">
        <v>42</v>
      </c>
      <c r="E834" s="18" t="s">
        <v>35</v>
      </c>
      <c r="F834" s="37">
        <v>1</v>
      </c>
      <c r="G834" s="53">
        <f>'34 Estande Alto Moura'!K44</f>
        <v>0</v>
      </c>
      <c r="H834" s="21">
        <f t="shared" si="63"/>
        <v>0</v>
      </c>
    </row>
    <row r="835" spans="2:8" x14ac:dyDescent="0.25">
      <c r="B835" s="546"/>
      <c r="C835" s="34" t="s">
        <v>221</v>
      </c>
      <c r="D835" s="43" t="s">
        <v>44</v>
      </c>
      <c r="E835" s="18" t="s">
        <v>35</v>
      </c>
      <c r="F835" s="37">
        <v>1</v>
      </c>
      <c r="G835" s="53">
        <f>'34 Estande Alto Moura'!K51</f>
        <v>0</v>
      </c>
      <c r="H835" s="21">
        <f t="shared" si="63"/>
        <v>0</v>
      </c>
    </row>
    <row r="836" spans="2:8" x14ac:dyDescent="0.25">
      <c r="B836" s="549"/>
      <c r="C836" s="550"/>
      <c r="D836" s="525"/>
      <c r="E836" s="526"/>
      <c r="F836" s="531" t="s">
        <v>25</v>
      </c>
      <c r="G836" s="515"/>
      <c r="H836" s="22">
        <f>SUM(H829:H835)</f>
        <v>0</v>
      </c>
    </row>
    <row r="837" spans="2:8" x14ac:dyDescent="0.25">
      <c r="B837" s="549"/>
      <c r="C837" s="550"/>
      <c r="D837" s="527"/>
      <c r="E837" s="528"/>
      <c r="F837" s="26" t="s">
        <v>27</v>
      </c>
      <c r="G837" s="24">
        <f>BDI!$C$20</f>
        <v>0.2492</v>
      </c>
      <c r="H837" s="25">
        <f>H836*G837</f>
        <v>0</v>
      </c>
    </row>
    <row r="838" spans="2:8" x14ac:dyDescent="0.25">
      <c r="B838" s="551"/>
      <c r="C838" s="552"/>
      <c r="D838" s="529"/>
      <c r="E838" s="530"/>
      <c r="F838" s="514" t="s">
        <v>45</v>
      </c>
      <c r="G838" s="515"/>
      <c r="H838" s="27">
        <f>TRUNC(H837+H836,2)</f>
        <v>0</v>
      </c>
    </row>
    <row r="839" spans="2:8" x14ac:dyDescent="0.25">
      <c r="B839" s="516" t="s">
        <v>46</v>
      </c>
      <c r="C839" s="517"/>
      <c r="D839" s="517"/>
      <c r="E839" s="517"/>
      <c r="F839" s="517"/>
      <c r="G839" s="515"/>
      <c r="H839" s="45">
        <f>H838+H828</f>
        <v>0</v>
      </c>
    </row>
    <row r="840" spans="2:8" x14ac:dyDescent="0.25">
      <c r="B840" s="46"/>
      <c r="C840" s="47"/>
      <c r="D840" s="48"/>
      <c r="E840" s="48"/>
      <c r="F840" s="49"/>
      <c r="G840" s="48"/>
      <c r="H840" s="50"/>
    </row>
    <row r="841" spans="2:8" x14ac:dyDescent="0.25">
      <c r="B841" s="11" t="s">
        <v>12</v>
      </c>
      <c r="C841" s="12">
        <v>35</v>
      </c>
      <c r="D841" s="518" t="s">
        <v>55</v>
      </c>
      <c r="E841" s="519"/>
      <c r="F841" s="519"/>
      <c r="G841" s="519"/>
      <c r="H841" s="520"/>
    </row>
    <row r="842" spans="2:8" x14ac:dyDescent="0.25">
      <c r="B842" s="521" t="s">
        <v>11</v>
      </c>
      <c r="C842" s="522"/>
      <c r="D842" s="13" t="s">
        <v>12</v>
      </c>
      <c r="E842" s="14" t="s">
        <v>13</v>
      </c>
      <c r="F842" s="15" t="s">
        <v>14</v>
      </c>
      <c r="G842" s="14" t="s">
        <v>15</v>
      </c>
      <c r="H842" s="16" t="s">
        <v>16</v>
      </c>
    </row>
    <row r="843" spans="2:8" x14ac:dyDescent="0.25">
      <c r="B843" s="523"/>
      <c r="C843" s="524"/>
      <c r="D843" s="17" t="s">
        <v>17</v>
      </c>
      <c r="E843" s="18" t="s">
        <v>18</v>
      </c>
      <c r="F843" s="19">
        <v>260</v>
      </c>
      <c r="G843" s="20">
        <f>Insumos!Q21</f>
        <v>0</v>
      </c>
      <c r="H843" s="21">
        <f t="shared" ref="H843:H849" si="64">F843*G843</f>
        <v>0</v>
      </c>
    </row>
    <row r="844" spans="2:8" x14ac:dyDescent="0.25">
      <c r="B844" s="523"/>
      <c r="C844" s="524"/>
      <c r="D844" s="17" t="s">
        <v>19</v>
      </c>
      <c r="E844" s="18" t="s">
        <v>18</v>
      </c>
      <c r="F844" s="19">
        <v>260</v>
      </c>
      <c r="G844" s="20">
        <f>Insumos!Q22</f>
        <v>0</v>
      </c>
      <c r="H844" s="21">
        <f t="shared" si="64"/>
        <v>0</v>
      </c>
    </row>
    <row r="845" spans="2:8" x14ac:dyDescent="0.25">
      <c r="B845" s="523"/>
      <c r="C845" s="524"/>
      <c r="D845" s="17" t="s">
        <v>20</v>
      </c>
      <c r="E845" s="18" t="s">
        <v>18</v>
      </c>
      <c r="F845" s="19">
        <v>2400</v>
      </c>
      <c r="G845" s="20">
        <f>Insumos!Q23</f>
        <v>0</v>
      </c>
      <c r="H845" s="21">
        <f t="shared" si="64"/>
        <v>0</v>
      </c>
    </row>
    <row r="846" spans="2:8" x14ac:dyDescent="0.25">
      <c r="B846" s="523"/>
      <c r="C846" s="524"/>
      <c r="D846" s="17" t="s">
        <v>21</v>
      </c>
      <c r="E846" s="18" t="s">
        <v>18</v>
      </c>
      <c r="F846" s="19">
        <v>128</v>
      </c>
      <c r="G846" s="20">
        <f>Insumos!Q24</f>
        <v>0</v>
      </c>
      <c r="H846" s="21">
        <f t="shared" si="64"/>
        <v>0</v>
      </c>
    </row>
    <row r="847" spans="2:8" x14ac:dyDescent="0.25">
      <c r="B847" s="523"/>
      <c r="C847" s="524"/>
      <c r="D847" s="17" t="s">
        <v>22</v>
      </c>
      <c r="E847" s="18" t="s">
        <v>18</v>
      </c>
      <c r="F847" s="19">
        <v>100</v>
      </c>
      <c r="G847" s="20">
        <f>Insumos!Q25</f>
        <v>0</v>
      </c>
      <c r="H847" s="21">
        <f t="shared" si="64"/>
        <v>0</v>
      </c>
    </row>
    <row r="848" spans="2:8" x14ac:dyDescent="0.25">
      <c r="B848" s="523"/>
      <c r="C848" s="524"/>
      <c r="D848" s="17" t="s">
        <v>23</v>
      </c>
      <c r="E848" s="18" t="s">
        <v>18</v>
      </c>
      <c r="F848" s="19">
        <v>240</v>
      </c>
      <c r="G848" s="20">
        <f>Insumos!Q26</f>
        <v>0</v>
      </c>
      <c r="H848" s="21">
        <f t="shared" si="64"/>
        <v>0</v>
      </c>
    </row>
    <row r="849" spans="2:8" x14ac:dyDescent="0.25">
      <c r="B849" s="523"/>
      <c r="C849" s="524"/>
      <c r="D849" s="17" t="s">
        <v>24</v>
      </c>
      <c r="E849" s="18" t="s">
        <v>18</v>
      </c>
      <c r="F849" s="19">
        <v>480</v>
      </c>
      <c r="G849" s="20">
        <f>Insumos!Q27</f>
        <v>0</v>
      </c>
      <c r="H849" s="21">
        <f t="shared" si="64"/>
        <v>0</v>
      </c>
    </row>
    <row r="850" spans="2:8" x14ac:dyDescent="0.25">
      <c r="B850" s="523"/>
      <c r="C850" s="524"/>
      <c r="D850" s="525"/>
      <c r="E850" s="526"/>
      <c r="F850" s="531" t="s">
        <v>25</v>
      </c>
      <c r="G850" s="515"/>
      <c r="H850" s="22">
        <f>SUM(H843:H849)</f>
        <v>0</v>
      </c>
    </row>
    <row r="851" spans="2:8" ht="30" x14ac:dyDescent="0.25">
      <c r="B851" s="523"/>
      <c r="C851" s="524"/>
      <c r="D851" s="527"/>
      <c r="E851" s="528"/>
      <c r="F851" s="26" t="s">
        <v>26</v>
      </c>
      <c r="G851" s="24">
        <f>Insumos!$K$28</f>
        <v>0.70109999999999995</v>
      </c>
      <c r="H851" s="25">
        <f>H850*G851</f>
        <v>0</v>
      </c>
    </row>
    <row r="852" spans="2:8" x14ac:dyDescent="0.25">
      <c r="B852" s="523"/>
      <c r="C852" s="524"/>
      <c r="D852" s="527"/>
      <c r="E852" s="528"/>
      <c r="F852" s="531" t="s">
        <v>8</v>
      </c>
      <c r="G852" s="515"/>
      <c r="H852" s="22">
        <f>H851+H850</f>
        <v>0</v>
      </c>
    </row>
    <row r="853" spans="2:8" x14ac:dyDescent="0.25">
      <c r="B853" s="523"/>
      <c r="C853" s="524"/>
      <c r="D853" s="527"/>
      <c r="E853" s="528"/>
      <c r="F853" s="26" t="s">
        <v>27</v>
      </c>
      <c r="G853" s="24">
        <f>BDI!$C$20</f>
        <v>0.2492</v>
      </c>
      <c r="H853" s="25">
        <f>H852*G853</f>
        <v>0</v>
      </c>
    </row>
    <row r="854" spans="2:8" x14ac:dyDescent="0.25">
      <c r="B854" s="523"/>
      <c r="C854" s="524"/>
      <c r="D854" s="529"/>
      <c r="E854" s="530"/>
      <c r="F854" s="514" t="s">
        <v>28</v>
      </c>
      <c r="G854" s="515"/>
      <c r="H854" s="27">
        <f>H853+H852</f>
        <v>0</v>
      </c>
    </row>
    <row r="855" spans="2:8" x14ac:dyDescent="0.25">
      <c r="B855" s="532" t="s">
        <v>29</v>
      </c>
      <c r="C855" s="28"/>
      <c r="D855" s="13" t="s">
        <v>12</v>
      </c>
      <c r="E855" s="14" t="s">
        <v>13</v>
      </c>
      <c r="F855" s="15" t="s">
        <v>14</v>
      </c>
      <c r="G855" s="14" t="s">
        <v>15</v>
      </c>
      <c r="H855" s="52" t="s">
        <v>16</v>
      </c>
    </row>
    <row r="856" spans="2:8" x14ac:dyDescent="0.25">
      <c r="B856" s="533"/>
      <c r="C856" s="34" t="s">
        <v>227</v>
      </c>
      <c r="D856" s="43" t="s">
        <v>31</v>
      </c>
      <c r="E856" s="18" t="s">
        <v>32</v>
      </c>
      <c r="F856" s="37">
        <v>1</v>
      </c>
      <c r="G856" s="53">
        <f>'35 Pavilhão Polo Alto Do Moura'!K26</f>
        <v>0</v>
      </c>
      <c r="H856" s="21">
        <f t="shared" ref="H856:H861" si="65">F856*G856</f>
        <v>0</v>
      </c>
    </row>
    <row r="857" spans="2:8" x14ac:dyDescent="0.25">
      <c r="B857" s="533"/>
      <c r="C857" s="34" t="s">
        <v>228</v>
      </c>
      <c r="D857" s="43" t="s">
        <v>34</v>
      </c>
      <c r="E857" s="18" t="s">
        <v>35</v>
      </c>
      <c r="F857" s="37">
        <v>1</v>
      </c>
      <c r="G857" s="53">
        <f>'35 Pavilhão Polo Alto Do Moura'!K36</f>
        <v>0</v>
      </c>
      <c r="H857" s="21">
        <f t="shared" si="65"/>
        <v>0</v>
      </c>
    </row>
    <row r="858" spans="2:8" ht="30" x14ac:dyDescent="0.25">
      <c r="B858" s="543"/>
      <c r="C858" s="34" t="s">
        <v>229</v>
      </c>
      <c r="D858" s="43" t="s">
        <v>37</v>
      </c>
      <c r="E858" s="18" t="s">
        <v>32</v>
      </c>
      <c r="F858" s="37">
        <v>1</v>
      </c>
      <c r="G858" s="53">
        <f>'35 Pavilhão Polo Alto Do Moura'!K52</f>
        <v>0</v>
      </c>
      <c r="H858" s="21">
        <f t="shared" si="65"/>
        <v>0</v>
      </c>
    </row>
    <row r="859" spans="2:8" x14ac:dyDescent="0.25">
      <c r="B859" s="544" t="s">
        <v>38</v>
      </c>
      <c r="C859" s="34" t="s">
        <v>230</v>
      </c>
      <c r="D859" s="43" t="s">
        <v>40</v>
      </c>
      <c r="E859" s="18" t="s">
        <v>35</v>
      </c>
      <c r="F859" s="37">
        <v>1</v>
      </c>
      <c r="G859" s="53">
        <f>'35 Pavilhão Polo Alto Do Moura'!K57</f>
        <v>0</v>
      </c>
      <c r="H859" s="21">
        <f t="shared" si="65"/>
        <v>0</v>
      </c>
    </row>
    <row r="860" spans="2:8" x14ac:dyDescent="0.25">
      <c r="B860" s="545"/>
      <c r="C860" s="34" t="s">
        <v>231</v>
      </c>
      <c r="D860" s="43" t="s">
        <v>42</v>
      </c>
      <c r="E860" s="18" t="s">
        <v>35</v>
      </c>
      <c r="F860" s="37">
        <v>1</v>
      </c>
      <c r="G860" s="53">
        <f>'35 Pavilhão Polo Alto Do Moura'!K62</f>
        <v>0</v>
      </c>
      <c r="H860" s="21">
        <f t="shared" si="65"/>
        <v>0</v>
      </c>
    </row>
    <row r="861" spans="2:8" x14ac:dyDescent="0.25">
      <c r="B861" s="546"/>
      <c r="C861" s="34" t="s">
        <v>232</v>
      </c>
      <c r="D861" s="43" t="s">
        <v>44</v>
      </c>
      <c r="E861" s="18" t="s">
        <v>35</v>
      </c>
      <c r="F861" s="37">
        <v>1</v>
      </c>
      <c r="G861" s="53">
        <f>'35 Pavilhão Polo Alto Do Moura'!K69</f>
        <v>0</v>
      </c>
      <c r="H861" s="21">
        <f t="shared" si="65"/>
        <v>0</v>
      </c>
    </row>
    <row r="862" spans="2:8" x14ac:dyDescent="0.25">
      <c r="B862" s="534"/>
      <c r="C862" s="535"/>
      <c r="D862" s="525"/>
      <c r="E862" s="526"/>
      <c r="F862" s="531" t="s">
        <v>25</v>
      </c>
      <c r="G862" s="515"/>
      <c r="H862" s="22">
        <f>SUM(H855:H861)</f>
        <v>0</v>
      </c>
    </row>
    <row r="863" spans="2:8" x14ac:dyDescent="0.25">
      <c r="B863" s="536"/>
      <c r="C863" s="537"/>
      <c r="D863" s="527"/>
      <c r="E863" s="528"/>
      <c r="F863" s="26" t="s">
        <v>27</v>
      </c>
      <c r="G863" s="24">
        <f>BDI!$C$20</f>
        <v>0.2492</v>
      </c>
      <c r="H863" s="25">
        <f>H862*G863</f>
        <v>0</v>
      </c>
    </row>
    <row r="864" spans="2:8" x14ac:dyDescent="0.25">
      <c r="B864" s="538"/>
      <c r="C864" s="539"/>
      <c r="D864" s="529"/>
      <c r="E864" s="530"/>
      <c r="F864" s="514" t="s">
        <v>45</v>
      </c>
      <c r="G864" s="515"/>
      <c r="H864" s="27">
        <f>TRUNC(H863+H862,2)</f>
        <v>0</v>
      </c>
    </row>
    <row r="865" spans="2:8" x14ac:dyDescent="0.25">
      <c r="B865" s="516" t="s">
        <v>46</v>
      </c>
      <c r="C865" s="517"/>
      <c r="D865" s="517"/>
      <c r="E865" s="517"/>
      <c r="F865" s="517"/>
      <c r="G865" s="515"/>
      <c r="H865" s="45">
        <f>H864+H854</f>
        <v>0</v>
      </c>
    </row>
    <row r="866" spans="2:8" x14ac:dyDescent="0.25">
      <c r="B866" s="46"/>
      <c r="C866" s="47"/>
      <c r="D866" s="48"/>
      <c r="E866" s="48"/>
      <c r="F866" s="49"/>
      <c r="G866" s="48"/>
      <c r="H866" s="50"/>
    </row>
    <row r="867" spans="2:8" x14ac:dyDescent="0.25">
      <c r="B867" s="11" t="s">
        <v>12</v>
      </c>
      <c r="C867" s="12">
        <v>36</v>
      </c>
      <c r="D867" s="518" t="s">
        <v>1469</v>
      </c>
      <c r="E867" s="519"/>
      <c r="F867" s="519"/>
      <c r="G867" s="519"/>
      <c r="H867" s="520"/>
    </row>
    <row r="868" spans="2:8" x14ac:dyDescent="0.25">
      <c r="B868" s="547" t="s">
        <v>11</v>
      </c>
      <c r="C868" s="548"/>
      <c r="D868" s="13" t="s">
        <v>12</v>
      </c>
      <c r="E868" s="14" t="s">
        <v>13</v>
      </c>
      <c r="F868" s="15" t="s">
        <v>14</v>
      </c>
      <c r="G868" s="14" t="s">
        <v>15</v>
      </c>
      <c r="H868" s="16" t="s">
        <v>16</v>
      </c>
    </row>
    <row r="869" spans="2:8" x14ac:dyDescent="0.25">
      <c r="B869" s="536"/>
      <c r="C869" s="537"/>
      <c r="D869" s="17" t="s">
        <v>17</v>
      </c>
      <c r="E869" s="18" t="s">
        <v>18</v>
      </c>
      <c r="F869" s="19">
        <v>4</v>
      </c>
      <c r="G869" s="20">
        <f>Insumos!Q21</f>
        <v>0</v>
      </c>
      <c r="H869" s="21">
        <f t="shared" ref="H869:H875" si="66">G869*F869</f>
        <v>0</v>
      </c>
    </row>
    <row r="870" spans="2:8" x14ac:dyDescent="0.25">
      <c r="B870" s="536"/>
      <c r="C870" s="537"/>
      <c r="D870" s="17" t="s">
        <v>19</v>
      </c>
      <c r="E870" s="18" t="s">
        <v>18</v>
      </c>
      <c r="F870" s="19">
        <v>40</v>
      </c>
      <c r="G870" s="20">
        <f>Insumos!Q22</f>
        <v>0</v>
      </c>
      <c r="H870" s="21">
        <f t="shared" si="66"/>
        <v>0</v>
      </c>
    </row>
    <row r="871" spans="2:8" x14ac:dyDescent="0.25">
      <c r="B871" s="536"/>
      <c r="C871" s="537"/>
      <c r="D871" s="17" t="s">
        <v>20</v>
      </c>
      <c r="E871" s="18" t="s">
        <v>18</v>
      </c>
      <c r="F871" s="19">
        <v>40</v>
      </c>
      <c r="G871" s="20">
        <f>Insumos!Q23</f>
        <v>0</v>
      </c>
      <c r="H871" s="21">
        <f t="shared" si="66"/>
        <v>0</v>
      </c>
    </row>
    <row r="872" spans="2:8" x14ac:dyDescent="0.25">
      <c r="B872" s="536"/>
      <c r="C872" s="537"/>
      <c r="D872" s="17" t="s">
        <v>21</v>
      </c>
      <c r="E872" s="18" t="s">
        <v>18</v>
      </c>
      <c r="F872" s="19">
        <v>4</v>
      </c>
      <c r="G872" s="20">
        <f>Insumos!Q24</f>
        <v>0</v>
      </c>
      <c r="H872" s="21">
        <f t="shared" si="66"/>
        <v>0</v>
      </c>
    </row>
    <row r="873" spans="2:8" x14ac:dyDescent="0.25">
      <c r="B873" s="536"/>
      <c r="C873" s="537"/>
      <c r="D873" s="17" t="s">
        <v>22</v>
      </c>
      <c r="E873" s="18" t="s">
        <v>18</v>
      </c>
      <c r="F873" s="19">
        <v>4</v>
      </c>
      <c r="G873" s="20">
        <f>Insumos!Q25</f>
        <v>0</v>
      </c>
      <c r="H873" s="21">
        <f t="shared" si="66"/>
        <v>0</v>
      </c>
    </row>
    <row r="874" spans="2:8" x14ac:dyDescent="0.25">
      <c r="B874" s="536"/>
      <c r="C874" s="537"/>
      <c r="D874" s="17" t="s">
        <v>23</v>
      </c>
      <c r="E874" s="18" t="s">
        <v>18</v>
      </c>
      <c r="F874" s="19">
        <v>4</v>
      </c>
      <c r="G874" s="20">
        <f>Insumos!Q26</f>
        <v>0</v>
      </c>
      <c r="H874" s="21">
        <f t="shared" si="66"/>
        <v>0</v>
      </c>
    </row>
    <row r="875" spans="2:8" x14ac:dyDescent="0.25">
      <c r="B875" s="536"/>
      <c r="C875" s="537"/>
      <c r="D875" s="17" t="s">
        <v>24</v>
      </c>
      <c r="E875" s="18" t="s">
        <v>18</v>
      </c>
      <c r="F875" s="19">
        <v>4</v>
      </c>
      <c r="G875" s="20">
        <f>Insumos!Q27</f>
        <v>0</v>
      </c>
      <c r="H875" s="21">
        <f t="shared" si="66"/>
        <v>0</v>
      </c>
    </row>
    <row r="876" spans="2:8" x14ac:dyDescent="0.25">
      <c r="B876" s="536"/>
      <c r="C876" s="537"/>
      <c r="D876" s="525"/>
      <c r="E876" s="526"/>
      <c r="F876" s="531" t="s">
        <v>25</v>
      </c>
      <c r="G876" s="515"/>
      <c r="H876" s="22">
        <f>SUM(H869:H875)</f>
        <v>0</v>
      </c>
    </row>
    <row r="877" spans="2:8" ht="30" x14ac:dyDescent="0.25">
      <c r="B877" s="536"/>
      <c r="C877" s="537"/>
      <c r="D877" s="527"/>
      <c r="E877" s="528"/>
      <c r="F877" s="26" t="s">
        <v>26</v>
      </c>
      <c r="G877" s="24">
        <f>Insumos!$K$28</f>
        <v>0.70109999999999995</v>
      </c>
      <c r="H877" s="25">
        <f>H876*G877</f>
        <v>0</v>
      </c>
    </row>
    <row r="878" spans="2:8" x14ac:dyDescent="0.25">
      <c r="B878" s="536"/>
      <c r="C878" s="537"/>
      <c r="D878" s="527"/>
      <c r="E878" s="528"/>
      <c r="F878" s="531" t="s">
        <v>8</v>
      </c>
      <c r="G878" s="515"/>
      <c r="H878" s="22">
        <f>H877+H876</f>
        <v>0</v>
      </c>
    </row>
    <row r="879" spans="2:8" x14ac:dyDescent="0.25">
      <c r="B879" s="536"/>
      <c r="C879" s="537"/>
      <c r="D879" s="527"/>
      <c r="E879" s="528"/>
      <c r="F879" s="26" t="s">
        <v>27</v>
      </c>
      <c r="G879" s="24">
        <f>BDI!$C$20</f>
        <v>0.2492</v>
      </c>
      <c r="H879" s="25">
        <f>H878*G879</f>
        <v>0</v>
      </c>
    </row>
    <row r="880" spans="2:8" x14ac:dyDescent="0.25">
      <c r="B880" s="538"/>
      <c r="C880" s="539"/>
      <c r="D880" s="529"/>
      <c r="E880" s="530"/>
      <c r="F880" s="514" t="s">
        <v>28</v>
      </c>
      <c r="G880" s="515"/>
      <c r="H880" s="27">
        <f>TRUNC(H879+H878,2)</f>
        <v>0</v>
      </c>
    </row>
    <row r="881" spans="2:8" x14ac:dyDescent="0.25">
      <c r="B881" s="532" t="s">
        <v>29</v>
      </c>
      <c r="C881" s="34"/>
      <c r="D881" s="13" t="s">
        <v>12</v>
      </c>
      <c r="E881" s="14" t="s">
        <v>13</v>
      </c>
      <c r="F881" s="15" t="s">
        <v>14</v>
      </c>
      <c r="G881" s="14" t="s">
        <v>15</v>
      </c>
      <c r="H881" s="52" t="s">
        <v>16</v>
      </c>
    </row>
    <row r="882" spans="2:8" x14ac:dyDescent="0.25">
      <c r="B882" s="533"/>
      <c r="C882" s="34" t="s">
        <v>234</v>
      </c>
      <c r="D882" s="43" t="s">
        <v>31</v>
      </c>
      <c r="E882" s="18" t="s">
        <v>32</v>
      </c>
      <c r="F882" s="37">
        <v>1</v>
      </c>
      <c r="G882" s="53">
        <f>'36 Pórtico_IV'!K9</f>
        <v>0</v>
      </c>
      <c r="H882" s="21">
        <f t="shared" ref="H882:H887" si="67">G882*F882</f>
        <v>0</v>
      </c>
    </row>
    <row r="883" spans="2:8" x14ac:dyDescent="0.25">
      <c r="B883" s="533"/>
      <c r="C883" s="34" t="s">
        <v>235</v>
      </c>
      <c r="D883" s="43" t="s">
        <v>34</v>
      </c>
      <c r="E883" s="18" t="s">
        <v>35</v>
      </c>
      <c r="F883" s="37">
        <v>1</v>
      </c>
      <c r="G883" s="53">
        <f>'36 Pórtico_IV'!K19</f>
        <v>0</v>
      </c>
      <c r="H883" s="21">
        <f t="shared" si="67"/>
        <v>0</v>
      </c>
    </row>
    <row r="884" spans="2:8" ht="30" x14ac:dyDescent="0.25">
      <c r="B884" s="543"/>
      <c r="C884" s="34" t="s">
        <v>236</v>
      </c>
      <c r="D884" s="43" t="s">
        <v>37</v>
      </c>
      <c r="E884" s="18" t="s">
        <v>32</v>
      </c>
      <c r="F884" s="37">
        <v>1</v>
      </c>
      <c r="G884" s="53">
        <f>'36 Pórtico_IV'!K27</f>
        <v>0</v>
      </c>
      <c r="H884" s="21">
        <f t="shared" si="67"/>
        <v>0</v>
      </c>
    </row>
    <row r="885" spans="2:8" x14ac:dyDescent="0.25">
      <c r="B885" s="544" t="s">
        <v>38</v>
      </c>
      <c r="C885" s="34" t="s">
        <v>237</v>
      </c>
      <c r="D885" s="43" t="s">
        <v>40</v>
      </c>
      <c r="E885" s="18" t="s">
        <v>35</v>
      </c>
      <c r="F885" s="37">
        <v>1</v>
      </c>
      <c r="G885" s="53">
        <f>'36 Pórtico_IV'!K32</f>
        <v>0</v>
      </c>
      <c r="H885" s="21">
        <f t="shared" si="67"/>
        <v>0</v>
      </c>
    </row>
    <row r="886" spans="2:8" x14ac:dyDescent="0.25">
      <c r="B886" s="545"/>
      <c r="C886" s="34" t="s">
        <v>238</v>
      </c>
      <c r="D886" s="43" t="s">
        <v>42</v>
      </c>
      <c r="E886" s="18" t="s">
        <v>35</v>
      </c>
      <c r="F886" s="37">
        <v>1</v>
      </c>
      <c r="G886" s="53">
        <f>'36 Pórtico_IV'!K37</f>
        <v>0</v>
      </c>
      <c r="H886" s="21">
        <f t="shared" si="67"/>
        <v>0</v>
      </c>
    </row>
    <row r="887" spans="2:8" x14ac:dyDescent="0.25">
      <c r="B887" s="546"/>
      <c r="C887" s="34" t="s">
        <v>239</v>
      </c>
      <c r="D887" s="43" t="s">
        <v>44</v>
      </c>
      <c r="E887" s="18" t="s">
        <v>35</v>
      </c>
      <c r="F887" s="37">
        <v>1</v>
      </c>
      <c r="G887" s="53">
        <f>'36 Pórtico_IV'!K44</f>
        <v>0</v>
      </c>
      <c r="H887" s="21">
        <f t="shared" si="67"/>
        <v>0</v>
      </c>
    </row>
    <row r="888" spans="2:8" x14ac:dyDescent="0.25">
      <c r="B888" s="549"/>
      <c r="C888" s="550"/>
      <c r="D888" s="525"/>
      <c r="E888" s="526"/>
      <c r="F888" s="531" t="s">
        <v>25</v>
      </c>
      <c r="G888" s="515"/>
      <c r="H888" s="22">
        <f>SUM(H881:H887)</f>
        <v>0</v>
      </c>
    </row>
    <row r="889" spans="2:8" x14ac:dyDescent="0.25">
      <c r="B889" s="549"/>
      <c r="C889" s="550"/>
      <c r="D889" s="527"/>
      <c r="E889" s="528"/>
      <c r="F889" s="26" t="s">
        <v>27</v>
      </c>
      <c r="G889" s="24">
        <f>BDI!$C$20</f>
        <v>0.2492</v>
      </c>
      <c r="H889" s="25">
        <f>H888*G889</f>
        <v>0</v>
      </c>
    </row>
    <row r="890" spans="2:8" x14ac:dyDescent="0.25">
      <c r="B890" s="551"/>
      <c r="C890" s="552"/>
      <c r="D890" s="529"/>
      <c r="E890" s="530"/>
      <c r="F890" s="514" t="s">
        <v>45</v>
      </c>
      <c r="G890" s="515"/>
      <c r="H890" s="27">
        <f>TRUNC(H889+H888,2)</f>
        <v>0</v>
      </c>
    </row>
    <row r="891" spans="2:8" x14ac:dyDescent="0.25">
      <c r="B891" s="516" t="s">
        <v>46</v>
      </c>
      <c r="C891" s="517"/>
      <c r="D891" s="517"/>
      <c r="E891" s="517"/>
      <c r="F891" s="517"/>
      <c r="G891" s="515"/>
      <c r="H891" s="45">
        <f>H890+H880</f>
        <v>0</v>
      </c>
    </row>
    <row r="892" spans="2:8" x14ac:dyDescent="0.25">
      <c r="B892" s="46"/>
      <c r="C892" s="47"/>
      <c r="D892" s="48"/>
      <c r="E892" s="48"/>
      <c r="F892" s="49"/>
      <c r="G892" s="48"/>
      <c r="H892" s="50"/>
    </row>
    <row r="893" spans="2:8" x14ac:dyDescent="0.25">
      <c r="B893" s="11" t="s">
        <v>12</v>
      </c>
      <c r="C893" s="12">
        <v>37</v>
      </c>
      <c r="D893" s="518" t="s">
        <v>2021</v>
      </c>
      <c r="E893" s="519"/>
      <c r="F893" s="519"/>
      <c r="G893" s="519"/>
      <c r="H893" s="520"/>
    </row>
    <row r="894" spans="2:8" ht="15" customHeight="1" x14ac:dyDescent="0.25">
      <c r="B894" s="521" t="s">
        <v>11</v>
      </c>
      <c r="C894" s="522"/>
      <c r="D894" s="13" t="s">
        <v>12</v>
      </c>
      <c r="E894" s="14" t="s">
        <v>13</v>
      </c>
      <c r="F894" s="15" t="s">
        <v>14</v>
      </c>
      <c r="G894" s="14" t="s">
        <v>15</v>
      </c>
      <c r="H894" s="16" t="s">
        <v>16</v>
      </c>
    </row>
    <row r="895" spans="2:8" x14ac:dyDescent="0.25">
      <c r="B895" s="523"/>
      <c r="C895" s="524"/>
      <c r="D895" s="17" t="s">
        <v>17</v>
      </c>
      <c r="E895" s="18" t="s">
        <v>18</v>
      </c>
      <c r="F895" s="19">
        <v>24</v>
      </c>
      <c r="G895" s="20">
        <f>Insumos!Q21</f>
        <v>0</v>
      </c>
      <c r="H895" s="21">
        <f t="shared" ref="H895:H901" si="68">G895*F895</f>
        <v>0</v>
      </c>
    </row>
    <row r="896" spans="2:8" x14ac:dyDescent="0.25">
      <c r="B896" s="523"/>
      <c r="C896" s="524"/>
      <c r="D896" s="17" t="s">
        <v>19</v>
      </c>
      <c r="E896" s="18" t="s">
        <v>18</v>
      </c>
      <c r="F896" s="19">
        <v>120</v>
      </c>
      <c r="G896" s="20">
        <f>Insumos!Q22</f>
        <v>0</v>
      </c>
      <c r="H896" s="21">
        <f t="shared" si="68"/>
        <v>0</v>
      </c>
    </row>
    <row r="897" spans="2:8" x14ac:dyDescent="0.25">
      <c r="B897" s="523"/>
      <c r="C897" s="524"/>
      <c r="D897" s="17" t="s">
        <v>20</v>
      </c>
      <c r="E897" s="18" t="s">
        <v>18</v>
      </c>
      <c r="F897" s="19">
        <v>120</v>
      </c>
      <c r="G897" s="20">
        <f>Insumos!Q23</f>
        <v>0</v>
      </c>
      <c r="H897" s="21">
        <f t="shared" si="68"/>
        <v>0</v>
      </c>
    </row>
    <row r="898" spans="2:8" x14ac:dyDescent="0.25">
      <c r="B898" s="523"/>
      <c r="C898" s="524"/>
      <c r="D898" s="17" t="s">
        <v>21</v>
      </c>
      <c r="E898" s="18" t="s">
        <v>18</v>
      </c>
      <c r="F898" s="19">
        <v>240</v>
      </c>
      <c r="G898" s="20">
        <f>Insumos!Q24</f>
        <v>0</v>
      </c>
      <c r="H898" s="21">
        <f t="shared" si="68"/>
        <v>0</v>
      </c>
    </row>
    <row r="899" spans="2:8" x14ac:dyDescent="0.25">
      <c r="B899" s="523"/>
      <c r="C899" s="524"/>
      <c r="D899" s="17" t="s">
        <v>22</v>
      </c>
      <c r="E899" s="18" t="s">
        <v>18</v>
      </c>
      <c r="F899" s="19">
        <v>60</v>
      </c>
      <c r="G899" s="20">
        <f>Insumos!Q25</f>
        <v>0</v>
      </c>
      <c r="H899" s="21">
        <f t="shared" si="68"/>
        <v>0</v>
      </c>
    </row>
    <row r="900" spans="2:8" x14ac:dyDescent="0.25">
      <c r="B900" s="523"/>
      <c r="C900" s="524"/>
      <c r="D900" s="17" t="s">
        <v>23</v>
      </c>
      <c r="E900" s="18" t="s">
        <v>18</v>
      </c>
      <c r="F900" s="19">
        <v>60</v>
      </c>
      <c r="G900" s="20">
        <f>Insumos!Q26</f>
        <v>0</v>
      </c>
      <c r="H900" s="21">
        <f t="shared" si="68"/>
        <v>0</v>
      </c>
    </row>
    <row r="901" spans="2:8" x14ac:dyDescent="0.25">
      <c r="B901" s="523"/>
      <c r="C901" s="524"/>
      <c r="D901" s="17" t="s">
        <v>24</v>
      </c>
      <c r="E901" s="18" t="s">
        <v>18</v>
      </c>
      <c r="F901" s="19">
        <v>120</v>
      </c>
      <c r="G901" s="20">
        <f>Insumos!Q27</f>
        <v>0</v>
      </c>
      <c r="H901" s="21">
        <f t="shared" si="68"/>
        <v>0</v>
      </c>
    </row>
    <row r="902" spans="2:8" x14ac:dyDescent="0.25">
      <c r="B902" s="523"/>
      <c r="C902" s="524"/>
      <c r="D902" s="525"/>
      <c r="E902" s="526"/>
      <c r="F902" s="531" t="s">
        <v>25</v>
      </c>
      <c r="G902" s="515"/>
      <c r="H902" s="22">
        <f>SUM(H895:H901)</f>
        <v>0</v>
      </c>
    </row>
    <row r="903" spans="2:8" ht="30" x14ac:dyDescent="0.25">
      <c r="B903" s="523"/>
      <c r="C903" s="524"/>
      <c r="D903" s="527"/>
      <c r="E903" s="528"/>
      <c r="F903" s="26" t="s">
        <v>26</v>
      </c>
      <c r="G903" s="24">
        <f>Insumos!$K$28</f>
        <v>0.70109999999999995</v>
      </c>
      <c r="H903" s="25">
        <f>H902*G903</f>
        <v>0</v>
      </c>
    </row>
    <row r="904" spans="2:8" x14ac:dyDescent="0.25">
      <c r="B904" s="523"/>
      <c r="C904" s="524"/>
      <c r="D904" s="527"/>
      <c r="E904" s="528"/>
      <c r="F904" s="531" t="s">
        <v>8</v>
      </c>
      <c r="G904" s="515"/>
      <c r="H904" s="22">
        <f>H903+H902</f>
        <v>0</v>
      </c>
    </row>
    <row r="905" spans="2:8" x14ac:dyDescent="0.25">
      <c r="B905" s="523"/>
      <c r="C905" s="524"/>
      <c r="D905" s="527"/>
      <c r="E905" s="528"/>
      <c r="F905" s="26" t="s">
        <v>27</v>
      </c>
      <c r="G905" s="24">
        <f>BDI!$C$20</f>
        <v>0.2492</v>
      </c>
      <c r="H905" s="25">
        <f>H904*G905</f>
        <v>0</v>
      </c>
    </row>
    <row r="906" spans="2:8" x14ac:dyDescent="0.25">
      <c r="B906" s="523"/>
      <c r="C906" s="524"/>
      <c r="D906" s="529"/>
      <c r="E906" s="530"/>
      <c r="F906" s="514" t="s">
        <v>28</v>
      </c>
      <c r="G906" s="515"/>
      <c r="H906" s="27">
        <f>TRUNC(H905+H904,2)</f>
        <v>0</v>
      </c>
    </row>
    <row r="907" spans="2:8" ht="15" customHeight="1" x14ac:dyDescent="0.25">
      <c r="B907" s="532" t="s">
        <v>29</v>
      </c>
      <c r="C907" s="28"/>
      <c r="D907" s="13" t="s">
        <v>12</v>
      </c>
      <c r="E907" s="14" t="s">
        <v>13</v>
      </c>
      <c r="F907" s="15" t="s">
        <v>14</v>
      </c>
      <c r="G907" s="14" t="s">
        <v>15</v>
      </c>
      <c r="H907" s="52" t="s">
        <v>16</v>
      </c>
    </row>
    <row r="908" spans="2:8" x14ac:dyDescent="0.25">
      <c r="B908" s="533"/>
      <c r="C908" s="34" t="s">
        <v>1827</v>
      </c>
      <c r="D908" s="43" t="s">
        <v>31</v>
      </c>
      <c r="E908" s="18" t="s">
        <v>32</v>
      </c>
      <c r="F908" s="37">
        <v>1</v>
      </c>
      <c r="G908" s="53">
        <f>'37 Pav Quadrilha'!K12</f>
        <v>0</v>
      </c>
      <c r="H908" s="21">
        <f t="shared" ref="H908:H913" si="69">G908*F908</f>
        <v>0</v>
      </c>
    </row>
    <row r="909" spans="2:8" x14ac:dyDescent="0.25">
      <c r="B909" s="533"/>
      <c r="C909" s="34" t="s">
        <v>1828</v>
      </c>
      <c r="D909" s="43" t="s">
        <v>34</v>
      </c>
      <c r="E909" s="18" t="s">
        <v>35</v>
      </c>
      <c r="F909" s="37">
        <v>1</v>
      </c>
      <c r="G909" s="53">
        <f>'37 Pav Quadrilha'!K22</f>
        <v>0</v>
      </c>
      <c r="H909" s="21">
        <f t="shared" si="69"/>
        <v>0</v>
      </c>
    </row>
    <row r="910" spans="2:8" ht="30" x14ac:dyDescent="0.25">
      <c r="B910" s="543"/>
      <c r="C910" s="34" t="s">
        <v>1829</v>
      </c>
      <c r="D910" s="43" t="s">
        <v>37</v>
      </c>
      <c r="E910" s="18" t="s">
        <v>32</v>
      </c>
      <c r="F910" s="37">
        <v>1</v>
      </c>
      <c r="G910" s="53">
        <f>'37 Pav Quadrilha'!K37</f>
        <v>0</v>
      </c>
      <c r="H910" s="21">
        <f t="shared" si="69"/>
        <v>0</v>
      </c>
    </row>
    <row r="911" spans="2:8" ht="15" customHeight="1" x14ac:dyDescent="0.25">
      <c r="B911" s="544" t="s">
        <v>38</v>
      </c>
      <c r="C911" s="34" t="s">
        <v>1830</v>
      </c>
      <c r="D911" s="43" t="s">
        <v>40</v>
      </c>
      <c r="E911" s="18" t="s">
        <v>35</v>
      </c>
      <c r="F911" s="37">
        <v>1</v>
      </c>
      <c r="G911" s="53">
        <f>'37 Pav Quadrilha'!K42</f>
        <v>0</v>
      </c>
      <c r="H911" s="21">
        <f t="shared" si="69"/>
        <v>0</v>
      </c>
    </row>
    <row r="912" spans="2:8" x14ac:dyDescent="0.25">
      <c r="B912" s="545"/>
      <c r="C912" s="34" t="s">
        <v>1831</v>
      </c>
      <c r="D912" s="43" t="s">
        <v>42</v>
      </c>
      <c r="E912" s="18" t="s">
        <v>35</v>
      </c>
      <c r="F912" s="37">
        <v>1</v>
      </c>
      <c r="G912" s="53">
        <f>'37 Pav Quadrilha'!K47</f>
        <v>0</v>
      </c>
      <c r="H912" s="21">
        <f t="shared" si="69"/>
        <v>0</v>
      </c>
    </row>
    <row r="913" spans="2:8" x14ac:dyDescent="0.25">
      <c r="B913" s="546"/>
      <c r="C913" s="34" t="s">
        <v>1832</v>
      </c>
      <c r="D913" s="43" t="s">
        <v>44</v>
      </c>
      <c r="E913" s="18" t="s">
        <v>35</v>
      </c>
      <c r="F913" s="37">
        <v>1</v>
      </c>
      <c r="G913" s="53">
        <f>'37 Pav Quadrilha'!K54</f>
        <v>0</v>
      </c>
      <c r="H913" s="21">
        <f t="shared" si="69"/>
        <v>0</v>
      </c>
    </row>
    <row r="914" spans="2:8" x14ac:dyDescent="0.25">
      <c r="B914" s="534"/>
      <c r="C914" s="535"/>
      <c r="D914" s="525"/>
      <c r="E914" s="526"/>
      <c r="F914" s="531" t="s">
        <v>25</v>
      </c>
      <c r="G914" s="515"/>
      <c r="H914" s="22">
        <f>SUM(H907:H913)</f>
        <v>0</v>
      </c>
    </row>
    <row r="915" spans="2:8" x14ac:dyDescent="0.25">
      <c r="B915" s="536"/>
      <c r="C915" s="537"/>
      <c r="D915" s="527"/>
      <c r="E915" s="528"/>
      <c r="F915" s="26" t="s">
        <v>27</v>
      </c>
      <c r="G915" s="24">
        <f>BDI!$C$20</f>
        <v>0.2492</v>
      </c>
      <c r="H915" s="25">
        <f>H914*G915</f>
        <v>0</v>
      </c>
    </row>
    <row r="916" spans="2:8" x14ac:dyDescent="0.25">
      <c r="B916" s="538"/>
      <c r="C916" s="539"/>
      <c r="D916" s="529"/>
      <c r="E916" s="530"/>
      <c r="F916" s="514" t="s">
        <v>45</v>
      </c>
      <c r="G916" s="515"/>
      <c r="H916" s="27">
        <f>TRUNC(H915+H914,2)</f>
        <v>0</v>
      </c>
    </row>
    <row r="917" spans="2:8" x14ac:dyDescent="0.25">
      <c r="B917" s="516" t="s">
        <v>46</v>
      </c>
      <c r="C917" s="517"/>
      <c r="D917" s="517"/>
      <c r="E917" s="517"/>
      <c r="F917" s="517"/>
      <c r="G917" s="515"/>
      <c r="H917" s="45">
        <f>H916+H906</f>
        <v>0</v>
      </c>
    </row>
    <row r="918" spans="2:8" x14ac:dyDescent="0.25">
      <c r="B918" s="46"/>
      <c r="C918" s="47"/>
      <c r="D918" s="48"/>
      <c r="E918" s="48"/>
      <c r="F918" s="49"/>
      <c r="G918" s="48"/>
      <c r="H918" s="50"/>
    </row>
    <row r="919" spans="2:8" x14ac:dyDescent="0.25">
      <c r="B919" s="11" t="s">
        <v>12</v>
      </c>
      <c r="C919" s="12">
        <v>38</v>
      </c>
      <c r="D919" s="518" t="s">
        <v>1189</v>
      </c>
      <c r="E919" s="519"/>
      <c r="F919" s="519"/>
      <c r="G919" s="519"/>
      <c r="H919" s="520"/>
    </row>
    <row r="920" spans="2:8" x14ac:dyDescent="0.25">
      <c r="B920" s="521" t="s">
        <v>11</v>
      </c>
      <c r="C920" s="522"/>
      <c r="D920" s="13" t="s">
        <v>12</v>
      </c>
      <c r="E920" s="14" t="s">
        <v>13</v>
      </c>
      <c r="F920" s="15" t="s">
        <v>14</v>
      </c>
      <c r="G920" s="14" t="s">
        <v>15</v>
      </c>
      <c r="H920" s="16" t="s">
        <v>16</v>
      </c>
    </row>
    <row r="921" spans="2:8" x14ac:dyDescent="0.25">
      <c r="B921" s="523"/>
      <c r="C921" s="524"/>
      <c r="D921" s="17" t="s">
        <v>17</v>
      </c>
      <c r="E921" s="18" t="s">
        <v>18</v>
      </c>
      <c r="F921" s="19"/>
      <c r="G921" s="20">
        <f>Insumos!Q26</f>
        <v>0</v>
      </c>
      <c r="H921" s="21">
        <f t="shared" ref="H921:H927" si="70">G921*F921</f>
        <v>0</v>
      </c>
    </row>
    <row r="922" spans="2:8" x14ac:dyDescent="0.25">
      <c r="B922" s="523"/>
      <c r="C922" s="524"/>
      <c r="D922" s="17" t="s">
        <v>19</v>
      </c>
      <c r="E922" s="18" t="s">
        <v>18</v>
      </c>
      <c r="F922" s="19"/>
      <c r="G922" s="20">
        <f>Insumos!Q27</f>
        <v>0</v>
      </c>
      <c r="H922" s="21">
        <f t="shared" si="70"/>
        <v>0</v>
      </c>
    </row>
    <row r="923" spans="2:8" x14ac:dyDescent="0.25">
      <c r="B923" s="523"/>
      <c r="C923" s="524"/>
      <c r="D923" s="17" t="s">
        <v>20</v>
      </c>
      <c r="E923" s="18" t="s">
        <v>18</v>
      </c>
      <c r="F923" s="19"/>
      <c r="G923" s="20">
        <f>Insumos!Q28</f>
        <v>0</v>
      </c>
      <c r="H923" s="21">
        <f t="shared" si="70"/>
        <v>0</v>
      </c>
    </row>
    <row r="924" spans="2:8" x14ac:dyDescent="0.25">
      <c r="B924" s="523"/>
      <c r="C924" s="524"/>
      <c r="D924" s="17" t="s">
        <v>21</v>
      </c>
      <c r="E924" s="18" t="s">
        <v>18</v>
      </c>
      <c r="F924" s="19"/>
      <c r="G924" s="20">
        <f>Insumos!Q29</f>
        <v>0</v>
      </c>
      <c r="H924" s="21">
        <f t="shared" si="70"/>
        <v>0</v>
      </c>
    </row>
    <row r="925" spans="2:8" x14ac:dyDescent="0.25">
      <c r="B925" s="523"/>
      <c r="C925" s="524"/>
      <c r="D925" s="17" t="s">
        <v>22</v>
      </c>
      <c r="E925" s="18" t="s">
        <v>18</v>
      </c>
      <c r="F925" s="19"/>
      <c r="G925" s="20">
        <f>Insumos!Q30</f>
        <v>0</v>
      </c>
      <c r="H925" s="21">
        <f t="shared" si="70"/>
        <v>0</v>
      </c>
    </row>
    <row r="926" spans="2:8" x14ac:dyDescent="0.25">
      <c r="B926" s="523"/>
      <c r="C926" s="524"/>
      <c r="D926" s="17" t="s">
        <v>23</v>
      </c>
      <c r="E926" s="18" t="s">
        <v>18</v>
      </c>
      <c r="F926" s="19"/>
      <c r="G926" s="20">
        <f>Insumos!Q31</f>
        <v>0</v>
      </c>
      <c r="H926" s="21">
        <f t="shared" si="70"/>
        <v>0</v>
      </c>
    </row>
    <row r="927" spans="2:8" x14ac:dyDescent="0.25">
      <c r="B927" s="523"/>
      <c r="C927" s="524"/>
      <c r="D927" s="17" t="s">
        <v>24</v>
      </c>
      <c r="E927" s="18" t="s">
        <v>18</v>
      </c>
      <c r="F927" s="19"/>
      <c r="G927" s="20">
        <f>Insumos!Q32</f>
        <v>0</v>
      </c>
      <c r="H927" s="21">
        <f t="shared" si="70"/>
        <v>0</v>
      </c>
    </row>
    <row r="928" spans="2:8" x14ac:dyDescent="0.25">
      <c r="B928" s="523"/>
      <c r="C928" s="524"/>
      <c r="D928" s="525"/>
      <c r="E928" s="526"/>
      <c r="F928" s="531" t="s">
        <v>25</v>
      </c>
      <c r="G928" s="515"/>
      <c r="H928" s="22">
        <f>SUM(H921:H927)</f>
        <v>0</v>
      </c>
    </row>
    <row r="929" spans="2:8" ht="30" x14ac:dyDescent="0.25">
      <c r="B929" s="523"/>
      <c r="C929" s="524"/>
      <c r="D929" s="527"/>
      <c r="E929" s="528"/>
      <c r="F929" s="26" t="s">
        <v>26</v>
      </c>
      <c r="G929" s="24">
        <f>Insumos!$K$28</f>
        <v>0.70109999999999995</v>
      </c>
      <c r="H929" s="25">
        <f>H928*G929</f>
        <v>0</v>
      </c>
    </row>
    <row r="930" spans="2:8" x14ac:dyDescent="0.25">
      <c r="B930" s="523"/>
      <c r="C930" s="524"/>
      <c r="D930" s="527"/>
      <c r="E930" s="528"/>
      <c r="F930" s="531" t="s">
        <v>8</v>
      </c>
      <c r="G930" s="515"/>
      <c r="H930" s="22">
        <f>H929+H928</f>
        <v>0</v>
      </c>
    </row>
    <row r="931" spans="2:8" x14ac:dyDescent="0.25">
      <c r="B931" s="523"/>
      <c r="C931" s="524"/>
      <c r="D931" s="527"/>
      <c r="E931" s="528"/>
      <c r="F931" s="26" t="s">
        <v>27</v>
      </c>
      <c r="G931" s="24">
        <f>BDI!$C$20</f>
        <v>0.2492</v>
      </c>
      <c r="H931" s="25">
        <f>H930*G931</f>
        <v>0</v>
      </c>
    </row>
    <row r="932" spans="2:8" x14ac:dyDescent="0.25">
      <c r="B932" s="523"/>
      <c r="C932" s="524"/>
      <c r="D932" s="529"/>
      <c r="E932" s="530"/>
      <c r="F932" s="514" t="s">
        <v>28</v>
      </c>
      <c r="G932" s="515"/>
      <c r="H932" s="27">
        <f>TRUNC(H931+H930,2)</f>
        <v>0</v>
      </c>
    </row>
    <row r="933" spans="2:8" x14ac:dyDescent="0.25">
      <c r="B933" s="532" t="s">
        <v>29</v>
      </c>
      <c r="C933" s="28"/>
      <c r="D933" s="13" t="s">
        <v>12</v>
      </c>
      <c r="E933" s="14" t="s">
        <v>13</v>
      </c>
      <c r="F933" s="15" t="s">
        <v>14</v>
      </c>
      <c r="G933" s="14" t="s">
        <v>15</v>
      </c>
      <c r="H933" s="52" t="s">
        <v>16</v>
      </c>
    </row>
    <row r="934" spans="2:8" ht="45" x14ac:dyDescent="0.25">
      <c r="B934" s="533"/>
      <c r="C934" s="490" t="s">
        <v>2416</v>
      </c>
      <c r="D934" s="488" t="str">
        <f>D974</f>
        <v>RIPA NAO APARELHADA, *1,5 X 5* CM, EM MACARANDUBA/MASSARANDUBA, ANGELIM OU EQUIVALENTE DA REGIAO - BRUTA</v>
      </c>
      <c r="E934" s="489" t="str">
        <f>E974</f>
        <v>M</v>
      </c>
      <c r="F934" s="37">
        <v>1</v>
      </c>
      <c r="G934" s="53">
        <f>H995</f>
        <v>1760.45</v>
      </c>
      <c r="H934" s="21">
        <f t="shared" ref="H934" si="71">G934*F934</f>
        <v>1760.45</v>
      </c>
    </row>
    <row r="935" spans="2:8" x14ac:dyDescent="0.25">
      <c r="B935" s="534"/>
      <c r="C935" s="535"/>
      <c r="D935" s="525"/>
      <c r="E935" s="526"/>
      <c r="F935" s="531" t="s">
        <v>25</v>
      </c>
      <c r="G935" s="515"/>
      <c r="H935" s="22">
        <f>SUM(H933:H934)</f>
        <v>1760.45</v>
      </c>
    </row>
    <row r="936" spans="2:8" x14ac:dyDescent="0.25">
      <c r="B936" s="536"/>
      <c r="C936" s="537"/>
      <c r="D936" s="527"/>
      <c r="E936" s="528"/>
      <c r="F936" s="26" t="s">
        <v>27</v>
      </c>
      <c r="G936" s="24">
        <f>BDI!$C$20</f>
        <v>0.2492</v>
      </c>
      <c r="H936" s="25">
        <f>H935*G936</f>
        <v>438.70414</v>
      </c>
    </row>
    <row r="937" spans="2:8" x14ac:dyDescent="0.25">
      <c r="B937" s="538"/>
      <c r="C937" s="539"/>
      <c r="D937" s="529"/>
      <c r="E937" s="530"/>
      <c r="F937" s="514" t="s">
        <v>45</v>
      </c>
      <c r="G937" s="515"/>
      <c r="H937" s="27">
        <f>TRUNC(H936+H935,2)</f>
        <v>2199.15</v>
      </c>
    </row>
    <row r="938" spans="2:8" x14ac:dyDescent="0.25">
      <c r="B938" s="516" t="s">
        <v>46</v>
      </c>
      <c r="C938" s="517"/>
      <c r="D938" s="517"/>
      <c r="E938" s="517"/>
      <c r="F938" s="517"/>
      <c r="G938" s="515"/>
      <c r="H938" s="45">
        <f>H937+H932</f>
        <v>2199.15</v>
      </c>
    </row>
    <row r="939" spans="2:8" x14ac:dyDescent="0.25">
      <c r="B939" s="46"/>
      <c r="C939" s="47"/>
      <c r="D939" s="48"/>
      <c r="E939" s="48"/>
      <c r="F939" s="49"/>
      <c r="G939" s="48"/>
      <c r="H939" s="50"/>
    </row>
    <row r="940" spans="2:8" x14ac:dyDescent="0.25">
      <c r="B940" s="11" t="s">
        <v>12</v>
      </c>
      <c r="C940" s="12">
        <v>39</v>
      </c>
      <c r="D940" s="518" t="s">
        <v>1190</v>
      </c>
      <c r="E940" s="519"/>
      <c r="F940" s="519"/>
      <c r="G940" s="519"/>
      <c r="H940" s="520"/>
    </row>
    <row r="941" spans="2:8" x14ac:dyDescent="0.25">
      <c r="B941" s="521" t="s">
        <v>11</v>
      </c>
      <c r="C941" s="522"/>
      <c r="D941" s="13" t="s">
        <v>12</v>
      </c>
      <c r="E941" s="14" t="s">
        <v>13</v>
      </c>
      <c r="F941" s="15" t="s">
        <v>14</v>
      </c>
      <c r="G941" s="14" t="s">
        <v>15</v>
      </c>
      <c r="H941" s="16" t="s">
        <v>16</v>
      </c>
    </row>
    <row r="942" spans="2:8" x14ac:dyDescent="0.25">
      <c r="B942" s="523"/>
      <c r="C942" s="524"/>
      <c r="D942" s="17" t="s">
        <v>17</v>
      </c>
      <c r="E942" s="18" t="s">
        <v>18</v>
      </c>
      <c r="F942" s="19"/>
      <c r="G942" s="20">
        <f>Insumos!Q47</f>
        <v>0</v>
      </c>
      <c r="H942" s="21">
        <f t="shared" ref="H942:H948" si="72">G942*F942</f>
        <v>0</v>
      </c>
    </row>
    <row r="943" spans="2:8" x14ac:dyDescent="0.25">
      <c r="B943" s="523"/>
      <c r="C943" s="524"/>
      <c r="D943" s="17" t="s">
        <v>19</v>
      </c>
      <c r="E943" s="18" t="s">
        <v>18</v>
      </c>
      <c r="F943" s="19"/>
      <c r="G943" s="20">
        <f>Insumos!Q48</f>
        <v>0</v>
      </c>
      <c r="H943" s="21">
        <f t="shared" si="72"/>
        <v>0</v>
      </c>
    </row>
    <row r="944" spans="2:8" x14ac:dyDescent="0.25">
      <c r="B944" s="523"/>
      <c r="C944" s="524"/>
      <c r="D944" s="17" t="s">
        <v>20</v>
      </c>
      <c r="E944" s="18" t="s">
        <v>18</v>
      </c>
      <c r="F944" s="19"/>
      <c r="G944" s="20">
        <f>Insumos!Q49</f>
        <v>0</v>
      </c>
      <c r="H944" s="21">
        <f t="shared" si="72"/>
        <v>0</v>
      </c>
    </row>
    <row r="945" spans="2:8" x14ac:dyDescent="0.25">
      <c r="B945" s="523"/>
      <c r="C945" s="524"/>
      <c r="D945" s="17" t="s">
        <v>21</v>
      </c>
      <c r="E945" s="18" t="s">
        <v>18</v>
      </c>
      <c r="F945" s="19"/>
      <c r="G945" s="20">
        <f>Insumos!Q50</f>
        <v>0</v>
      </c>
      <c r="H945" s="21">
        <f t="shared" si="72"/>
        <v>0</v>
      </c>
    </row>
    <row r="946" spans="2:8" x14ac:dyDescent="0.25">
      <c r="B946" s="523"/>
      <c r="C946" s="524"/>
      <c r="D946" s="17" t="s">
        <v>22</v>
      </c>
      <c r="E946" s="18" t="s">
        <v>18</v>
      </c>
      <c r="F946" s="19"/>
      <c r="G946" s="20">
        <f>Insumos!Q51</f>
        <v>0</v>
      </c>
      <c r="H946" s="21">
        <f t="shared" si="72"/>
        <v>0</v>
      </c>
    </row>
    <row r="947" spans="2:8" x14ac:dyDescent="0.25">
      <c r="B947" s="523"/>
      <c r="C947" s="524"/>
      <c r="D947" s="17" t="s">
        <v>23</v>
      </c>
      <c r="E947" s="18" t="s">
        <v>18</v>
      </c>
      <c r="F947" s="19"/>
      <c r="G947" s="20">
        <f>Insumos!Q52</f>
        <v>0</v>
      </c>
      <c r="H947" s="21">
        <f t="shared" si="72"/>
        <v>0</v>
      </c>
    </row>
    <row r="948" spans="2:8" x14ac:dyDescent="0.25">
      <c r="B948" s="523"/>
      <c r="C948" s="524"/>
      <c r="D948" s="17" t="s">
        <v>24</v>
      </c>
      <c r="E948" s="18" t="s">
        <v>18</v>
      </c>
      <c r="F948" s="19"/>
      <c r="G948" s="20">
        <f>Insumos!Q53</f>
        <v>0</v>
      </c>
      <c r="H948" s="21">
        <f t="shared" si="72"/>
        <v>0</v>
      </c>
    </row>
    <row r="949" spans="2:8" x14ac:dyDescent="0.25">
      <c r="B949" s="523"/>
      <c r="C949" s="524"/>
      <c r="D949" s="525"/>
      <c r="E949" s="526"/>
      <c r="F949" s="531" t="s">
        <v>25</v>
      </c>
      <c r="G949" s="515"/>
      <c r="H949" s="22">
        <f>SUM(H942:H948)</f>
        <v>0</v>
      </c>
    </row>
    <row r="950" spans="2:8" ht="30" x14ac:dyDescent="0.25">
      <c r="B950" s="523"/>
      <c r="C950" s="524"/>
      <c r="D950" s="527"/>
      <c r="E950" s="528"/>
      <c r="F950" s="26" t="s">
        <v>26</v>
      </c>
      <c r="G950" s="24">
        <f>Insumos!$K$28</f>
        <v>0.70109999999999995</v>
      </c>
      <c r="H950" s="25">
        <f>H949*G950</f>
        <v>0</v>
      </c>
    </row>
    <row r="951" spans="2:8" x14ac:dyDescent="0.25">
      <c r="B951" s="523"/>
      <c r="C951" s="524"/>
      <c r="D951" s="527"/>
      <c r="E951" s="528"/>
      <c r="F951" s="531" t="s">
        <v>8</v>
      </c>
      <c r="G951" s="515"/>
      <c r="H951" s="22">
        <f>H950+H949</f>
        <v>0</v>
      </c>
    </row>
    <row r="952" spans="2:8" x14ac:dyDescent="0.25">
      <c r="B952" s="523"/>
      <c r="C952" s="524"/>
      <c r="D952" s="527"/>
      <c r="E952" s="528"/>
      <c r="F952" s="26" t="s">
        <v>27</v>
      </c>
      <c r="G952" s="24">
        <f>BDI!$C$20</f>
        <v>0.2492</v>
      </c>
      <c r="H952" s="25">
        <f>H951*G952</f>
        <v>0</v>
      </c>
    </row>
    <row r="953" spans="2:8" x14ac:dyDescent="0.25">
      <c r="B953" s="523"/>
      <c r="C953" s="524"/>
      <c r="D953" s="529"/>
      <c r="E953" s="530"/>
      <c r="F953" s="514" t="s">
        <v>28</v>
      </c>
      <c r="G953" s="515"/>
      <c r="H953" s="27">
        <f>TRUNC(H952+H951,2)</f>
        <v>0</v>
      </c>
    </row>
    <row r="954" spans="2:8" x14ac:dyDescent="0.25">
      <c r="B954" s="532" t="s">
        <v>29</v>
      </c>
      <c r="C954" s="28"/>
      <c r="D954" s="13" t="s">
        <v>12</v>
      </c>
      <c r="E954" s="14" t="s">
        <v>13</v>
      </c>
      <c r="F954" s="15" t="s">
        <v>14</v>
      </c>
      <c r="G954" s="14" t="s">
        <v>15</v>
      </c>
      <c r="H954" s="52" t="s">
        <v>16</v>
      </c>
    </row>
    <row r="955" spans="2:8" ht="45" x14ac:dyDescent="0.25">
      <c r="B955" s="533"/>
      <c r="C955" s="490" t="s">
        <v>2417</v>
      </c>
      <c r="D955" s="488" t="str">
        <f>D995</f>
        <v>LOCAÇÃO DE BANHEIRO QUÍMICO COM LIMPEZA DIÁRIA INCLUSO COLETA E DESTINAÇÃO FINAL DE EFLUENTES. [REF.: 1010016 CAERN]</v>
      </c>
      <c r="E955" s="489" t="str">
        <f>E995</f>
        <v>MÊS</v>
      </c>
      <c r="F955" s="37">
        <v>1</v>
      </c>
      <c r="G955" s="53">
        <f>H1001</f>
        <v>2429.4700000000003</v>
      </c>
      <c r="H955" s="21">
        <f t="shared" ref="H955" si="73">G955*F955</f>
        <v>2429.4700000000003</v>
      </c>
    </row>
    <row r="956" spans="2:8" x14ac:dyDescent="0.25">
      <c r="B956" s="534"/>
      <c r="C956" s="535"/>
      <c r="D956" s="525"/>
      <c r="E956" s="526"/>
      <c r="F956" s="531" t="s">
        <v>25</v>
      </c>
      <c r="G956" s="515"/>
      <c r="H956" s="22">
        <f>SUM(H954:H955)</f>
        <v>2429.4700000000003</v>
      </c>
    </row>
    <row r="957" spans="2:8" x14ac:dyDescent="0.25">
      <c r="B957" s="536"/>
      <c r="C957" s="537"/>
      <c r="D957" s="527"/>
      <c r="E957" s="528"/>
      <c r="F957" s="26" t="s">
        <v>27</v>
      </c>
      <c r="G957" s="24">
        <f>BDI!$C$20</f>
        <v>0.2492</v>
      </c>
      <c r="H957" s="25">
        <f>H956*G957</f>
        <v>605.42392400000006</v>
      </c>
    </row>
    <row r="958" spans="2:8" x14ac:dyDescent="0.25">
      <c r="B958" s="538"/>
      <c r="C958" s="539"/>
      <c r="D958" s="529"/>
      <c r="E958" s="530"/>
      <c r="F958" s="514" t="s">
        <v>45</v>
      </c>
      <c r="G958" s="515"/>
      <c r="H958" s="27">
        <f>TRUNC(H957+H956,2)</f>
        <v>3034.89</v>
      </c>
    </row>
    <row r="959" spans="2:8" x14ac:dyDescent="0.25">
      <c r="B959" s="516" t="s">
        <v>46</v>
      </c>
      <c r="C959" s="517"/>
      <c r="D959" s="517"/>
      <c r="E959" s="517"/>
      <c r="F959" s="517"/>
      <c r="G959" s="515"/>
      <c r="H959" s="45">
        <f>H958+H953</f>
        <v>3034.89</v>
      </c>
    </row>
    <row r="960" spans="2:8" ht="15.75" thickBot="1" x14ac:dyDescent="0.3">
      <c r="B960" s="46"/>
      <c r="C960" s="47"/>
      <c r="D960" s="48"/>
      <c r="E960" s="48"/>
      <c r="F960" s="49"/>
      <c r="G960" s="48"/>
      <c r="H960" s="50"/>
    </row>
    <row r="961" spans="2:8" ht="16.5" thickBot="1" x14ac:dyDescent="0.3">
      <c r="B961" s="540" t="s">
        <v>2360</v>
      </c>
      <c r="C961" s="541"/>
      <c r="D961" s="541"/>
      <c r="E961" s="541"/>
      <c r="F961" s="541"/>
      <c r="G961" s="541"/>
      <c r="H961" s="542"/>
    </row>
    <row r="962" spans="2:8" x14ac:dyDescent="0.25">
      <c r="B962" s="305"/>
      <c r="C962" s="305"/>
      <c r="E962" s="305"/>
      <c r="F962" s="305"/>
      <c r="G962" s="458"/>
      <c r="H962" s="458"/>
    </row>
    <row r="963" spans="2:8" x14ac:dyDescent="0.25">
      <c r="B963" s="459" t="s">
        <v>1113</v>
      </c>
      <c r="C963" s="459" t="s">
        <v>1839</v>
      </c>
      <c r="D963" s="459" t="s">
        <v>2</v>
      </c>
      <c r="E963" s="459" t="s">
        <v>13</v>
      </c>
      <c r="F963" s="460" t="s">
        <v>2361</v>
      </c>
      <c r="G963" s="461" t="s">
        <v>2362</v>
      </c>
      <c r="H963" s="461" t="s">
        <v>2363</v>
      </c>
    </row>
    <row r="964" spans="2:8" ht="45" x14ac:dyDescent="0.25">
      <c r="B964" s="462" t="s">
        <v>2179</v>
      </c>
      <c r="C964" s="462" t="s">
        <v>2180</v>
      </c>
      <c r="D964" s="463" t="s">
        <v>2181</v>
      </c>
      <c r="E964" s="462" t="s">
        <v>1940</v>
      </c>
      <c r="F964" s="464"/>
      <c r="G964" s="465">
        <v>117.82</v>
      </c>
      <c r="H964" s="466">
        <v>117.82</v>
      </c>
    </row>
    <row r="965" spans="2:8" ht="30" x14ac:dyDescent="0.25">
      <c r="B965" s="467" t="s">
        <v>2168</v>
      </c>
      <c r="C965" s="467" t="s">
        <v>2364</v>
      </c>
      <c r="D965" s="468" t="s">
        <v>2365</v>
      </c>
      <c r="E965" s="469" t="s">
        <v>2173</v>
      </c>
      <c r="F965" s="470">
        <v>100</v>
      </c>
      <c r="G965" s="471">
        <v>0.43</v>
      </c>
      <c r="H965" s="471">
        <v>0.43</v>
      </c>
    </row>
    <row r="966" spans="2:8" x14ac:dyDescent="0.25">
      <c r="B966" s="467" t="s">
        <v>1844</v>
      </c>
      <c r="C966" s="467" t="s">
        <v>2366</v>
      </c>
      <c r="D966" s="468" t="s">
        <v>2367</v>
      </c>
      <c r="E966" s="469" t="s">
        <v>2368</v>
      </c>
      <c r="F966" s="470">
        <v>0.25</v>
      </c>
      <c r="G966" s="471">
        <v>75.44</v>
      </c>
      <c r="H966" s="471">
        <v>75.44</v>
      </c>
    </row>
    <row r="967" spans="2:8" ht="30" x14ac:dyDescent="0.25">
      <c r="B967" s="467" t="s">
        <v>1844</v>
      </c>
      <c r="C967" s="467" t="s">
        <v>2369</v>
      </c>
      <c r="D967" s="468" t="s">
        <v>2370</v>
      </c>
      <c r="E967" s="469" t="s">
        <v>2368</v>
      </c>
      <c r="F967" s="470">
        <v>1.4999999999999999E-2</v>
      </c>
      <c r="G967" s="471">
        <v>423.94</v>
      </c>
      <c r="H967" s="471">
        <v>423.94</v>
      </c>
    </row>
    <row r="968" spans="2:8" ht="30" x14ac:dyDescent="0.25">
      <c r="B968" s="467" t="s">
        <v>1844</v>
      </c>
      <c r="C968" s="467" t="s">
        <v>2371</v>
      </c>
      <c r="D968" s="468" t="s">
        <v>2372</v>
      </c>
      <c r="E968" s="469" t="s">
        <v>1089</v>
      </c>
      <c r="F968" s="472">
        <v>1.5</v>
      </c>
      <c r="G968" s="471">
        <v>31.96</v>
      </c>
      <c r="H968" s="471">
        <v>31.96</v>
      </c>
    </row>
    <row r="969" spans="2:8" x14ac:dyDescent="0.25">
      <c r="B969" s="467" t="s">
        <v>1844</v>
      </c>
      <c r="C969" s="467" t="s">
        <v>2373</v>
      </c>
      <c r="D969" s="468" t="s">
        <v>2374</v>
      </c>
      <c r="E969" s="469" t="s">
        <v>2368</v>
      </c>
      <c r="F969" s="470">
        <v>0.05</v>
      </c>
      <c r="G969" s="471">
        <v>33.4</v>
      </c>
      <c r="H969" s="471">
        <v>33.4</v>
      </c>
    </row>
    <row r="970" spans="2:8" x14ac:dyDescent="0.25">
      <c r="B970" s="274"/>
      <c r="C970" s="274"/>
      <c r="D970" s="274"/>
      <c r="E970" s="274"/>
      <c r="F970" s="274"/>
      <c r="G970" s="274"/>
      <c r="H970" s="274"/>
    </row>
    <row r="971" spans="2:8" ht="30" x14ac:dyDescent="0.25">
      <c r="B971" s="462" t="s">
        <v>2179</v>
      </c>
      <c r="C971" s="462" t="s">
        <v>2188</v>
      </c>
      <c r="D971" s="463" t="s">
        <v>2189</v>
      </c>
      <c r="E971" s="462" t="s">
        <v>1940</v>
      </c>
      <c r="F971" s="464"/>
      <c r="G971" s="465">
        <v>484.92999999999995</v>
      </c>
      <c r="H971" s="466">
        <v>503.45</v>
      </c>
    </row>
    <row r="972" spans="2:8" ht="30" x14ac:dyDescent="0.25">
      <c r="B972" s="467" t="s">
        <v>1838</v>
      </c>
      <c r="C972" s="467" t="s">
        <v>2375</v>
      </c>
      <c r="D972" s="468" t="s">
        <v>2376</v>
      </c>
      <c r="E972" s="469" t="s">
        <v>1119</v>
      </c>
      <c r="F972" s="470">
        <v>2.1</v>
      </c>
      <c r="G972" s="471">
        <v>22.96</v>
      </c>
      <c r="H972" s="471">
        <v>24.88</v>
      </c>
    </row>
    <row r="973" spans="2:8" ht="30" x14ac:dyDescent="0.25">
      <c r="B973" s="467" t="s">
        <v>1838</v>
      </c>
      <c r="C973" s="467" t="s">
        <v>2377</v>
      </c>
      <c r="D973" s="468" t="s">
        <v>2378</v>
      </c>
      <c r="E973" s="469" t="s">
        <v>1119</v>
      </c>
      <c r="F973" s="470">
        <v>4.2</v>
      </c>
      <c r="G973" s="471">
        <v>27.01</v>
      </c>
      <c r="H973" s="471">
        <v>29.41</v>
      </c>
    </row>
    <row r="974" spans="2:8" ht="45" x14ac:dyDescent="0.25">
      <c r="B974" s="467" t="s">
        <v>2168</v>
      </c>
      <c r="C974" s="467" t="s">
        <v>2379</v>
      </c>
      <c r="D974" s="468" t="s">
        <v>2380</v>
      </c>
      <c r="E974" s="469" t="s">
        <v>1940</v>
      </c>
      <c r="F974" s="472">
        <v>11.399999999999999</v>
      </c>
      <c r="G974" s="471">
        <v>2.77</v>
      </c>
      <c r="H974" s="471">
        <v>2.77</v>
      </c>
    </row>
    <row r="975" spans="2:8" x14ac:dyDescent="0.25">
      <c r="B975" s="467" t="s">
        <v>2168</v>
      </c>
      <c r="C975" s="467" t="s">
        <v>2381</v>
      </c>
      <c r="D975" s="468" t="s">
        <v>2382</v>
      </c>
      <c r="E975" s="469" t="s">
        <v>1939</v>
      </c>
      <c r="F975" s="470">
        <v>0.45</v>
      </c>
      <c r="G975" s="471">
        <v>17.420000000000002</v>
      </c>
      <c r="H975" s="471">
        <v>17.420000000000002</v>
      </c>
    </row>
    <row r="976" spans="2:8" ht="30" x14ac:dyDescent="0.25">
      <c r="B976" s="467" t="s">
        <v>2168</v>
      </c>
      <c r="C976" s="467" t="s">
        <v>2383</v>
      </c>
      <c r="D976" s="468" t="s">
        <v>2384</v>
      </c>
      <c r="E976" s="469" t="s">
        <v>1940</v>
      </c>
      <c r="F976" s="470">
        <v>14.700000000000001</v>
      </c>
      <c r="G976" s="471">
        <v>10.66</v>
      </c>
      <c r="H976" s="471">
        <v>10.66</v>
      </c>
    </row>
    <row r="977" spans="2:8" ht="30" x14ac:dyDescent="0.25">
      <c r="B977" s="467" t="s">
        <v>2168</v>
      </c>
      <c r="C977" s="467" t="s">
        <v>2385</v>
      </c>
      <c r="D977" s="468" t="s">
        <v>2386</v>
      </c>
      <c r="E977" s="469" t="s">
        <v>1940</v>
      </c>
      <c r="F977" s="470">
        <v>10.199999999999999</v>
      </c>
      <c r="G977" s="471">
        <v>7.6</v>
      </c>
      <c r="H977" s="471">
        <v>7.6</v>
      </c>
    </row>
    <row r="978" spans="2:8" ht="45" x14ac:dyDescent="0.25">
      <c r="B978" s="467" t="s">
        <v>1838</v>
      </c>
      <c r="C978" s="467" t="s">
        <v>2387</v>
      </c>
      <c r="D978" s="468" t="s">
        <v>2388</v>
      </c>
      <c r="E978" s="469" t="s">
        <v>2389</v>
      </c>
      <c r="F978" s="470">
        <v>2.1</v>
      </c>
      <c r="G978" s="471">
        <v>23.65</v>
      </c>
      <c r="H978" s="471">
        <v>25.75</v>
      </c>
    </row>
    <row r="979" spans="2:8" x14ac:dyDescent="0.25">
      <c r="B979" s="274"/>
      <c r="C979" s="274"/>
      <c r="D979" s="274"/>
      <c r="E979" s="274"/>
      <c r="F979" s="274"/>
      <c r="G979" s="274"/>
      <c r="H979" s="274"/>
    </row>
    <row r="980" spans="2:8" ht="30" x14ac:dyDescent="0.25">
      <c r="B980" s="462" t="s">
        <v>2179</v>
      </c>
      <c r="C980" s="462" t="s">
        <v>2192</v>
      </c>
      <c r="D980" s="463" t="s">
        <v>2193</v>
      </c>
      <c r="E980" s="462" t="s">
        <v>2144</v>
      </c>
      <c r="F980" s="464"/>
      <c r="G980" s="465">
        <v>54.09</v>
      </c>
      <c r="H980" s="466">
        <v>58.64</v>
      </c>
    </row>
    <row r="981" spans="2:8" ht="30" x14ac:dyDescent="0.25">
      <c r="B981" s="467" t="s">
        <v>1838</v>
      </c>
      <c r="C981" s="467" t="s">
        <v>2375</v>
      </c>
      <c r="D981" s="468" t="s">
        <v>2376</v>
      </c>
      <c r="E981" s="469" t="s">
        <v>1119</v>
      </c>
      <c r="F981" s="470">
        <v>2.2010000000000001</v>
      </c>
      <c r="G981" s="471">
        <v>22.96</v>
      </c>
      <c r="H981" s="471">
        <v>24.88</v>
      </c>
    </row>
    <row r="982" spans="2:8" ht="30" x14ac:dyDescent="0.25">
      <c r="B982" s="467" t="s">
        <v>1838</v>
      </c>
      <c r="C982" s="467" t="s">
        <v>2377</v>
      </c>
      <c r="D982" s="468" t="s">
        <v>2378</v>
      </c>
      <c r="E982" s="469" t="s">
        <v>1119</v>
      </c>
      <c r="F982" s="470">
        <v>0.13200000000000001</v>
      </c>
      <c r="G982" s="471">
        <v>27.01</v>
      </c>
      <c r="H982" s="471">
        <v>29.41</v>
      </c>
    </row>
    <row r="983" spans="2:8" x14ac:dyDescent="0.25">
      <c r="B983" s="274"/>
      <c r="C983" s="274"/>
      <c r="D983" s="274"/>
      <c r="E983" s="274"/>
      <c r="F983" s="274"/>
      <c r="G983" s="274"/>
      <c r="H983" s="274"/>
    </row>
    <row r="984" spans="2:8" ht="30" x14ac:dyDescent="0.25">
      <c r="B984" s="462" t="s">
        <v>2179</v>
      </c>
      <c r="C984" s="462" t="s">
        <v>2194</v>
      </c>
      <c r="D984" s="463" t="s">
        <v>2195</v>
      </c>
      <c r="E984" s="462" t="s">
        <v>2144</v>
      </c>
      <c r="F984" s="464"/>
      <c r="G984" s="465">
        <v>19.72</v>
      </c>
      <c r="H984" s="466">
        <v>21.44</v>
      </c>
    </row>
    <row r="985" spans="2:8" ht="30" x14ac:dyDescent="0.25">
      <c r="B985" s="467" t="s">
        <v>1838</v>
      </c>
      <c r="C985" s="467" t="s">
        <v>2375</v>
      </c>
      <c r="D985" s="468" t="s">
        <v>2376</v>
      </c>
      <c r="E985" s="469" t="s">
        <v>1119</v>
      </c>
      <c r="F985" s="470">
        <v>0.18970000000000001</v>
      </c>
      <c r="G985" s="471">
        <v>22.96</v>
      </c>
      <c r="H985" s="471">
        <v>24.88</v>
      </c>
    </row>
    <row r="986" spans="2:8" ht="30" x14ac:dyDescent="0.25">
      <c r="B986" s="467" t="s">
        <v>1838</v>
      </c>
      <c r="C986" s="467" t="s">
        <v>2377</v>
      </c>
      <c r="D986" s="468" t="s">
        <v>2378</v>
      </c>
      <c r="E986" s="469" t="s">
        <v>1119</v>
      </c>
      <c r="F986" s="470">
        <v>0.56910000000000005</v>
      </c>
      <c r="G986" s="471">
        <v>27.01</v>
      </c>
      <c r="H986" s="471">
        <v>29.41</v>
      </c>
    </row>
    <row r="987" spans="2:8" x14ac:dyDescent="0.25">
      <c r="B987" s="274"/>
      <c r="C987" s="274"/>
      <c r="D987" s="274"/>
      <c r="E987" s="274"/>
      <c r="F987" s="274"/>
      <c r="G987" s="274"/>
      <c r="H987" s="274"/>
    </row>
    <row r="988" spans="2:8" ht="60" x14ac:dyDescent="0.25">
      <c r="B988" s="462" t="s">
        <v>2179</v>
      </c>
      <c r="C988" s="462" t="s">
        <v>2219</v>
      </c>
      <c r="D988" s="463" t="s">
        <v>2220</v>
      </c>
      <c r="E988" s="462" t="s">
        <v>1323</v>
      </c>
      <c r="F988" s="464"/>
      <c r="G988" s="465">
        <v>484.28000000000003</v>
      </c>
      <c r="H988" s="466">
        <v>491</v>
      </c>
    </row>
    <row r="989" spans="2:8" ht="75" x14ac:dyDescent="0.25">
      <c r="B989" s="467" t="s">
        <v>2168</v>
      </c>
      <c r="C989" s="467" t="s">
        <v>2390</v>
      </c>
      <c r="D989" s="468" t="s">
        <v>2391</v>
      </c>
      <c r="E989" s="469" t="s">
        <v>2392</v>
      </c>
      <c r="F989" s="470">
        <v>5.25</v>
      </c>
      <c r="G989" s="471">
        <v>28</v>
      </c>
      <c r="H989" s="471">
        <v>28</v>
      </c>
    </row>
    <row r="990" spans="2:8" ht="30" x14ac:dyDescent="0.25">
      <c r="B990" s="467" t="s">
        <v>1838</v>
      </c>
      <c r="C990" s="467" t="s">
        <v>2393</v>
      </c>
      <c r="D990" s="468" t="s">
        <v>2394</v>
      </c>
      <c r="E990" s="469" t="s">
        <v>1940</v>
      </c>
      <c r="F990" s="472">
        <v>3.5</v>
      </c>
      <c r="G990" s="471">
        <v>22.83</v>
      </c>
      <c r="H990" s="471">
        <v>24.75</v>
      </c>
    </row>
    <row r="991" spans="2:8" ht="30" x14ac:dyDescent="0.25">
      <c r="B991" s="467" t="s">
        <v>2168</v>
      </c>
      <c r="C991" s="467" t="s">
        <v>2383</v>
      </c>
      <c r="D991" s="468" t="s">
        <v>2384</v>
      </c>
      <c r="E991" s="469" t="s">
        <v>1940</v>
      </c>
      <c r="F991" s="470">
        <v>8</v>
      </c>
      <c r="G991" s="471">
        <v>10.66</v>
      </c>
      <c r="H991" s="471">
        <v>10.66</v>
      </c>
    </row>
    <row r="992" spans="2:8" ht="30" x14ac:dyDescent="0.25">
      <c r="B992" s="467" t="s">
        <v>2168</v>
      </c>
      <c r="C992" s="467" t="s">
        <v>2395</v>
      </c>
      <c r="D992" s="468" t="s">
        <v>2396</v>
      </c>
      <c r="E992" s="469" t="s">
        <v>1940</v>
      </c>
      <c r="F992" s="473">
        <v>14</v>
      </c>
      <c r="G992" s="471">
        <v>12.04</v>
      </c>
      <c r="H992" s="471">
        <v>12.04</v>
      </c>
    </row>
    <row r="993" spans="2:8" x14ac:dyDescent="0.25">
      <c r="B993" s="467" t="s">
        <v>2168</v>
      </c>
      <c r="C993" s="467" t="s">
        <v>2397</v>
      </c>
      <c r="D993" s="468" t="s">
        <v>2398</v>
      </c>
      <c r="E993" s="469" t="s">
        <v>1939</v>
      </c>
      <c r="F993" s="470">
        <v>0.2</v>
      </c>
      <c r="G993" s="471">
        <v>17.72</v>
      </c>
      <c r="H993" s="471">
        <v>17.72</v>
      </c>
    </row>
    <row r="995" spans="2:8" ht="67.5" customHeight="1" x14ac:dyDescent="0.25">
      <c r="B995" s="462" t="s">
        <v>2179</v>
      </c>
      <c r="C995" s="462" t="s">
        <v>2403</v>
      </c>
      <c r="D995" s="463" t="s">
        <v>2404</v>
      </c>
      <c r="E995" s="462" t="s">
        <v>248</v>
      </c>
      <c r="F995" s="464"/>
      <c r="G995" s="465">
        <v>1703.4599999999998</v>
      </c>
      <c r="H995" s="466">
        <v>1760.45</v>
      </c>
    </row>
    <row r="996" spans="2:8" ht="75" x14ac:dyDescent="0.25">
      <c r="B996" s="467" t="s">
        <v>1838</v>
      </c>
      <c r="C996" s="467" t="s">
        <v>2405</v>
      </c>
      <c r="D996" s="468" t="s">
        <v>2410</v>
      </c>
      <c r="E996" s="469" t="s">
        <v>2411</v>
      </c>
      <c r="F996" s="470">
        <v>1</v>
      </c>
      <c r="G996" s="471">
        <v>355.36</v>
      </c>
      <c r="H996" s="471">
        <v>357.75</v>
      </c>
    </row>
    <row r="997" spans="2:8" x14ac:dyDescent="0.25">
      <c r="B997" s="467" t="s">
        <v>1838</v>
      </c>
      <c r="C997" s="467" t="s">
        <v>2406</v>
      </c>
      <c r="D997" s="468" t="s">
        <v>2412</v>
      </c>
      <c r="E997" s="469" t="s">
        <v>1119</v>
      </c>
      <c r="F997" s="470">
        <v>30</v>
      </c>
      <c r="G997" s="471">
        <v>22.26</v>
      </c>
      <c r="H997" s="471">
        <v>24.08</v>
      </c>
    </row>
    <row r="998" spans="2:8" x14ac:dyDescent="0.25">
      <c r="B998" s="467" t="s">
        <v>2407</v>
      </c>
      <c r="C998" s="467">
        <v>10390</v>
      </c>
      <c r="D998" s="468" t="s">
        <v>2413</v>
      </c>
      <c r="E998" s="469" t="s">
        <v>2414</v>
      </c>
      <c r="F998" s="470">
        <v>1</v>
      </c>
      <c r="G998" s="471">
        <v>669.02</v>
      </c>
      <c r="H998" s="471">
        <v>669.02</v>
      </c>
    </row>
    <row r="999" spans="2:8" x14ac:dyDescent="0.25">
      <c r="B999" s="467" t="s">
        <v>2408</v>
      </c>
      <c r="C999" s="467" t="s">
        <v>2409</v>
      </c>
      <c r="D999" s="468" t="s">
        <v>2415</v>
      </c>
      <c r="E999" s="469" t="s">
        <v>2146</v>
      </c>
      <c r="F999" s="470">
        <v>3</v>
      </c>
      <c r="G999" s="471">
        <v>3.76</v>
      </c>
      <c r="H999" s="471">
        <v>3.76</v>
      </c>
    </row>
    <row r="1001" spans="2:8" ht="45" x14ac:dyDescent="0.25">
      <c r="B1001" s="462" t="s">
        <v>2179</v>
      </c>
      <c r="C1001" s="462" t="s">
        <v>2418</v>
      </c>
      <c r="D1001" s="463" t="s">
        <v>2419</v>
      </c>
      <c r="E1001" s="462" t="s">
        <v>248</v>
      </c>
      <c r="F1001" s="464"/>
      <c r="G1001" s="465">
        <v>2372.48</v>
      </c>
      <c r="H1001" s="466">
        <v>2429.4700000000003</v>
      </c>
    </row>
    <row r="1002" spans="2:8" ht="75" x14ac:dyDescent="0.25">
      <c r="B1002" s="467" t="s">
        <v>1838</v>
      </c>
      <c r="C1002" s="467" t="s">
        <v>2405</v>
      </c>
      <c r="D1002" s="468" t="s">
        <v>2410</v>
      </c>
      <c r="E1002" s="469" t="s">
        <v>2411</v>
      </c>
      <c r="F1002" s="470">
        <v>1</v>
      </c>
      <c r="G1002" s="471">
        <v>355.36</v>
      </c>
      <c r="H1002" s="471">
        <v>357.75</v>
      </c>
    </row>
    <row r="1003" spans="2:8" x14ac:dyDescent="0.25">
      <c r="B1003" s="467" t="s">
        <v>1838</v>
      </c>
      <c r="C1003" s="467" t="s">
        <v>2406</v>
      </c>
      <c r="D1003" s="468" t="s">
        <v>2412</v>
      </c>
      <c r="E1003" s="469" t="s">
        <v>1119</v>
      </c>
      <c r="F1003" s="470">
        <v>30</v>
      </c>
      <c r="G1003" s="471">
        <v>22.26</v>
      </c>
      <c r="H1003" s="471">
        <v>24.08</v>
      </c>
    </row>
    <row r="1004" spans="2:8" x14ac:dyDescent="0.25">
      <c r="B1004" s="467" t="s">
        <v>2407</v>
      </c>
      <c r="C1004" s="467">
        <v>10390</v>
      </c>
      <c r="D1004" s="468" t="s">
        <v>2413</v>
      </c>
      <c r="E1004" s="469" t="s">
        <v>2414</v>
      </c>
      <c r="F1004" s="470">
        <v>2</v>
      </c>
      <c r="G1004" s="471">
        <v>669.02</v>
      </c>
      <c r="H1004" s="471">
        <v>669.02</v>
      </c>
    </row>
    <row r="1005" spans="2:8" x14ac:dyDescent="0.25">
      <c r="B1005" s="467" t="s">
        <v>2408</v>
      </c>
      <c r="C1005" s="467" t="s">
        <v>2409</v>
      </c>
      <c r="D1005" s="468" t="s">
        <v>2415</v>
      </c>
      <c r="E1005" s="469" t="s">
        <v>2146</v>
      </c>
      <c r="F1005" s="470">
        <v>3</v>
      </c>
      <c r="G1005" s="471">
        <v>3.76</v>
      </c>
      <c r="H1005" s="471">
        <v>3.76</v>
      </c>
    </row>
  </sheetData>
  <mergeCells count="477">
    <mergeCell ref="D392:H392"/>
    <mergeCell ref="B393:C405"/>
    <mergeCell ref="D401:E405"/>
    <mergeCell ref="F401:G401"/>
    <mergeCell ref="F403:G403"/>
    <mergeCell ref="F405:G405"/>
    <mergeCell ref="B495:G495"/>
    <mergeCell ref="D471:H471"/>
    <mergeCell ref="B472:C484"/>
    <mergeCell ref="D480:E484"/>
    <mergeCell ref="F480:G480"/>
    <mergeCell ref="F482:G482"/>
    <mergeCell ref="F484:G484"/>
    <mergeCell ref="B485:B488"/>
    <mergeCell ref="B489:B491"/>
    <mergeCell ref="B492:C494"/>
    <mergeCell ref="D492:E494"/>
    <mergeCell ref="F492:G492"/>
    <mergeCell ref="F494:G494"/>
    <mergeCell ref="B469:G469"/>
    <mergeCell ref="B26:G26"/>
    <mergeCell ref="D158:H158"/>
    <mergeCell ref="B159:C171"/>
    <mergeCell ref="D167:E171"/>
    <mergeCell ref="F167:G167"/>
    <mergeCell ref="F169:G169"/>
    <mergeCell ref="F171:G171"/>
    <mergeCell ref="B367:C379"/>
    <mergeCell ref="D375:E379"/>
    <mergeCell ref="F375:G375"/>
    <mergeCell ref="F377:G377"/>
    <mergeCell ref="F379:G379"/>
    <mergeCell ref="B75:C77"/>
    <mergeCell ref="D75:E77"/>
    <mergeCell ref="F75:G75"/>
    <mergeCell ref="F77:G77"/>
    <mergeCell ref="B68:B71"/>
    <mergeCell ref="B78:G78"/>
    <mergeCell ref="B81:C93"/>
    <mergeCell ref="D89:E93"/>
    <mergeCell ref="F89:G89"/>
    <mergeCell ref="F91:G91"/>
    <mergeCell ref="B94:B97"/>
    <mergeCell ref="B98:B100"/>
    <mergeCell ref="B16:B19"/>
    <mergeCell ref="B20:B22"/>
    <mergeCell ref="B23:C25"/>
    <mergeCell ref="D23:E25"/>
    <mergeCell ref="F23:G23"/>
    <mergeCell ref="F25:G25"/>
    <mergeCell ref="B182:G182"/>
    <mergeCell ref="B42:B45"/>
    <mergeCell ref="D366:H366"/>
    <mergeCell ref="D262:H262"/>
    <mergeCell ref="B263:C275"/>
    <mergeCell ref="B250:B253"/>
    <mergeCell ref="B254:B256"/>
    <mergeCell ref="D205:E207"/>
    <mergeCell ref="F205:G205"/>
    <mergeCell ref="F207:G207"/>
    <mergeCell ref="F67:G67"/>
    <mergeCell ref="B46:B48"/>
    <mergeCell ref="B49:C51"/>
    <mergeCell ref="D49:E51"/>
    <mergeCell ref="F49:G49"/>
    <mergeCell ref="F51:G51"/>
    <mergeCell ref="F93:G93"/>
    <mergeCell ref="B72:B74"/>
    <mergeCell ref="B1:H1"/>
    <mergeCell ref="D2:H2"/>
    <mergeCell ref="B3:C15"/>
    <mergeCell ref="D11:E15"/>
    <mergeCell ref="F11:G11"/>
    <mergeCell ref="F13:G13"/>
    <mergeCell ref="F15:G15"/>
    <mergeCell ref="B198:B201"/>
    <mergeCell ref="D184:H184"/>
    <mergeCell ref="B185:C197"/>
    <mergeCell ref="D193:E197"/>
    <mergeCell ref="F193:G193"/>
    <mergeCell ref="F195:G195"/>
    <mergeCell ref="F197:G197"/>
    <mergeCell ref="B29:C41"/>
    <mergeCell ref="D37:E41"/>
    <mergeCell ref="F37:G37"/>
    <mergeCell ref="F39:G39"/>
    <mergeCell ref="F41:G41"/>
    <mergeCell ref="B52:G52"/>
    <mergeCell ref="B55:C67"/>
    <mergeCell ref="D63:E67"/>
    <mergeCell ref="F63:G63"/>
    <mergeCell ref="F65:G65"/>
    <mergeCell ref="F850:G850"/>
    <mergeCell ref="F852:G852"/>
    <mergeCell ref="F854:G854"/>
    <mergeCell ref="D340:H340"/>
    <mergeCell ref="B341:C353"/>
    <mergeCell ref="D349:E353"/>
    <mergeCell ref="F349:G349"/>
    <mergeCell ref="B380:B383"/>
    <mergeCell ref="B384:B386"/>
    <mergeCell ref="B387:C389"/>
    <mergeCell ref="D387:E389"/>
    <mergeCell ref="F387:G387"/>
    <mergeCell ref="F389:G389"/>
    <mergeCell ref="B390:G390"/>
    <mergeCell ref="B547:G547"/>
    <mergeCell ref="D544:E546"/>
    <mergeCell ref="F544:G544"/>
    <mergeCell ref="D523:H523"/>
    <mergeCell ref="B524:C536"/>
    <mergeCell ref="D532:E536"/>
    <mergeCell ref="F532:G532"/>
    <mergeCell ref="F413:G413"/>
    <mergeCell ref="F415:G415"/>
    <mergeCell ref="B416:G416"/>
    <mergeCell ref="B101:C103"/>
    <mergeCell ref="D101:E103"/>
    <mergeCell ref="F101:G101"/>
    <mergeCell ref="F103:G103"/>
    <mergeCell ref="F155:G155"/>
    <mergeCell ref="D132:H132"/>
    <mergeCell ref="B133:C145"/>
    <mergeCell ref="D141:E145"/>
    <mergeCell ref="F141:G141"/>
    <mergeCell ref="F143:G143"/>
    <mergeCell ref="F145:G145"/>
    <mergeCell ref="B130:G130"/>
    <mergeCell ref="B104:G104"/>
    <mergeCell ref="B120:B123"/>
    <mergeCell ref="B124:B126"/>
    <mergeCell ref="B127:C129"/>
    <mergeCell ref="D127:E129"/>
    <mergeCell ref="F127:G127"/>
    <mergeCell ref="F129:G129"/>
    <mergeCell ref="D106:H106"/>
    <mergeCell ref="B107:C119"/>
    <mergeCell ref="D115:E119"/>
    <mergeCell ref="F115:G115"/>
    <mergeCell ref="F117:G117"/>
    <mergeCell ref="F119:G119"/>
    <mergeCell ref="B146:B149"/>
    <mergeCell ref="B150:B152"/>
    <mergeCell ref="B153:C155"/>
    <mergeCell ref="D153:E155"/>
    <mergeCell ref="F153:G153"/>
    <mergeCell ref="D219:E223"/>
    <mergeCell ref="F219:G219"/>
    <mergeCell ref="F221:G221"/>
    <mergeCell ref="F223:G223"/>
    <mergeCell ref="B202:B204"/>
    <mergeCell ref="B156:G156"/>
    <mergeCell ref="B208:G208"/>
    <mergeCell ref="D210:H210"/>
    <mergeCell ref="B211:C223"/>
    <mergeCell ref="B172:B175"/>
    <mergeCell ref="B176:B178"/>
    <mergeCell ref="B179:C181"/>
    <mergeCell ref="D179:E181"/>
    <mergeCell ref="F179:G179"/>
    <mergeCell ref="F181:G181"/>
    <mergeCell ref="B205:C207"/>
    <mergeCell ref="B224:B227"/>
    <mergeCell ref="B228:B230"/>
    <mergeCell ref="B231:C233"/>
    <mergeCell ref="D231:E233"/>
    <mergeCell ref="F231:G231"/>
    <mergeCell ref="F233:G233"/>
    <mergeCell ref="B234:G234"/>
    <mergeCell ref="B286:G286"/>
    <mergeCell ref="D288:H288"/>
    <mergeCell ref="F259:G259"/>
    <mergeCell ref="D271:E275"/>
    <mergeCell ref="F271:G271"/>
    <mergeCell ref="F273:G273"/>
    <mergeCell ref="F275:G275"/>
    <mergeCell ref="D236:H236"/>
    <mergeCell ref="B237:C249"/>
    <mergeCell ref="D245:E249"/>
    <mergeCell ref="F245:G245"/>
    <mergeCell ref="F247:G247"/>
    <mergeCell ref="F249:G249"/>
    <mergeCell ref="B257:C259"/>
    <mergeCell ref="D257:E259"/>
    <mergeCell ref="F257:G257"/>
    <mergeCell ref="B260:G260"/>
    <mergeCell ref="B289:C301"/>
    <mergeCell ref="D297:E301"/>
    <mergeCell ref="F297:G297"/>
    <mergeCell ref="F299:G299"/>
    <mergeCell ref="F301:G301"/>
    <mergeCell ref="B276:B279"/>
    <mergeCell ref="B280:B282"/>
    <mergeCell ref="B283:C285"/>
    <mergeCell ref="D283:E285"/>
    <mergeCell ref="F283:G283"/>
    <mergeCell ref="F285:G285"/>
    <mergeCell ref="F534:G534"/>
    <mergeCell ref="F536:G536"/>
    <mergeCell ref="F309:G309"/>
    <mergeCell ref="F311:G311"/>
    <mergeCell ref="B354:B357"/>
    <mergeCell ref="B358:B360"/>
    <mergeCell ref="B361:C363"/>
    <mergeCell ref="D361:E363"/>
    <mergeCell ref="F361:G361"/>
    <mergeCell ref="F351:G351"/>
    <mergeCell ref="F353:G353"/>
    <mergeCell ref="F432:G432"/>
    <mergeCell ref="F363:G363"/>
    <mergeCell ref="B364:G364"/>
    <mergeCell ref="B406:B409"/>
    <mergeCell ref="B410:B412"/>
    <mergeCell ref="B413:C415"/>
    <mergeCell ref="D413:E415"/>
    <mergeCell ref="B312:G312"/>
    <mergeCell ref="D314:H314"/>
    <mergeCell ref="B315:C327"/>
    <mergeCell ref="D323:E327"/>
    <mergeCell ref="F323:G323"/>
    <mergeCell ref="F325:G325"/>
    <mergeCell ref="F546:G546"/>
    <mergeCell ref="B328:B331"/>
    <mergeCell ref="B332:B334"/>
    <mergeCell ref="B335:C337"/>
    <mergeCell ref="D335:E337"/>
    <mergeCell ref="B338:G338"/>
    <mergeCell ref="D497:H497"/>
    <mergeCell ref="B498:C510"/>
    <mergeCell ref="D506:E510"/>
    <mergeCell ref="F506:G506"/>
    <mergeCell ref="F508:G508"/>
    <mergeCell ref="F335:G335"/>
    <mergeCell ref="F337:G337"/>
    <mergeCell ref="B433:B436"/>
    <mergeCell ref="B437:B439"/>
    <mergeCell ref="B440:C442"/>
    <mergeCell ref="D440:E442"/>
    <mergeCell ref="F440:G440"/>
    <mergeCell ref="F442:G442"/>
    <mergeCell ref="D418:H418"/>
    <mergeCell ref="B420:C432"/>
    <mergeCell ref="D428:E432"/>
    <mergeCell ref="F428:G428"/>
    <mergeCell ref="F430:G430"/>
    <mergeCell ref="F327:G327"/>
    <mergeCell ref="B302:B305"/>
    <mergeCell ref="B306:B308"/>
    <mergeCell ref="B309:C311"/>
    <mergeCell ref="D309:E311"/>
    <mergeCell ref="B734:G734"/>
    <mergeCell ref="B459:B462"/>
    <mergeCell ref="B463:B465"/>
    <mergeCell ref="B466:C468"/>
    <mergeCell ref="D466:E468"/>
    <mergeCell ref="F466:G466"/>
    <mergeCell ref="F468:G468"/>
    <mergeCell ref="B443:G443"/>
    <mergeCell ref="B446:C458"/>
    <mergeCell ref="D454:E458"/>
    <mergeCell ref="F454:G454"/>
    <mergeCell ref="F456:G456"/>
    <mergeCell ref="F458:G458"/>
    <mergeCell ref="B564:B567"/>
    <mergeCell ref="B568:B570"/>
    <mergeCell ref="B571:C573"/>
    <mergeCell ref="D571:E573"/>
    <mergeCell ref="F571:G571"/>
    <mergeCell ref="F573:G573"/>
    <mergeCell ref="B600:G600"/>
    <mergeCell ref="B603:C615"/>
    <mergeCell ref="D611:E615"/>
    <mergeCell ref="F611:G611"/>
    <mergeCell ref="B707:G707"/>
    <mergeCell ref="B710:C722"/>
    <mergeCell ref="D718:E722"/>
    <mergeCell ref="F718:G718"/>
    <mergeCell ref="F720:G720"/>
    <mergeCell ref="F722:G722"/>
    <mergeCell ref="F613:G613"/>
    <mergeCell ref="F615:G615"/>
    <mergeCell ref="B643:B646"/>
    <mergeCell ref="B647:B649"/>
    <mergeCell ref="B650:C652"/>
    <mergeCell ref="D650:E652"/>
    <mergeCell ref="F650:G650"/>
    <mergeCell ref="F652:G652"/>
    <mergeCell ref="B626:G626"/>
    <mergeCell ref="D628:H628"/>
    <mergeCell ref="D629:H629"/>
    <mergeCell ref="B630:C642"/>
    <mergeCell ref="D638:E642"/>
    <mergeCell ref="B697:B700"/>
    <mergeCell ref="B701:B703"/>
    <mergeCell ref="B704:C706"/>
    <mergeCell ref="D704:E706"/>
    <mergeCell ref="F704:G704"/>
    <mergeCell ref="F706:G706"/>
    <mergeCell ref="B521:G521"/>
    <mergeCell ref="F510:G510"/>
    <mergeCell ref="B511:B514"/>
    <mergeCell ref="B515:B517"/>
    <mergeCell ref="B518:C520"/>
    <mergeCell ref="D518:E520"/>
    <mergeCell ref="F518:G518"/>
    <mergeCell ref="F520:G520"/>
    <mergeCell ref="B537:B540"/>
    <mergeCell ref="B541:B543"/>
    <mergeCell ref="B544:C546"/>
    <mergeCell ref="D549:H549"/>
    <mergeCell ref="B551:C563"/>
    <mergeCell ref="D559:E563"/>
    <mergeCell ref="F559:G559"/>
    <mergeCell ref="F561:G561"/>
    <mergeCell ref="F563:G563"/>
    <mergeCell ref="B590:B593"/>
    <mergeCell ref="B594:B596"/>
    <mergeCell ref="B597:C599"/>
    <mergeCell ref="D597:E599"/>
    <mergeCell ref="F597:G597"/>
    <mergeCell ref="F599:G599"/>
    <mergeCell ref="B574:G574"/>
    <mergeCell ref="B577:C589"/>
    <mergeCell ref="D585:E589"/>
    <mergeCell ref="F585:G585"/>
    <mergeCell ref="F587:G587"/>
    <mergeCell ref="F589:G589"/>
    <mergeCell ref="F638:G638"/>
    <mergeCell ref="F640:G640"/>
    <mergeCell ref="F642:G642"/>
    <mergeCell ref="B616:B619"/>
    <mergeCell ref="B620:B622"/>
    <mergeCell ref="B623:C625"/>
    <mergeCell ref="D623:E625"/>
    <mergeCell ref="F623:G623"/>
    <mergeCell ref="B670:B673"/>
    <mergeCell ref="F625:G625"/>
    <mergeCell ref="B674:B676"/>
    <mergeCell ref="B677:C679"/>
    <mergeCell ref="D677:E679"/>
    <mergeCell ref="F677:G677"/>
    <mergeCell ref="F679:G679"/>
    <mergeCell ref="B653:G653"/>
    <mergeCell ref="D655:H655"/>
    <mergeCell ref="D656:H656"/>
    <mergeCell ref="B657:C669"/>
    <mergeCell ref="D665:E669"/>
    <mergeCell ref="F665:G665"/>
    <mergeCell ref="F667:G667"/>
    <mergeCell ref="F669:G669"/>
    <mergeCell ref="B749:B752"/>
    <mergeCell ref="B753:B755"/>
    <mergeCell ref="B756:C758"/>
    <mergeCell ref="D756:E758"/>
    <mergeCell ref="F756:G756"/>
    <mergeCell ref="F758:G758"/>
    <mergeCell ref="B680:G680"/>
    <mergeCell ref="B736:C748"/>
    <mergeCell ref="D744:E748"/>
    <mergeCell ref="F744:G744"/>
    <mergeCell ref="F746:G746"/>
    <mergeCell ref="F748:G748"/>
    <mergeCell ref="D682:H682"/>
    <mergeCell ref="B684:C696"/>
    <mergeCell ref="D692:E696"/>
    <mergeCell ref="F692:G692"/>
    <mergeCell ref="F694:G694"/>
    <mergeCell ref="F696:G696"/>
    <mergeCell ref="B723:B726"/>
    <mergeCell ref="B727:B729"/>
    <mergeCell ref="B730:C732"/>
    <mergeCell ref="D730:E732"/>
    <mergeCell ref="F730:G730"/>
    <mergeCell ref="F732:G732"/>
    <mergeCell ref="B776:B779"/>
    <mergeCell ref="B780:B782"/>
    <mergeCell ref="B783:C785"/>
    <mergeCell ref="D783:E785"/>
    <mergeCell ref="F783:G783"/>
    <mergeCell ref="F785:G785"/>
    <mergeCell ref="B759:G759"/>
    <mergeCell ref="D761:H761"/>
    <mergeCell ref="D762:H762"/>
    <mergeCell ref="B763:C775"/>
    <mergeCell ref="D771:E775"/>
    <mergeCell ref="F771:G771"/>
    <mergeCell ref="F773:G773"/>
    <mergeCell ref="F775:G775"/>
    <mergeCell ref="B802:B805"/>
    <mergeCell ref="B806:B808"/>
    <mergeCell ref="B809:C811"/>
    <mergeCell ref="D809:E811"/>
    <mergeCell ref="F809:G809"/>
    <mergeCell ref="F811:G811"/>
    <mergeCell ref="B786:G786"/>
    <mergeCell ref="D788:H788"/>
    <mergeCell ref="B789:C801"/>
    <mergeCell ref="D797:E801"/>
    <mergeCell ref="F797:G797"/>
    <mergeCell ref="F799:G799"/>
    <mergeCell ref="F801:G801"/>
    <mergeCell ref="B829:B832"/>
    <mergeCell ref="B833:B835"/>
    <mergeCell ref="B836:C838"/>
    <mergeCell ref="D836:E838"/>
    <mergeCell ref="F836:G836"/>
    <mergeCell ref="F838:G838"/>
    <mergeCell ref="B812:G812"/>
    <mergeCell ref="D814:H814"/>
    <mergeCell ref="D815:H815"/>
    <mergeCell ref="B816:C828"/>
    <mergeCell ref="D824:E828"/>
    <mergeCell ref="F824:G824"/>
    <mergeCell ref="F826:G826"/>
    <mergeCell ref="F828:G828"/>
    <mergeCell ref="B839:G839"/>
    <mergeCell ref="B891:G891"/>
    <mergeCell ref="D867:H867"/>
    <mergeCell ref="B868:C880"/>
    <mergeCell ref="D876:E880"/>
    <mergeCell ref="F876:G876"/>
    <mergeCell ref="F878:G878"/>
    <mergeCell ref="F880:G880"/>
    <mergeCell ref="B881:B884"/>
    <mergeCell ref="B885:B887"/>
    <mergeCell ref="B888:C890"/>
    <mergeCell ref="D888:E890"/>
    <mergeCell ref="F888:G888"/>
    <mergeCell ref="F890:G890"/>
    <mergeCell ref="B865:G865"/>
    <mergeCell ref="B855:B858"/>
    <mergeCell ref="B859:B861"/>
    <mergeCell ref="B862:C864"/>
    <mergeCell ref="D862:E864"/>
    <mergeCell ref="F862:G862"/>
    <mergeCell ref="F864:G864"/>
    <mergeCell ref="D841:H841"/>
    <mergeCell ref="B842:C854"/>
    <mergeCell ref="D850:E854"/>
    <mergeCell ref="B961:H961"/>
    <mergeCell ref="B917:G917"/>
    <mergeCell ref="D893:H893"/>
    <mergeCell ref="B894:C906"/>
    <mergeCell ref="D902:E906"/>
    <mergeCell ref="F902:G902"/>
    <mergeCell ref="F904:G904"/>
    <mergeCell ref="F906:G906"/>
    <mergeCell ref="B907:B910"/>
    <mergeCell ref="B911:B913"/>
    <mergeCell ref="B914:C916"/>
    <mergeCell ref="D914:E916"/>
    <mergeCell ref="F914:G914"/>
    <mergeCell ref="F916:G916"/>
    <mergeCell ref="D940:H940"/>
    <mergeCell ref="B941:C953"/>
    <mergeCell ref="D949:E953"/>
    <mergeCell ref="F949:G949"/>
    <mergeCell ref="F951:G951"/>
    <mergeCell ref="F953:G953"/>
    <mergeCell ref="B954:B955"/>
    <mergeCell ref="B956:C958"/>
    <mergeCell ref="D956:E958"/>
    <mergeCell ref="F956:G956"/>
    <mergeCell ref="F958:G958"/>
    <mergeCell ref="B959:G959"/>
    <mergeCell ref="D919:H919"/>
    <mergeCell ref="B920:C932"/>
    <mergeCell ref="D928:E932"/>
    <mergeCell ref="F928:G928"/>
    <mergeCell ref="F930:G930"/>
    <mergeCell ref="F932:G932"/>
    <mergeCell ref="B933:B934"/>
    <mergeCell ref="B935:C937"/>
    <mergeCell ref="D935:E937"/>
    <mergeCell ref="F935:G935"/>
    <mergeCell ref="F937:G937"/>
    <mergeCell ref="B938:G938"/>
  </mergeCells>
  <conditionalFormatting sqref="G965:H969 G972:H978 G981:H982 G985:H986 G989:H993">
    <cfRule type="expression" dxfId="2" priority="4" stopIfTrue="1">
      <formula>AND(COUNTBLANK($B965:$C965)=0,G965=0)</formula>
    </cfRule>
  </conditionalFormatting>
  <conditionalFormatting sqref="G996:H999">
    <cfRule type="expression" dxfId="1" priority="2" stopIfTrue="1">
      <formula>AND(COUNTBLANK($B996:$C996)=0,G996=0)</formula>
    </cfRule>
  </conditionalFormatting>
  <conditionalFormatting sqref="G1002:H1005">
    <cfRule type="expression" dxfId="0" priority="1" stopIfTrue="1">
      <formula>AND(COUNTBLANK($B1002:$C1002)=0,G1002=0)</formula>
    </cfRule>
  </conditionalFormatting>
  <pageMargins left="0.511811024" right="0.511811024" top="0.78740157499999996" bottom="0.78740157499999996" header="0.31496062000000002" footer="0.31496062000000002"/>
  <pageSetup paperSize="9" scale="6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6"/>
  <sheetViews>
    <sheetView view="pageBreakPreview" topLeftCell="C1" zoomScale="85" zoomScaleNormal="85" zoomScaleSheetLayoutView="85" workbookViewId="0">
      <selection activeCell="P21" sqref="P21:P27"/>
    </sheetView>
  </sheetViews>
  <sheetFormatPr defaultRowHeight="15" x14ac:dyDescent="0.25"/>
  <cols>
    <col min="1" max="1" width="78.140625" customWidth="1"/>
    <col min="2" max="2" width="12" customWidth="1"/>
    <col min="3" max="3" width="11" style="305" customWidth="1"/>
    <col min="4" max="4" width="15" style="247" customWidth="1"/>
    <col min="5" max="5" width="15" style="484" hidden="1" customWidth="1"/>
    <col min="6" max="6" width="15" style="433" hidden="1" customWidth="1"/>
    <col min="7" max="8" width="14" hidden="1" customWidth="1"/>
    <col min="9" max="9" width="14" customWidth="1"/>
    <col min="10" max="10" width="42.5703125" customWidth="1"/>
    <col min="11" max="11" width="10.5703125" customWidth="1"/>
    <col min="12" max="12" width="19.7109375" customWidth="1"/>
    <col min="13" max="13" width="10.5703125" customWidth="1"/>
    <col min="14" max="14" width="15.28515625" customWidth="1"/>
    <col min="15" max="15" width="10.28515625" customWidth="1"/>
    <col min="16" max="16" width="15" customWidth="1"/>
    <col min="17" max="17" width="15.28515625" customWidth="1"/>
    <col min="18" max="18" width="11.85546875" customWidth="1"/>
    <col min="19" max="20" width="0" style="305" hidden="1" customWidth="1"/>
    <col min="21" max="21" width="0" hidden="1" customWidth="1"/>
  </cols>
  <sheetData>
    <row r="1" spans="1:24" ht="27" thickBot="1" x14ac:dyDescent="0.3">
      <c r="A1" s="591" t="s">
        <v>1065</v>
      </c>
      <c r="B1" s="592"/>
      <c r="C1" s="592"/>
      <c r="D1" s="593"/>
      <c r="E1" s="478"/>
      <c r="F1" s="430"/>
      <c r="G1" s="307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4" x14ac:dyDescent="0.25">
      <c r="A2" s="426" t="s">
        <v>1066</v>
      </c>
      <c r="B2" s="428"/>
      <c r="C2" s="426"/>
      <c r="D2" s="712"/>
      <c r="E2" s="479"/>
      <c r="F2" s="431"/>
      <c r="G2" s="308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24" ht="28.5" x14ac:dyDescent="0.25">
      <c r="A3" s="101" t="s">
        <v>1067</v>
      </c>
      <c r="B3" s="102" t="s">
        <v>14</v>
      </c>
      <c r="C3" s="103" t="s">
        <v>1068</v>
      </c>
      <c r="D3" s="422" t="s">
        <v>1069</v>
      </c>
      <c r="E3" s="480" t="s">
        <v>2399</v>
      </c>
      <c r="F3" s="485">
        <v>45901</v>
      </c>
      <c r="G3" s="309"/>
      <c r="H3" s="1"/>
      <c r="I3" s="424"/>
      <c r="J3" s="594" t="s">
        <v>1070</v>
      </c>
      <c r="K3" s="583" t="s">
        <v>1071</v>
      </c>
      <c r="L3" s="583"/>
      <c r="M3" s="583"/>
      <c r="N3" s="583" t="s">
        <v>1072</v>
      </c>
      <c r="O3" s="583" t="s">
        <v>1073</v>
      </c>
      <c r="P3" s="583" t="s">
        <v>1074</v>
      </c>
      <c r="Q3" s="583"/>
      <c r="R3" s="583"/>
      <c r="S3" s="429" t="s">
        <v>2074</v>
      </c>
      <c r="T3" s="429" t="s">
        <v>2073</v>
      </c>
    </row>
    <row r="4" spans="1:24" x14ac:dyDescent="0.25">
      <c r="A4" s="104" t="s">
        <v>1075</v>
      </c>
      <c r="B4" s="143">
        <v>1</v>
      </c>
      <c r="C4" s="140" t="s">
        <v>1076</v>
      </c>
      <c r="D4" s="710"/>
      <c r="E4" s="481">
        <v>96.6</v>
      </c>
      <c r="F4" s="306"/>
      <c r="G4" s="310"/>
      <c r="H4" s="1"/>
      <c r="I4" s="434"/>
      <c r="J4" s="594"/>
      <c r="K4" s="105" t="s">
        <v>1077</v>
      </c>
      <c r="L4" s="105" t="s">
        <v>1078</v>
      </c>
      <c r="M4" s="105"/>
      <c r="N4" s="583"/>
      <c r="O4" s="583"/>
      <c r="P4" s="105" t="s">
        <v>1077</v>
      </c>
      <c r="Q4" s="105" t="s">
        <v>1078</v>
      </c>
      <c r="R4" s="106"/>
      <c r="S4" s="305" t="s">
        <v>1113</v>
      </c>
      <c r="T4" s="305" t="s">
        <v>1839</v>
      </c>
      <c r="U4" t="s">
        <v>1840</v>
      </c>
    </row>
    <row r="5" spans="1:24" x14ac:dyDescent="0.25">
      <c r="A5" s="104" t="s">
        <v>1079</v>
      </c>
      <c r="B5" s="143">
        <v>1</v>
      </c>
      <c r="C5" s="140" t="s">
        <v>1076</v>
      </c>
      <c r="D5" s="710"/>
      <c r="E5" s="481">
        <v>99</v>
      </c>
      <c r="F5" s="306"/>
      <c r="G5" s="310"/>
      <c r="H5" s="1"/>
      <c r="I5" s="434"/>
      <c r="J5" s="594"/>
      <c r="K5" s="105" t="s">
        <v>1080</v>
      </c>
      <c r="L5" s="105" t="s">
        <v>1081</v>
      </c>
      <c r="M5" s="105"/>
      <c r="N5" s="583"/>
      <c r="O5" s="583"/>
      <c r="P5" s="105" t="s">
        <v>1080</v>
      </c>
      <c r="Q5" s="105" t="s">
        <v>1081</v>
      </c>
      <c r="R5" s="106"/>
      <c r="S5" s="429"/>
    </row>
    <row r="6" spans="1:24" x14ac:dyDescent="0.25">
      <c r="A6" s="104" t="s">
        <v>1082</v>
      </c>
      <c r="B6" s="143">
        <v>1</v>
      </c>
      <c r="C6" s="140" t="s">
        <v>1076</v>
      </c>
      <c r="D6" s="710"/>
      <c r="E6" s="481">
        <v>60</v>
      </c>
      <c r="F6" s="306"/>
      <c r="G6" s="310"/>
      <c r="H6" s="1"/>
      <c r="I6" s="434"/>
      <c r="J6" s="107" t="s">
        <v>1083</v>
      </c>
      <c r="K6" s="108">
        <v>40.300000000000004</v>
      </c>
      <c r="L6" s="108">
        <v>60</v>
      </c>
      <c r="M6" s="108"/>
      <c r="N6" s="108" t="s">
        <v>1084</v>
      </c>
      <c r="O6" s="109"/>
      <c r="P6" s="110">
        <f>O6*K6</f>
        <v>0</v>
      </c>
      <c r="Q6" s="110">
        <f>O6*L6</f>
        <v>0</v>
      </c>
      <c r="R6" s="111"/>
      <c r="S6" s="305" t="s">
        <v>1837</v>
      </c>
      <c r="T6" s="305">
        <v>14311</v>
      </c>
      <c r="U6">
        <v>18.260000000000002</v>
      </c>
    </row>
    <row r="7" spans="1:24" x14ac:dyDescent="0.25">
      <c r="A7" s="104" t="s">
        <v>1085</v>
      </c>
      <c r="B7" s="141">
        <v>1</v>
      </c>
      <c r="C7" s="140" t="s">
        <v>1076</v>
      </c>
      <c r="D7" s="710"/>
      <c r="E7" s="481">
        <v>51.54</v>
      </c>
      <c r="F7" s="306"/>
      <c r="G7" s="310"/>
      <c r="H7" s="1"/>
      <c r="I7" s="434"/>
      <c r="J7" s="107" t="s">
        <v>1086</v>
      </c>
      <c r="K7" s="108">
        <v>30</v>
      </c>
      <c r="L7" s="108">
        <v>43.2</v>
      </c>
      <c r="M7" s="108"/>
      <c r="N7" s="108" t="s">
        <v>1084</v>
      </c>
      <c r="O7" s="109"/>
      <c r="P7" s="110">
        <f t="shared" ref="P7:P13" si="0">O7*K7</f>
        <v>0</v>
      </c>
      <c r="Q7" s="110">
        <f t="shared" ref="Q7:Q13" si="1">O7*L7</f>
        <v>0</v>
      </c>
      <c r="R7" s="111"/>
      <c r="S7" s="305" t="s">
        <v>1837</v>
      </c>
      <c r="T7" s="305">
        <v>14310</v>
      </c>
      <c r="U7">
        <v>13.36</v>
      </c>
    </row>
    <row r="8" spans="1:24" x14ac:dyDescent="0.25">
      <c r="A8" s="104" t="s">
        <v>1087</v>
      </c>
      <c r="B8" s="141">
        <v>1</v>
      </c>
      <c r="C8" s="140" t="s">
        <v>1076</v>
      </c>
      <c r="D8" s="710"/>
      <c r="E8" s="481">
        <v>62.9</v>
      </c>
      <c r="F8" s="306"/>
      <c r="G8" s="310"/>
      <c r="H8" s="1"/>
      <c r="I8" s="434"/>
      <c r="J8" s="107" t="s">
        <v>1088</v>
      </c>
      <c r="K8" s="108">
        <v>16.8</v>
      </c>
      <c r="L8" s="108">
        <v>25.200000000000003</v>
      </c>
      <c r="M8" s="108"/>
      <c r="N8" s="108" t="s">
        <v>1089</v>
      </c>
      <c r="O8" s="109"/>
      <c r="P8" s="110">
        <f t="shared" si="0"/>
        <v>0</v>
      </c>
      <c r="Q8" s="110">
        <f t="shared" si="1"/>
        <v>0</v>
      </c>
      <c r="R8" s="111"/>
      <c r="S8" s="305" t="s">
        <v>1838</v>
      </c>
      <c r="T8" s="305">
        <v>11051</v>
      </c>
      <c r="U8">
        <f>10.98*4</f>
        <v>43.92</v>
      </c>
      <c r="X8" s="233"/>
    </row>
    <row r="9" spans="1:24" x14ac:dyDescent="0.25">
      <c r="A9" s="104" t="s">
        <v>1090</v>
      </c>
      <c r="B9" s="141">
        <v>1</v>
      </c>
      <c r="C9" s="140" t="s">
        <v>1076</v>
      </c>
      <c r="D9" s="710"/>
      <c r="E9" s="481">
        <v>34.64</v>
      </c>
      <c r="F9" s="306"/>
      <c r="G9" s="310"/>
      <c r="H9" s="1"/>
      <c r="I9" s="434"/>
      <c r="J9" s="107" t="s">
        <v>1091</v>
      </c>
      <c r="K9" s="108">
        <v>1.2</v>
      </c>
      <c r="L9" s="108">
        <v>2.1</v>
      </c>
      <c r="M9" s="108"/>
      <c r="N9" s="108" t="s">
        <v>1084</v>
      </c>
      <c r="O9" s="109"/>
      <c r="P9" s="110">
        <f t="shared" si="0"/>
        <v>0</v>
      </c>
      <c r="Q9" s="110">
        <f t="shared" si="1"/>
        <v>0</v>
      </c>
      <c r="R9" s="111"/>
      <c r="S9" s="305" t="s">
        <v>1838</v>
      </c>
      <c r="T9" s="305">
        <v>546</v>
      </c>
      <c r="U9">
        <f>9.05*0.71</f>
        <v>6.4255000000000004</v>
      </c>
    </row>
    <row r="10" spans="1:24" x14ac:dyDescent="0.25">
      <c r="A10" s="104" t="s">
        <v>1092</v>
      </c>
      <c r="B10" s="141">
        <v>1</v>
      </c>
      <c r="C10" s="140" t="s">
        <v>1076</v>
      </c>
      <c r="D10" s="710"/>
      <c r="E10" s="481">
        <v>90</v>
      </c>
      <c r="F10" s="306"/>
      <c r="G10" s="310"/>
      <c r="H10" s="1"/>
      <c r="I10" s="434"/>
      <c r="J10" s="107" t="s">
        <v>1093</v>
      </c>
      <c r="K10" s="108">
        <v>6</v>
      </c>
      <c r="L10" s="108">
        <v>9</v>
      </c>
      <c r="M10" s="108"/>
      <c r="N10" s="108" t="s">
        <v>1072</v>
      </c>
      <c r="O10" s="109"/>
      <c r="P10" s="110">
        <f t="shared" si="0"/>
        <v>0</v>
      </c>
      <c r="Q10" s="110">
        <f t="shared" si="1"/>
        <v>0</v>
      </c>
      <c r="R10" s="111"/>
      <c r="S10" s="305" t="s">
        <v>1838</v>
      </c>
      <c r="T10" s="305">
        <v>2433</v>
      </c>
      <c r="U10">
        <v>13.87</v>
      </c>
    </row>
    <row r="11" spans="1:24" x14ac:dyDescent="0.25">
      <c r="A11" s="104" t="s">
        <v>1094</v>
      </c>
      <c r="B11" s="141">
        <v>1</v>
      </c>
      <c r="C11" s="140" t="s">
        <v>1076</v>
      </c>
      <c r="D11" s="710"/>
      <c r="E11" s="481">
        <v>38.5</v>
      </c>
      <c r="F11" s="306"/>
      <c r="G11" s="310"/>
      <c r="H11" s="1"/>
      <c r="I11" s="434"/>
      <c r="J11" s="107" t="s">
        <v>1095</v>
      </c>
      <c r="K11" s="108">
        <v>0.8</v>
      </c>
      <c r="L11" s="108">
        <v>1.1000000000000001</v>
      </c>
      <c r="M11" s="108"/>
      <c r="N11" s="108" t="s">
        <v>1096</v>
      </c>
      <c r="O11" s="109"/>
      <c r="P11" s="110">
        <f t="shared" si="0"/>
        <v>0</v>
      </c>
      <c r="Q11" s="110">
        <f t="shared" si="1"/>
        <v>0</v>
      </c>
      <c r="R11" s="111"/>
      <c r="S11" s="305" t="s">
        <v>1838</v>
      </c>
      <c r="T11" s="305">
        <v>10999</v>
      </c>
      <c r="U11">
        <v>24.25</v>
      </c>
    </row>
    <row r="12" spans="1:24" x14ac:dyDescent="0.25">
      <c r="A12" s="104" t="s">
        <v>1097</v>
      </c>
      <c r="B12" s="141">
        <v>1</v>
      </c>
      <c r="C12" s="140" t="s">
        <v>1076</v>
      </c>
      <c r="D12" s="710"/>
      <c r="E12" s="481">
        <v>200.36</v>
      </c>
      <c r="F12" s="306"/>
      <c r="G12" s="310"/>
      <c r="H12" s="1"/>
      <c r="I12" s="434"/>
      <c r="J12" s="107" t="s">
        <v>1098</v>
      </c>
      <c r="K12" s="108">
        <v>281.20000000000005</v>
      </c>
      <c r="L12" s="108">
        <v>412.8</v>
      </c>
      <c r="M12" s="108"/>
      <c r="N12" s="108" t="s">
        <v>1072</v>
      </c>
      <c r="O12" s="109"/>
      <c r="P12" s="110">
        <f t="shared" si="0"/>
        <v>0</v>
      </c>
      <c r="Q12" s="110">
        <f t="shared" si="1"/>
        <v>0</v>
      </c>
      <c r="R12" s="111"/>
      <c r="S12" s="305" t="s">
        <v>1838</v>
      </c>
      <c r="T12" s="305">
        <v>5104</v>
      </c>
      <c r="U12">
        <f>70.37/1000</f>
        <v>7.0370000000000002E-2</v>
      </c>
    </row>
    <row r="13" spans="1:24" ht="24" x14ac:dyDescent="0.25">
      <c r="A13" s="104" t="s">
        <v>1099</v>
      </c>
      <c r="B13" s="141">
        <v>1</v>
      </c>
      <c r="C13" s="140" t="s">
        <v>1076</v>
      </c>
      <c r="D13" s="710"/>
      <c r="E13" s="481">
        <v>178.39</v>
      </c>
      <c r="F13" s="306"/>
      <c r="G13" s="310"/>
      <c r="H13" s="1"/>
      <c r="I13" s="434"/>
      <c r="J13" s="304" t="s">
        <v>1100</v>
      </c>
      <c r="K13" s="108">
        <v>5.7200000000000006</v>
      </c>
      <c r="L13" s="108">
        <v>10.920000000000002</v>
      </c>
      <c r="M13" s="108"/>
      <c r="N13" s="108" t="s">
        <v>1089</v>
      </c>
      <c r="O13" s="109"/>
      <c r="P13" s="110">
        <f t="shared" si="0"/>
        <v>0</v>
      </c>
      <c r="Q13" s="110">
        <f t="shared" si="1"/>
        <v>0</v>
      </c>
      <c r="R13" s="111"/>
      <c r="S13" s="305" t="s">
        <v>1837</v>
      </c>
      <c r="T13" s="305">
        <v>13565</v>
      </c>
      <c r="U13">
        <f>221.34/2.5/2.5</f>
        <v>35.414400000000001</v>
      </c>
    </row>
    <row r="14" spans="1:24" x14ac:dyDescent="0.25">
      <c r="A14" s="104" t="s">
        <v>1101</v>
      </c>
      <c r="B14" s="141">
        <v>1</v>
      </c>
      <c r="C14" s="140" t="s">
        <v>1076</v>
      </c>
      <c r="D14" s="710"/>
      <c r="E14" s="481">
        <v>66.98</v>
      </c>
      <c r="F14" s="306"/>
      <c r="G14" s="310"/>
      <c r="H14" s="1"/>
      <c r="I14" s="434"/>
      <c r="J14" s="107" t="s">
        <v>1102</v>
      </c>
      <c r="K14" s="108">
        <v>1</v>
      </c>
      <c r="L14" s="108">
        <v>1</v>
      </c>
      <c r="M14" s="108"/>
      <c r="N14" s="108" t="s">
        <v>1103</v>
      </c>
      <c r="O14" s="109"/>
      <c r="P14" s="110">
        <f>SUM(P6:P13)*0.3</f>
        <v>0</v>
      </c>
      <c r="Q14" s="110">
        <f>SUM(Q6:Q13)*0.3</f>
        <v>0</v>
      </c>
      <c r="R14" s="111"/>
    </row>
    <row r="15" spans="1:24" x14ac:dyDescent="0.25">
      <c r="A15" s="104" t="s">
        <v>1104</v>
      </c>
      <c r="B15" s="141">
        <v>1</v>
      </c>
      <c r="C15" s="140" t="s">
        <v>1076</v>
      </c>
      <c r="D15" s="710"/>
      <c r="E15" s="481">
        <v>90</v>
      </c>
      <c r="F15" s="306"/>
      <c r="G15" s="310"/>
      <c r="H15" s="1"/>
      <c r="I15" s="434"/>
      <c r="J15" s="107"/>
      <c r="K15" s="108"/>
      <c r="L15" s="108"/>
      <c r="M15" s="584" t="s">
        <v>1105</v>
      </c>
      <c r="N15" s="585"/>
      <c r="O15" s="586"/>
      <c r="P15" s="112">
        <f>SUM(P6:P14)</f>
        <v>0</v>
      </c>
      <c r="Q15" s="112">
        <f>SUM(Q6:Q14)</f>
        <v>0</v>
      </c>
      <c r="R15" s="113"/>
    </row>
    <row r="16" spans="1:24" x14ac:dyDescent="0.25">
      <c r="A16" s="104" t="s">
        <v>1106</v>
      </c>
      <c r="B16" s="141">
        <v>1</v>
      </c>
      <c r="C16" s="140" t="s">
        <v>1076</v>
      </c>
      <c r="D16" s="710"/>
      <c r="E16" s="481">
        <v>86.47</v>
      </c>
      <c r="F16" s="306"/>
      <c r="G16" s="310"/>
      <c r="H16" s="1"/>
      <c r="I16" s="306"/>
      <c r="J16" s="114"/>
      <c r="K16" s="114"/>
      <c r="L16" s="114"/>
      <c r="M16" s="114"/>
      <c r="N16" s="234">
        <v>0.05</v>
      </c>
      <c r="O16" s="234"/>
      <c r="P16" s="116">
        <f>ROUND(P15*($N$16)*(1+$O$16),2)</f>
        <v>0</v>
      </c>
      <c r="Q16" s="116">
        <f>ROUND(Q15*($N$16)*(1+$O$16),2)</f>
        <v>0</v>
      </c>
      <c r="R16" s="115"/>
    </row>
    <row r="17" spans="1:18" x14ac:dyDescent="0.25">
      <c r="A17" s="104" t="s">
        <v>1107</v>
      </c>
      <c r="B17" s="141">
        <v>1</v>
      </c>
      <c r="C17" s="140" t="s">
        <v>1076</v>
      </c>
      <c r="D17" s="710"/>
      <c r="E17" s="481">
        <v>58.99</v>
      </c>
      <c r="F17" s="306"/>
      <c r="G17" s="310"/>
      <c r="H17" s="1"/>
      <c r="I17" s="306"/>
      <c r="J17" s="114"/>
      <c r="K17" s="114"/>
      <c r="L17" s="587" t="s">
        <v>1836</v>
      </c>
      <c r="M17" s="587"/>
      <c r="N17" s="587"/>
      <c r="O17" s="587"/>
      <c r="P17" s="116"/>
      <c r="Q17" s="116"/>
      <c r="R17" s="117"/>
    </row>
    <row r="18" spans="1:18" x14ac:dyDescent="0.25">
      <c r="A18" s="104" t="s">
        <v>1108</v>
      </c>
      <c r="B18" s="141">
        <v>1</v>
      </c>
      <c r="C18" s="140" t="s">
        <v>1076</v>
      </c>
      <c r="D18" s="710"/>
      <c r="E18" s="481">
        <v>58.99</v>
      </c>
      <c r="F18" s="306"/>
      <c r="G18" s="310"/>
      <c r="H18" s="1"/>
      <c r="I18" s="306"/>
      <c r="J18" s="1"/>
      <c r="K18" s="1"/>
      <c r="L18" s="588"/>
      <c r="M18" s="588"/>
      <c r="N18" s="588"/>
      <c r="O18" s="588"/>
      <c r="P18" s="1"/>
      <c r="Q18" s="1"/>
      <c r="R18" s="1"/>
    </row>
    <row r="19" spans="1:18" ht="15.75" thickBot="1" x14ac:dyDescent="0.3">
      <c r="A19" s="104" t="s">
        <v>1109</v>
      </c>
      <c r="B19" s="141">
        <v>1</v>
      </c>
      <c r="C19" s="140" t="s">
        <v>1076</v>
      </c>
      <c r="D19" s="710"/>
      <c r="E19" s="481">
        <v>250</v>
      </c>
      <c r="F19" s="306"/>
      <c r="G19" s="310"/>
      <c r="H19" s="1"/>
      <c r="I19" s="306"/>
      <c r="J19" s="589" t="s">
        <v>1110</v>
      </c>
      <c r="K19" s="589"/>
      <c r="L19" s="589"/>
      <c r="M19" s="589"/>
      <c r="N19" s="589"/>
      <c r="O19" s="589"/>
      <c r="P19" s="590" t="s">
        <v>1111</v>
      </c>
      <c r="Q19" s="590"/>
      <c r="R19" s="1"/>
    </row>
    <row r="20" spans="1:18" x14ac:dyDescent="0.25">
      <c r="A20" s="104" t="s">
        <v>1112</v>
      </c>
      <c r="B20" s="141">
        <v>1</v>
      </c>
      <c r="C20" s="140" t="s">
        <v>1076</v>
      </c>
      <c r="D20" s="710"/>
      <c r="E20" s="481">
        <v>92.99</v>
      </c>
      <c r="F20" s="306"/>
      <c r="G20" s="310"/>
      <c r="H20" s="1"/>
      <c r="I20" s="434"/>
      <c r="J20" s="595"/>
      <c r="K20" s="596"/>
      <c r="L20" s="118" t="s">
        <v>1113</v>
      </c>
      <c r="M20" s="119" t="s">
        <v>1114</v>
      </c>
      <c r="N20" s="119" t="s">
        <v>1115</v>
      </c>
      <c r="O20" s="120"/>
      <c r="P20" s="121" t="s">
        <v>1116</v>
      </c>
      <c r="Q20" s="122" t="s">
        <v>1117</v>
      </c>
      <c r="R20" s="1"/>
    </row>
    <row r="21" spans="1:18" x14ac:dyDescent="0.25">
      <c r="A21" s="104" t="s">
        <v>1118</v>
      </c>
      <c r="B21" s="141">
        <v>1</v>
      </c>
      <c r="C21" s="140" t="s">
        <v>1076</v>
      </c>
      <c r="D21" s="710"/>
      <c r="E21" s="481">
        <v>131</v>
      </c>
      <c r="F21" s="306"/>
      <c r="G21" s="310"/>
      <c r="H21" s="1"/>
      <c r="I21" s="435"/>
      <c r="J21" s="123" t="s">
        <v>17</v>
      </c>
      <c r="K21" s="6">
        <v>93572</v>
      </c>
      <c r="L21" s="275" t="s">
        <v>2075</v>
      </c>
      <c r="M21" s="124" t="s">
        <v>1119</v>
      </c>
      <c r="N21" s="125">
        <f>Q21</f>
        <v>0</v>
      </c>
      <c r="O21" s="126"/>
      <c r="P21" s="303"/>
      <c r="Q21" s="127">
        <f>ROUND(P21/220,2)</f>
        <v>0</v>
      </c>
      <c r="R21" s="1"/>
    </row>
    <row r="22" spans="1:18" x14ac:dyDescent="0.25">
      <c r="A22" s="104" t="s">
        <v>1423</v>
      </c>
      <c r="B22" s="141">
        <v>1</v>
      </c>
      <c r="C22" s="140" t="s">
        <v>1076</v>
      </c>
      <c r="D22" s="710"/>
      <c r="E22" s="481">
        <v>97.93</v>
      </c>
      <c r="F22" s="306"/>
      <c r="G22" s="310"/>
      <c r="H22" s="1"/>
      <c r="I22" s="435"/>
      <c r="J22" s="128" t="s">
        <v>1120</v>
      </c>
      <c r="K22" s="6">
        <v>101418</v>
      </c>
      <c r="L22" s="275" t="str">
        <f>L21</f>
        <v>SINAPI - ND 9/25</v>
      </c>
      <c r="M22" s="124" t="s">
        <v>1119</v>
      </c>
      <c r="N22" s="125">
        <f t="shared" ref="N22:N27" si="2">Q22</f>
        <v>0</v>
      </c>
      <c r="O22" s="126"/>
      <c r="P22" s="303"/>
      <c r="Q22" s="127">
        <f t="shared" ref="Q22:Q27" si="3">ROUND(P22/220,2)</f>
        <v>0</v>
      </c>
      <c r="R22" s="1"/>
    </row>
    <row r="23" spans="1:18" x14ac:dyDescent="0.25">
      <c r="A23" s="104" t="s">
        <v>1424</v>
      </c>
      <c r="B23" s="141">
        <v>1</v>
      </c>
      <c r="C23" s="140" t="s">
        <v>1076</v>
      </c>
      <c r="D23" s="710"/>
      <c r="E23" s="481">
        <v>58.99</v>
      </c>
      <c r="F23" s="306"/>
      <c r="G23" s="310"/>
      <c r="H23" s="1"/>
      <c r="I23" s="435"/>
      <c r="J23" s="128" t="s">
        <v>1121</v>
      </c>
      <c r="K23" s="6">
        <v>101376</v>
      </c>
      <c r="L23" s="275" t="str">
        <f>L21</f>
        <v>SINAPI - ND 9/25</v>
      </c>
      <c r="M23" s="124" t="s">
        <v>1119</v>
      </c>
      <c r="N23" s="125">
        <f t="shared" si="2"/>
        <v>0</v>
      </c>
      <c r="O23" s="126"/>
      <c r="P23" s="303"/>
      <c r="Q23" s="127">
        <f t="shared" si="3"/>
        <v>0</v>
      </c>
      <c r="R23" s="1"/>
    </row>
    <row r="24" spans="1:18" x14ac:dyDescent="0.25">
      <c r="A24" s="129" t="s">
        <v>1122</v>
      </c>
      <c r="B24" s="141">
        <v>1</v>
      </c>
      <c r="C24" s="140" t="s">
        <v>1076</v>
      </c>
      <c r="D24" s="710"/>
      <c r="E24" s="481">
        <v>177.99</v>
      </c>
      <c r="F24" s="306"/>
      <c r="G24" s="310"/>
      <c r="H24" s="1"/>
      <c r="I24" s="435"/>
      <c r="J24" s="128" t="s">
        <v>21</v>
      </c>
      <c r="K24" s="6">
        <v>101397</v>
      </c>
      <c r="L24" s="275" t="str">
        <f>L21</f>
        <v>SINAPI - ND 9/25</v>
      </c>
      <c r="M24" s="124" t="s">
        <v>1119</v>
      </c>
      <c r="N24" s="125">
        <f t="shared" si="2"/>
        <v>0</v>
      </c>
      <c r="O24" s="126"/>
      <c r="P24" s="303"/>
      <c r="Q24" s="127">
        <f t="shared" si="3"/>
        <v>0</v>
      </c>
      <c r="R24" s="1"/>
    </row>
    <row r="25" spans="1:18" ht="30" x14ac:dyDescent="0.25">
      <c r="A25" s="104" t="s">
        <v>1123</v>
      </c>
      <c r="B25" s="141">
        <v>1</v>
      </c>
      <c r="C25" s="140" t="s">
        <v>1124</v>
      </c>
      <c r="D25" s="710"/>
      <c r="E25" s="481">
        <v>154</v>
      </c>
      <c r="F25" s="306"/>
      <c r="G25" s="310"/>
      <c r="H25" s="1"/>
      <c r="I25" s="434"/>
      <c r="J25" s="123" t="s">
        <v>22</v>
      </c>
      <c r="K25" s="6">
        <v>101399</v>
      </c>
      <c r="L25" s="275" t="str">
        <f>L21</f>
        <v>SINAPI - ND 9/25</v>
      </c>
      <c r="M25" s="124" t="s">
        <v>1119</v>
      </c>
      <c r="N25" s="125">
        <f t="shared" si="2"/>
        <v>0</v>
      </c>
      <c r="O25" s="126"/>
      <c r="P25" s="303"/>
      <c r="Q25" s="127">
        <f t="shared" si="3"/>
        <v>0</v>
      </c>
      <c r="R25" s="1"/>
    </row>
    <row r="26" spans="1:18" x14ac:dyDescent="0.25">
      <c r="A26" s="104" t="s">
        <v>1125</v>
      </c>
      <c r="B26" s="143">
        <v>1</v>
      </c>
      <c r="C26" s="140" t="s">
        <v>1076</v>
      </c>
      <c r="D26" s="710"/>
      <c r="E26" s="481">
        <v>50.5</v>
      </c>
      <c r="F26" s="306"/>
      <c r="G26" s="310"/>
      <c r="H26" s="1"/>
      <c r="I26" s="435"/>
      <c r="J26" s="128" t="s">
        <v>2076</v>
      </c>
      <c r="K26" s="6">
        <v>101460</v>
      </c>
      <c r="L26" s="275" t="str">
        <f>L21</f>
        <v>SINAPI - ND 9/25</v>
      </c>
      <c r="M26" s="124" t="s">
        <v>1119</v>
      </c>
      <c r="N26" s="125">
        <f t="shared" si="2"/>
        <v>0</v>
      </c>
      <c r="O26" s="126"/>
      <c r="P26" s="303"/>
      <c r="Q26" s="127">
        <f t="shared" si="3"/>
        <v>0</v>
      </c>
      <c r="R26" s="1"/>
    </row>
    <row r="27" spans="1:18" ht="30" x14ac:dyDescent="0.25">
      <c r="A27" s="104" t="s">
        <v>1126</v>
      </c>
      <c r="B27" s="143">
        <v>1</v>
      </c>
      <c r="C27" s="140" t="s">
        <v>1076</v>
      </c>
      <c r="D27" s="710"/>
      <c r="E27" s="481">
        <v>18.18</v>
      </c>
      <c r="F27" s="306"/>
      <c r="G27" s="310"/>
      <c r="H27" s="1"/>
      <c r="I27" s="435"/>
      <c r="J27" s="123" t="s">
        <v>24</v>
      </c>
      <c r="K27" s="126">
        <v>101388</v>
      </c>
      <c r="L27" s="275" t="str">
        <f>L21</f>
        <v>SINAPI - ND 9/25</v>
      </c>
      <c r="M27" s="124" t="s">
        <v>1119</v>
      </c>
      <c r="N27" s="125">
        <f t="shared" si="2"/>
        <v>0</v>
      </c>
      <c r="O27" s="126"/>
      <c r="P27" s="303"/>
      <c r="Q27" s="127">
        <f t="shared" si="3"/>
        <v>0</v>
      </c>
      <c r="R27" s="1"/>
    </row>
    <row r="28" spans="1:18" ht="30" x14ac:dyDescent="0.25">
      <c r="A28" s="104" t="s">
        <v>1127</v>
      </c>
      <c r="B28" s="143">
        <v>1</v>
      </c>
      <c r="C28" s="140" t="s">
        <v>1076</v>
      </c>
      <c r="D28" s="710"/>
      <c r="E28" s="481">
        <v>25.67</v>
      </c>
      <c r="F28" s="306"/>
      <c r="G28" s="310"/>
      <c r="H28" s="1"/>
      <c r="I28" s="435"/>
      <c r="J28" s="580" t="s">
        <v>2077</v>
      </c>
      <c r="K28" s="582">
        <v>0.70109999999999995</v>
      </c>
      <c r="L28" s="582"/>
      <c r="M28" s="126"/>
      <c r="N28" s="126"/>
      <c r="O28" s="126"/>
      <c r="P28" s="130"/>
      <c r="Q28" s="131"/>
      <c r="R28" s="1"/>
    </row>
    <row r="29" spans="1:18" x14ac:dyDescent="0.25">
      <c r="A29" s="104" t="s">
        <v>1128</v>
      </c>
      <c r="B29" s="143">
        <v>1</v>
      </c>
      <c r="C29" s="140" t="s">
        <v>1076</v>
      </c>
      <c r="D29" s="710"/>
      <c r="E29" s="481">
        <v>33</v>
      </c>
      <c r="F29" s="306"/>
      <c r="G29" s="310"/>
      <c r="H29" s="1"/>
      <c r="I29" s="435"/>
      <c r="J29" s="580"/>
      <c r="K29" s="582"/>
      <c r="L29" s="582"/>
      <c r="M29" s="126"/>
      <c r="N29" s="126"/>
      <c r="O29" s="126"/>
      <c r="P29" s="130"/>
      <c r="Q29" s="131"/>
      <c r="R29" s="1"/>
    </row>
    <row r="30" spans="1:18" ht="15.75" thickBot="1" x14ac:dyDescent="0.3">
      <c r="A30" s="6" t="s">
        <v>1129</v>
      </c>
      <c r="B30" s="143">
        <v>1</v>
      </c>
      <c r="C30" s="140" t="s">
        <v>1076</v>
      </c>
      <c r="D30" s="710"/>
      <c r="E30" s="481">
        <v>47</v>
      </c>
      <c r="F30" s="306"/>
      <c r="G30" s="310"/>
      <c r="H30" s="1"/>
      <c r="I30" s="435"/>
      <c r="J30" s="581"/>
      <c r="K30" s="132"/>
      <c r="L30" s="133"/>
      <c r="M30" s="134"/>
      <c r="N30" s="134"/>
      <c r="O30" s="134"/>
      <c r="P30" s="135"/>
      <c r="Q30" s="136"/>
      <c r="R30" s="1"/>
    </row>
    <row r="31" spans="1:18" x14ac:dyDescent="0.25">
      <c r="A31" s="6" t="s">
        <v>1130</v>
      </c>
      <c r="B31" s="143">
        <v>1</v>
      </c>
      <c r="C31" s="140" t="s">
        <v>1076</v>
      </c>
      <c r="D31" s="710"/>
      <c r="E31" s="481">
        <v>50</v>
      </c>
      <c r="F31" s="306"/>
      <c r="G31" s="310"/>
      <c r="H31" s="1"/>
      <c r="I31" s="306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s="6" t="s">
        <v>1131</v>
      </c>
      <c r="B32" s="143">
        <v>1</v>
      </c>
      <c r="C32" s="140" t="s">
        <v>1076</v>
      </c>
      <c r="D32" s="710"/>
      <c r="E32" s="481">
        <v>162.99</v>
      </c>
      <c r="F32" s="306"/>
      <c r="G32" s="310"/>
      <c r="H32" s="1"/>
      <c r="I32" s="306"/>
      <c r="J32" s="1"/>
      <c r="K32" s="1"/>
      <c r="L32" s="137"/>
      <c r="M32" s="1"/>
      <c r="N32" s="1"/>
      <c r="O32" s="1"/>
      <c r="P32" s="1"/>
      <c r="Q32" s="1"/>
      <c r="R32" s="1"/>
    </row>
    <row r="33" spans="1:18" x14ac:dyDescent="0.25">
      <c r="A33" s="6" t="s">
        <v>1132</v>
      </c>
      <c r="B33" s="143">
        <v>1</v>
      </c>
      <c r="C33" s="140" t="s">
        <v>1076</v>
      </c>
      <c r="D33" s="710"/>
      <c r="E33" s="481">
        <v>48.6</v>
      </c>
      <c r="F33" s="306"/>
      <c r="G33" s="310"/>
      <c r="H33" s="1"/>
      <c r="I33" s="306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6" t="s">
        <v>1133</v>
      </c>
      <c r="B34" s="143">
        <v>1</v>
      </c>
      <c r="C34" s="140" t="s">
        <v>1124</v>
      </c>
      <c r="D34" s="710"/>
      <c r="E34" s="481">
        <v>192.5</v>
      </c>
      <c r="F34" s="306"/>
      <c r="G34" s="310"/>
      <c r="H34" s="1"/>
      <c r="I34" s="306"/>
      <c r="J34" s="1"/>
      <c r="K34" s="1"/>
      <c r="L34" s="1"/>
      <c r="M34" s="1"/>
      <c r="N34" s="1"/>
      <c r="O34" s="1"/>
      <c r="P34" s="1"/>
      <c r="Q34" s="1"/>
      <c r="R34" s="1"/>
    </row>
    <row r="35" spans="1:18" ht="30" x14ac:dyDescent="0.25">
      <c r="A35" s="104" t="s">
        <v>1322</v>
      </c>
      <c r="B35" s="143">
        <v>1</v>
      </c>
      <c r="C35" s="140" t="s">
        <v>1076</v>
      </c>
      <c r="D35" s="710"/>
      <c r="E35" s="481">
        <v>223.21</v>
      </c>
      <c r="F35" s="486">
        <v>93.83</v>
      </c>
      <c r="G35" s="377">
        <v>98459</v>
      </c>
      <c r="H35" s="139" t="s">
        <v>1838</v>
      </c>
      <c r="I35" s="306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A36" s="104" t="s">
        <v>1134</v>
      </c>
      <c r="B36" s="143">
        <v>1</v>
      </c>
      <c r="C36" s="140" t="s">
        <v>1124</v>
      </c>
      <c r="D36" s="710"/>
      <c r="E36" s="481">
        <v>29</v>
      </c>
      <c r="F36" s="306" t="s">
        <v>1855</v>
      </c>
      <c r="G36" s="310"/>
      <c r="H36" s="1"/>
      <c r="I36" s="306"/>
      <c r="J36" s="1"/>
      <c r="K36" s="1"/>
      <c r="L36" s="1"/>
      <c r="M36" s="1"/>
      <c r="N36" s="1"/>
      <c r="O36" s="1"/>
      <c r="P36" s="1"/>
      <c r="Q36" s="1"/>
      <c r="R36" s="1"/>
    </row>
    <row r="37" spans="1:18" ht="30" x14ac:dyDescent="0.25">
      <c r="A37" s="104" t="s">
        <v>1135</v>
      </c>
      <c r="B37" s="143">
        <v>1</v>
      </c>
      <c r="C37" s="140" t="s">
        <v>1124</v>
      </c>
      <c r="D37" s="710"/>
      <c r="E37" s="481">
        <v>53.9</v>
      </c>
      <c r="F37" s="306" t="s">
        <v>1855</v>
      </c>
      <c r="G37" s="310"/>
      <c r="H37" s="1"/>
      <c r="I37" s="306"/>
      <c r="J37" s="376"/>
      <c r="K37" s="373"/>
      <c r="L37" s="373"/>
      <c r="M37" s="373"/>
      <c r="N37" s="373"/>
      <c r="O37" s="374"/>
      <c r="P37" s="373"/>
      <c r="Q37" s="375"/>
      <c r="R37" s="1"/>
    </row>
    <row r="38" spans="1:18" x14ac:dyDescent="0.25">
      <c r="A38" s="138" t="s">
        <v>1138</v>
      </c>
      <c r="B38" s="143">
        <v>1</v>
      </c>
      <c r="C38" s="140" t="s">
        <v>1076</v>
      </c>
      <c r="D38" s="710"/>
      <c r="E38" s="481">
        <v>335</v>
      </c>
      <c r="F38" s="306"/>
      <c r="G38" s="310"/>
      <c r="H38" s="139"/>
      <c r="I38" s="306"/>
      <c r="J38" s="139"/>
      <c r="K38" s="139"/>
      <c r="L38" s="139"/>
      <c r="M38" s="139"/>
      <c r="N38" s="139"/>
      <c r="O38" s="139"/>
      <c r="P38" s="139"/>
      <c r="Q38" s="139"/>
      <c r="R38" s="139"/>
    </row>
    <row r="39" spans="1:18" ht="105" x14ac:dyDescent="0.25">
      <c r="A39" s="104" t="s">
        <v>1136</v>
      </c>
      <c r="B39" s="143">
        <v>1</v>
      </c>
      <c r="C39" s="140" t="s">
        <v>1124</v>
      </c>
      <c r="D39" s="710"/>
      <c r="E39" s="481">
        <v>285</v>
      </c>
      <c r="F39" s="306">
        <f>P16</f>
        <v>0</v>
      </c>
      <c r="G39" s="310"/>
      <c r="H39" s="139" t="s">
        <v>12</v>
      </c>
      <c r="I39" s="306"/>
      <c r="J39" s="376"/>
      <c r="K39" s="373"/>
      <c r="L39" s="373"/>
      <c r="M39" s="373"/>
      <c r="N39" s="373"/>
      <c r="O39" s="374"/>
      <c r="P39" s="373"/>
      <c r="Q39" s="375"/>
      <c r="R39" s="1"/>
    </row>
    <row r="40" spans="1:18" ht="105" x14ac:dyDescent="0.25">
      <c r="A40" s="104" t="s">
        <v>1137</v>
      </c>
      <c r="B40" s="143">
        <v>1</v>
      </c>
      <c r="C40" s="140" t="s">
        <v>1124</v>
      </c>
      <c r="D40" s="710"/>
      <c r="E40" s="481">
        <v>59.9</v>
      </c>
      <c r="F40" s="306">
        <f>Q16</f>
        <v>0</v>
      </c>
      <c r="G40" s="310"/>
      <c r="H40" s="139" t="s">
        <v>12</v>
      </c>
      <c r="I40" s="306"/>
      <c r="J40" s="376"/>
      <c r="K40" s="373"/>
      <c r="L40" s="373"/>
      <c r="M40" s="373"/>
      <c r="N40" s="373"/>
      <c r="O40" s="373"/>
      <c r="P40" s="373"/>
      <c r="Q40" s="373"/>
      <c r="R40" s="1"/>
    </row>
    <row r="41" spans="1:18" x14ac:dyDescent="0.25">
      <c r="A41" s="6" t="s">
        <v>1139</v>
      </c>
      <c r="B41" s="143">
        <v>1</v>
      </c>
      <c r="C41" s="140" t="s">
        <v>1140</v>
      </c>
      <c r="D41" s="710"/>
      <c r="E41" s="481">
        <v>736.08</v>
      </c>
      <c r="F41" s="487">
        <v>662.1</v>
      </c>
      <c r="G41" s="314">
        <v>10776</v>
      </c>
      <c r="H41" s="1" t="s">
        <v>1838</v>
      </c>
      <c r="I41" s="306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6" t="s">
        <v>1141</v>
      </c>
      <c r="B42" s="143">
        <v>1</v>
      </c>
      <c r="C42" s="140" t="s">
        <v>1140</v>
      </c>
      <c r="D42" s="710"/>
      <c r="E42" s="481">
        <v>736.08</v>
      </c>
      <c r="F42" s="487">
        <v>847.5</v>
      </c>
      <c r="G42" s="314">
        <v>10775</v>
      </c>
      <c r="H42" s="1" t="s">
        <v>1838</v>
      </c>
      <c r="I42" s="306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 s="6" t="s">
        <v>1142</v>
      </c>
      <c r="B43" s="143">
        <v>1</v>
      </c>
      <c r="C43" s="140" t="s">
        <v>1140</v>
      </c>
      <c r="D43" s="710"/>
      <c r="E43" s="481">
        <v>736.08</v>
      </c>
      <c r="F43" s="487">
        <v>1059.3699999999999</v>
      </c>
      <c r="G43" s="314">
        <v>10779</v>
      </c>
      <c r="H43" s="1" t="s">
        <v>1838</v>
      </c>
      <c r="I43" s="306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5">
      <c r="A44" s="6" t="s">
        <v>1143</v>
      </c>
      <c r="B44" s="143">
        <v>1</v>
      </c>
      <c r="C44" s="140" t="s">
        <v>1140</v>
      </c>
      <c r="D44" s="710"/>
      <c r="E44" s="481">
        <v>736.08</v>
      </c>
      <c r="F44" s="487">
        <v>1059.3699999999999</v>
      </c>
      <c r="G44" s="314">
        <v>10779</v>
      </c>
      <c r="H44" s="1" t="s">
        <v>1838</v>
      </c>
      <c r="I44" s="306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25">
      <c r="A45" s="6" t="s">
        <v>1144</v>
      </c>
      <c r="B45" s="143">
        <v>1</v>
      </c>
      <c r="C45" s="140" t="s">
        <v>1140</v>
      </c>
      <c r="D45" s="710"/>
      <c r="E45" s="481">
        <v>736.08</v>
      </c>
      <c r="F45" s="487">
        <v>1059.3699999999999</v>
      </c>
      <c r="G45" s="314">
        <v>10779</v>
      </c>
      <c r="H45" s="1" t="s">
        <v>1838</v>
      </c>
      <c r="I45" s="306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25">
      <c r="A46" s="6" t="s">
        <v>1145</v>
      </c>
      <c r="B46" s="143">
        <v>1</v>
      </c>
      <c r="C46" s="140" t="s">
        <v>1140</v>
      </c>
      <c r="D46" s="710"/>
      <c r="E46" s="481">
        <v>736.08</v>
      </c>
      <c r="F46" s="487">
        <v>662.1</v>
      </c>
      <c r="G46" s="314">
        <v>10776</v>
      </c>
      <c r="H46" s="1" t="s">
        <v>1838</v>
      </c>
      <c r="I46" s="306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25">
      <c r="A47" s="426" t="s">
        <v>1146</v>
      </c>
      <c r="B47" s="427"/>
      <c r="C47" s="425"/>
      <c r="D47" s="713"/>
      <c r="E47" s="479"/>
      <c r="F47" s="431"/>
      <c r="G47" s="308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25">
      <c r="A48" s="101" t="s">
        <v>1067</v>
      </c>
      <c r="B48" s="102" t="s">
        <v>14</v>
      </c>
      <c r="C48" s="103" t="s">
        <v>1068</v>
      </c>
      <c r="D48" s="422" t="s">
        <v>1069</v>
      </c>
      <c r="E48" s="480"/>
      <c r="F48" s="432"/>
      <c r="G48" s="309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25">
      <c r="A49" s="104" t="s">
        <v>1147</v>
      </c>
      <c r="B49" s="143">
        <v>1</v>
      </c>
      <c r="C49" s="140" t="s">
        <v>1140</v>
      </c>
      <c r="D49" s="710"/>
      <c r="E49" s="481">
        <v>2800</v>
      </c>
      <c r="F49" s="306">
        <f>169.94*8</f>
        <v>1359.52</v>
      </c>
      <c r="G49" s="312" t="s">
        <v>1843</v>
      </c>
      <c r="H49" s="1" t="s">
        <v>1844</v>
      </c>
      <c r="I49" s="306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5">
      <c r="A50" s="104" t="s">
        <v>1148</v>
      </c>
      <c r="B50" s="143">
        <v>1</v>
      </c>
      <c r="C50" s="140" t="s">
        <v>1140</v>
      </c>
      <c r="D50" s="710"/>
      <c r="E50" s="481">
        <v>1986.59</v>
      </c>
      <c r="F50" s="306">
        <v>900</v>
      </c>
      <c r="G50" s="310">
        <v>9476</v>
      </c>
      <c r="H50" s="1" t="s">
        <v>1837</v>
      </c>
      <c r="I50" s="306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25">
      <c r="A51" s="104" t="s">
        <v>1149</v>
      </c>
      <c r="B51" s="143">
        <v>1</v>
      </c>
      <c r="C51" s="140" t="s">
        <v>1140</v>
      </c>
      <c r="D51" s="710"/>
      <c r="E51" s="481">
        <v>26.6</v>
      </c>
      <c r="F51" s="306">
        <f>900/30</f>
        <v>30</v>
      </c>
      <c r="G51" s="310">
        <v>9731</v>
      </c>
      <c r="H51" s="1" t="s">
        <v>1837</v>
      </c>
      <c r="I51" s="306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25">
      <c r="A52" s="104" t="s">
        <v>1150</v>
      </c>
      <c r="B52" s="143">
        <v>1</v>
      </c>
      <c r="C52" s="140" t="s">
        <v>1151</v>
      </c>
      <c r="D52" s="710"/>
      <c r="E52" s="481">
        <v>39.659999999999997</v>
      </c>
      <c r="F52" s="306">
        <v>28</v>
      </c>
      <c r="G52" s="310">
        <v>10527</v>
      </c>
      <c r="H52" s="1" t="s">
        <v>1838</v>
      </c>
      <c r="I52" s="306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A53" s="104" t="s">
        <v>1152</v>
      </c>
      <c r="B53" s="143">
        <v>1</v>
      </c>
      <c r="C53" s="140" t="s">
        <v>1124</v>
      </c>
      <c r="D53" s="710"/>
      <c r="E53" s="481">
        <v>1490</v>
      </c>
      <c r="F53" s="306">
        <v>1516.41</v>
      </c>
      <c r="G53" s="310">
        <v>11296</v>
      </c>
      <c r="H53" s="1" t="s">
        <v>1837</v>
      </c>
      <c r="I53" s="306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5">
      <c r="A54" s="104" t="s">
        <v>1153</v>
      </c>
      <c r="B54" s="143">
        <v>1</v>
      </c>
      <c r="C54" s="140" t="s">
        <v>1154</v>
      </c>
      <c r="D54" s="710"/>
      <c r="E54" s="481">
        <v>147.37</v>
      </c>
      <c r="F54" s="306">
        <v>69.650000000000006</v>
      </c>
      <c r="G54" s="413">
        <v>13343</v>
      </c>
      <c r="H54" s="1" t="s">
        <v>1838</v>
      </c>
      <c r="I54" s="306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25">
      <c r="A55" s="104" t="s">
        <v>2134</v>
      </c>
      <c r="B55" s="143">
        <v>1</v>
      </c>
      <c r="C55" s="140" t="s">
        <v>1124</v>
      </c>
      <c r="D55" s="710"/>
      <c r="E55" s="481">
        <v>2500</v>
      </c>
      <c r="F55" s="306">
        <v>16109.6</v>
      </c>
      <c r="G55" s="413" t="s">
        <v>2015</v>
      </c>
      <c r="H55" s="315" t="s">
        <v>2016</v>
      </c>
      <c r="I55" s="306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25">
      <c r="A56" s="426" t="s">
        <v>1155</v>
      </c>
      <c r="B56" s="427"/>
      <c r="C56" s="425"/>
      <c r="D56" s="713"/>
      <c r="E56" s="479"/>
      <c r="F56" s="431"/>
      <c r="G56" s="308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25">
      <c r="A57" s="101" t="s">
        <v>1067</v>
      </c>
      <c r="B57" s="102" t="s">
        <v>14</v>
      </c>
      <c r="C57" s="103" t="s">
        <v>1068</v>
      </c>
      <c r="D57" s="422" t="s">
        <v>1069</v>
      </c>
      <c r="E57" s="480"/>
      <c r="F57" s="432"/>
      <c r="G57" s="309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25">
      <c r="A58" s="104" t="s">
        <v>1156</v>
      </c>
      <c r="B58" s="143">
        <v>1</v>
      </c>
      <c r="C58" s="140" t="s">
        <v>1096</v>
      </c>
      <c r="D58" s="710"/>
      <c r="E58" s="481">
        <v>95</v>
      </c>
      <c r="F58" s="306">
        <v>56.63</v>
      </c>
      <c r="G58" s="310">
        <v>41955</v>
      </c>
      <c r="H58" s="1" t="s">
        <v>1838</v>
      </c>
      <c r="I58" s="306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25">
      <c r="A59" s="104" t="s">
        <v>1157</v>
      </c>
      <c r="B59" s="143">
        <v>1</v>
      </c>
      <c r="C59" s="140" t="s">
        <v>1089</v>
      </c>
      <c r="D59" s="710"/>
      <c r="E59" s="481">
        <v>32</v>
      </c>
      <c r="F59" s="306">
        <v>72.78</v>
      </c>
      <c r="G59" s="310">
        <v>10708</v>
      </c>
      <c r="H59" t="s">
        <v>1838</v>
      </c>
      <c r="I59" s="306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25">
      <c r="A60" s="104" t="s">
        <v>1158</v>
      </c>
      <c r="B60" s="141">
        <v>1</v>
      </c>
      <c r="C60" s="140" t="s">
        <v>1159</v>
      </c>
      <c r="D60" s="710"/>
      <c r="E60" s="481">
        <v>149</v>
      </c>
      <c r="F60" s="306">
        <f>24.47*3.6</f>
        <v>88.091999999999999</v>
      </c>
      <c r="G60" s="310">
        <v>35692</v>
      </c>
      <c r="H60" s="1" t="s">
        <v>1838</v>
      </c>
      <c r="I60" s="306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25">
      <c r="A61" s="104" t="s">
        <v>1160</v>
      </c>
      <c r="B61" s="143">
        <v>1</v>
      </c>
      <c r="C61" s="140" t="s">
        <v>1159</v>
      </c>
      <c r="D61" s="710"/>
      <c r="E61" s="481">
        <v>143.5</v>
      </c>
      <c r="F61" s="306">
        <f>50.08*3.6</f>
        <v>180.28800000000001</v>
      </c>
      <c r="G61" s="310">
        <v>43650</v>
      </c>
      <c r="H61" s="1" t="s">
        <v>1838</v>
      </c>
      <c r="I61" s="306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25">
      <c r="A62" s="104" t="s">
        <v>1161</v>
      </c>
      <c r="B62" s="143">
        <v>1</v>
      </c>
      <c r="C62" s="140" t="s">
        <v>1162</v>
      </c>
      <c r="D62" s="710"/>
      <c r="E62" s="481">
        <v>24.67</v>
      </c>
      <c r="F62" s="306">
        <v>34.29</v>
      </c>
      <c r="G62" s="310">
        <v>5318</v>
      </c>
      <c r="H62" s="1" t="s">
        <v>1838</v>
      </c>
      <c r="I62" s="306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25">
      <c r="A63" s="104" t="s">
        <v>1163</v>
      </c>
      <c r="B63" s="143">
        <v>1</v>
      </c>
      <c r="C63" s="140" t="s">
        <v>1068</v>
      </c>
      <c r="D63" s="710"/>
      <c r="E63" s="481">
        <v>10.99</v>
      </c>
      <c r="F63" s="306">
        <v>16.45</v>
      </c>
      <c r="G63" s="310">
        <v>38393</v>
      </c>
      <c r="H63" s="1" t="s">
        <v>1838</v>
      </c>
      <c r="I63" s="306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25">
      <c r="A64" s="104" t="s">
        <v>1164</v>
      </c>
      <c r="B64" s="143">
        <v>1</v>
      </c>
      <c r="C64" s="140" t="s">
        <v>1068</v>
      </c>
      <c r="D64" s="710"/>
      <c r="E64" s="481">
        <v>29</v>
      </c>
      <c r="F64" s="306">
        <v>40.409999999999997</v>
      </c>
      <c r="G64" s="310">
        <v>38390</v>
      </c>
      <c r="H64" s="1" t="s">
        <v>1838</v>
      </c>
      <c r="I64" s="306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25">
      <c r="A65" s="104" t="s">
        <v>1165</v>
      </c>
      <c r="B65" s="143">
        <v>1</v>
      </c>
      <c r="C65" s="140" t="s">
        <v>1068</v>
      </c>
      <c r="D65" s="710"/>
      <c r="E65" s="481">
        <v>14</v>
      </c>
      <c r="F65" s="306">
        <v>5.01</v>
      </c>
      <c r="G65" s="310">
        <v>38386</v>
      </c>
      <c r="H65" s="1" t="s">
        <v>1838</v>
      </c>
      <c r="I65" s="306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25">
      <c r="A66" s="104" t="s">
        <v>1166</v>
      </c>
      <c r="B66" s="143">
        <v>1</v>
      </c>
      <c r="C66" s="140" t="s">
        <v>1096</v>
      </c>
      <c r="D66" s="710"/>
      <c r="E66" s="481">
        <v>19.95</v>
      </c>
      <c r="F66" s="306">
        <v>16.39</v>
      </c>
      <c r="G66" s="310">
        <v>13</v>
      </c>
      <c r="H66" s="1" t="s">
        <v>1838</v>
      </c>
      <c r="I66" s="306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104" t="s">
        <v>1167</v>
      </c>
      <c r="B67" s="143">
        <v>1</v>
      </c>
      <c r="C67" s="140" t="s">
        <v>1168</v>
      </c>
      <c r="D67" s="710"/>
      <c r="E67" s="481">
        <v>15.6</v>
      </c>
      <c r="F67" s="306">
        <v>11.9</v>
      </c>
      <c r="G67" s="312" t="s">
        <v>1841</v>
      </c>
      <c r="H67" s="1" t="s">
        <v>1842</v>
      </c>
      <c r="I67" s="306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25">
      <c r="A68" s="104" t="s">
        <v>1169</v>
      </c>
      <c r="B68" s="143">
        <v>1</v>
      </c>
      <c r="C68" s="140" t="s">
        <v>1170</v>
      </c>
      <c r="D68" s="710"/>
      <c r="E68" s="481">
        <v>13.8</v>
      </c>
      <c r="F68" s="306">
        <f>0.23*100</f>
        <v>23</v>
      </c>
      <c r="G68" s="310">
        <v>411</v>
      </c>
      <c r="H68" s="1" t="s">
        <v>1838</v>
      </c>
      <c r="I68" s="306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25">
      <c r="A69" s="104" t="s">
        <v>1171</v>
      </c>
      <c r="B69" s="143">
        <v>1</v>
      </c>
      <c r="C69" s="140" t="s">
        <v>1089</v>
      </c>
      <c r="D69" s="710"/>
      <c r="E69" s="481">
        <v>25.88</v>
      </c>
      <c r="F69" s="306">
        <v>26.78</v>
      </c>
      <c r="G69" s="310">
        <v>43681</v>
      </c>
      <c r="H69" s="1" t="s">
        <v>1838</v>
      </c>
      <c r="I69" s="306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25">
      <c r="A70" s="104" t="s">
        <v>1172</v>
      </c>
      <c r="B70" s="143">
        <v>1</v>
      </c>
      <c r="C70" s="140" t="s">
        <v>1089</v>
      </c>
      <c r="D70" s="710"/>
      <c r="E70" s="481">
        <v>91.03</v>
      </c>
      <c r="F70" s="306">
        <v>73.739999999999995</v>
      </c>
      <c r="G70" s="310">
        <v>11136</v>
      </c>
      <c r="H70" s="1" t="s">
        <v>1838</v>
      </c>
      <c r="I70" s="306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5">
      <c r="A71" s="104" t="s">
        <v>1173</v>
      </c>
      <c r="B71" s="143">
        <v>1</v>
      </c>
      <c r="C71" s="140" t="s">
        <v>1174</v>
      </c>
      <c r="D71" s="710"/>
      <c r="E71" s="481">
        <v>24.25</v>
      </c>
      <c r="F71" s="306">
        <v>17.670000000000002</v>
      </c>
      <c r="G71" s="310">
        <v>6212</v>
      </c>
      <c r="H71" s="1" t="s">
        <v>1838</v>
      </c>
      <c r="I71" s="306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5">
      <c r="A72" s="104" t="s">
        <v>1175</v>
      </c>
      <c r="B72" s="143">
        <v>1</v>
      </c>
      <c r="C72" s="140" t="s">
        <v>1174</v>
      </c>
      <c r="D72" s="710"/>
      <c r="E72" s="481">
        <v>35.9</v>
      </c>
      <c r="F72" s="306">
        <v>23.15</v>
      </c>
      <c r="G72" s="310">
        <v>4400</v>
      </c>
      <c r="H72" s="1" t="s">
        <v>1838</v>
      </c>
      <c r="I72" s="306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5">
      <c r="A73" s="426" t="s">
        <v>1176</v>
      </c>
      <c r="B73" s="427"/>
      <c r="C73" s="425"/>
      <c r="D73" s="713"/>
      <c r="E73" s="479"/>
      <c r="F73" s="431"/>
      <c r="G73" s="308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25">
      <c r="A74" s="101" t="s">
        <v>1067</v>
      </c>
      <c r="B74" s="102" t="s">
        <v>14</v>
      </c>
      <c r="C74" s="103" t="s">
        <v>1068</v>
      </c>
      <c r="D74" s="422" t="s">
        <v>1069</v>
      </c>
      <c r="E74" s="480"/>
      <c r="F74" s="432"/>
      <c r="G74" s="309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25">
      <c r="A75" s="104" t="s">
        <v>1177</v>
      </c>
      <c r="B75" s="143">
        <v>1</v>
      </c>
      <c r="C75" s="140" t="s">
        <v>1140</v>
      </c>
      <c r="D75" s="710"/>
      <c r="E75" s="481">
        <v>105</v>
      </c>
      <c r="F75" s="306">
        <f>12*3</f>
        <v>36</v>
      </c>
      <c r="G75" s="310">
        <v>10760</v>
      </c>
      <c r="H75" s="1" t="s">
        <v>1837</v>
      </c>
      <c r="I75" s="306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5">
      <c r="A76" s="426" t="s">
        <v>1178</v>
      </c>
      <c r="B76" s="427"/>
      <c r="C76" s="425"/>
      <c r="D76" s="713"/>
      <c r="E76" s="479"/>
      <c r="F76" s="431"/>
      <c r="G76" s="308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5">
      <c r="A77" s="101" t="s">
        <v>1067</v>
      </c>
      <c r="B77" s="102" t="s">
        <v>14</v>
      </c>
      <c r="C77" s="103" t="s">
        <v>1068</v>
      </c>
      <c r="D77" s="422" t="s">
        <v>1069</v>
      </c>
      <c r="E77" s="480"/>
      <c r="F77" s="432"/>
      <c r="G77" s="309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5">
      <c r="A78" s="104" t="s">
        <v>1179</v>
      </c>
      <c r="B78" s="143">
        <v>1</v>
      </c>
      <c r="C78" s="140" t="s">
        <v>1140</v>
      </c>
      <c r="D78" s="710"/>
      <c r="E78" s="481">
        <v>183.5</v>
      </c>
      <c r="F78" s="306">
        <v>109</v>
      </c>
      <c r="G78" s="310">
        <v>8532</v>
      </c>
      <c r="H78" s="1" t="s">
        <v>1837</v>
      </c>
      <c r="I78" s="306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5">
      <c r="A79" s="426" t="s">
        <v>1180</v>
      </c>
      <c r="B79" s="427"/>
      <c r="C79" s="425"/>
      <c r="D79" s="713"/>
      <c r="E79" s="479"/>
      <c r="F79" s="431"/>
      <c r="G79" s="308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25">
      <c r="A80" s="101" t="s">
        <v>1067</v>
      </c>
      <c r="B80" s="102" t="s">
        <v>14</v>
      </c>
      <c r="C80" s="103" t="s">
        <v>1068</v>
      </c>
      <c r="D80" s="422" t="s">
        <v>1069</v>
      </c>
      <c r="E80" s="480"/>
      <c r="F80" s="432"/>
      <c r="G80" s="309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25">
      <c r="A81" s="104" t="s">
        <v>1181</v>
      </c>
      <c r="B81" s="143">
        <v>1</v>
      </c>
      <c r="C81" s="140" t="s">
        <v>1140</v>
      </c>
      <c r="D81" s="710"/>
      <c r="E81" s="481">
        <v>1005.24</v>
      </c>
      <c r="F81" s="306">
        <f>280.33*8</f>
        <v>2242.64</v>
      </c>
      <c r="G81" s="312" t="s">
        <v>1853</v>
      </c>
      <c r="H81" s="1" t="s">
        <v>1844</v>
      </c>
      <c r="I81" s="306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25">
      <c r="A82" s="104" t="s">
        <v>1182</v>
      </c>
      <c r="B82" s="143">
        <v>1</v>
      </c>
      <c r="C82" s="140" t="s">
        <v>1140</v>
      </c>
      <c r="D82" s="710"/>
      <c r="E82" s="481">
        <v>1100</v>
      </c>
      <c r="F82" s="306">
        <f>139.65*8</f>
        <v>1117.2</v>
      </c>
      <c r="G82" s="310">
        <v>8488</v>
      </c>
      <c r="H82" s="1" t="s">
        <v>1837</v>
      </c>
      <c r="I82" s="306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25">
      <c r="A83" s="104" t="s">
        <v>1183</v>
      </c>
      <c r="B83" s="143">
        <v>1</v>
      </c>
      <c r="C83" s="140" t="s">
        <v>1140</v>
      </c>
      <c r="D83" s="710"/>
      <c r="E83" s="481">
        <v>1850</v>
      </c>
      <c r="F83" s="306">
        <f>194.85*8</f>
        <v>1558.8</v>
      </c>
      <c r="G83" s="312" t="s">
        <v>1852</v>
      </c>
      <c r="H83" s="1" t="s">
        <v>1844</v>
      </c>
      <c r="I83" s="306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25">
      <c r="A84" s="104" t="s">
        <v>1184</v>
      </c>
      <c r="B84" s="243">
        <v>1</v>
      </c>
      <c r="C84" s="140" t="s">
        <v>1140</v>
      </c>
      <c r="D84" s="710"/>
      <c r="E84" s="481">
        <v>550</v>
      </c>
      <c r="F84" s="306">
        <f>96.04*8</f>
        <v>768.32</v>
      </c>
      <c r="G84" s="310">
        <v>10434</v>
      </c>
      <c r="H84" s="1" t="s">
        <v>1837</v>
      </c>
      <c r="I84" s="306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5">
      <c r="A85" s="426" t="s">
        <v>2080</v>
      </c>
      <c r="B85" s="427"/>
      <c r="C85" s="425"/>
      <c r="D85" s="713"/>
      <c r="E85" s="479"/>
      <c r="F85" s="431"/>
      <c r="G85" s="308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5">
      <c r="A86" s="101" t="s">
        <v>1067</v>
      </c>
      <c r="B86" s="102" t="s">
        <v>14</v>
      </c>
      <c r="C86" s="103" t="s">
        <v>1068</v>
      </c>
      <c r="D86" s="422" t="s">
        <v>1069</v>
      </c>
      <c r="E86" s="480"/>
      <c r="F86" s="432"/>
      <c r="G86" s="309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x14ac:dyDescent="0.25">
      <c r="A87" s="67" t="s">
        <v>2081</v>
      </c>
      <c r="B87" s="379"/>
      <c r="C87" s="142"/>
      <c r="D87" s="423"/>
      <c r="E87" s="483"/>
      <c r="F87" s="432"/>
      <c r="G87" s="309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x14ac:dyDescent="0.25">
      <c r="A88" s="70" t="s">
        <v>1185</v>
      </c>
      <c r="B88" s="378">
        <v>1</v>
      </c>
      <c r="C88" s="124" t="s">
        <v>1124</v>
      </c>
      <c r="D88" s="710"/>
      <c r="E88" s="483">
        <v>51</v>
      </c>
      <c r="F88" s="306">
        <v>48.99</v>
      </c>
      <c r="G88" s="310" t="s">
        <v>1849</v>
      </c>
      <c r="H88" s="1"/>
      <c r="I88" s="306"/>
      <c r="J88" s="1"/>
      <c r="K88" s="1"/>
      <c r="L88" s="1"/>
      <c r="M88" s="1"/>
      <c r="N88" s="1"/>
      <c r="O88" s="1"/>
      <c r="P88" s="1"/>
      <c r="Q88" s="1"/>
      <c r="R88" s="1"/>
    </row>
    <row r="89" spans="1:18" x14ac:dyDescent="0.25">
      <c r="A89" s="70" t="s">
        <v>1186</v>
      </c>
      <c r="B89" s="378">
        <v>1</v>
      </c>
      <c r="C89" s="124" t="s">
        <v>1124</v>
      </c>
      <c r="D89" s="710"/>
      <c r="E89" s="481">
        <v>101.99</v>
      </c>
      <c r="F89" s="306">
        <v>79.900000000000006</v>
      </c>
      <c r="G89" s="310" t="s">
        <v>1849</v>
      </c>
      <c r="H89" s="1"/>
      <c r="I89" s="306"/>
      <c r="J89" s="1"/>
      <c r="K89" s="1"/>
      <c r="L89" s="1"/>
      <c r="M89" s="1"/>
      <c r="N89" s="1"/>
      <c r="O89" s="1"/>
      <c r="P89" s="1"/>
      <c r="Q89" s="1"/>
      <c r="R89" s="1"/>
    </row>
    <row r="90" spans="1:18" x14ac:dyDescent="0.25">
      <c r="A90" s="70" t="s">
        <v>1187</v>
      </c>
      <c r="B90" s="378">
        <v>1</v>
      </c>
      <c r="C90" s="124" t="s">
        <v>1124</v>
      </c>
      <c r="D90" s="710"/>
      <c r="E90" s="481">
        <v>2470</v>
      </c>
      <c r="F90" s="306">
        <v>1999.9</v>
      </c>
      <c r="G90" s="310" t="s">
        <v>1849</v>
      </c>
      <c r="H90" s="1"/>
      <c r="I90" s="306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25">
      <c r="A91" s="70" t="s">
        <v>1188</v>
      </c>
      <c r="B91" s="378">
        <v>1</v>
      </c>
      <c r="C91" s="124" t="s">
        <v>1124</v>
      </c>
      <c r="D91" s="710"/>
      <c r="E91" s="481">
        <v>2640</v>
      </c>
      <c r="F91" s="306">
        <v>999.9</v>
      </c>
      <c r="G91" s="310" t="s">
        <v>1849</v>
      </c>
      <c r="H91" s="1"/>
      <c r="I91" s="306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25">
      <c r="A92" s="70" t="s">
        <v>1157</v>
      </c>
      <c r="B92" s="378">
        <v>1</v>
      </c>
      <c r="C92" s="140" t="s">
        <v>1076</v>
      </c>
      <c r="D92" s="710"/>
      <c r="E92" s="481">
        <v>32</v>
      </c>
      <c r="F92" s="306">
        <v>72.78</v>
      </c>
      <c r="G92" s="310">
        <v>10708</v>
      </c>
      <c r="H92" t="s">
        <v>1838</v>
      </c>
      <c r="I92" s="306"/>
      <c r="J92" s="1"/>
      <c r="K92" s="1"/>
      <c r="L92" s="1"/>
      <c r="M92" s="1"/>
      <c r="N92" s="1"/>
      <c r="O92" s="1"/>
      <c r="P92" s="1"/>
      <c r="Q92" s="1"/>
      <c r="R92" s="1"/>
    </row>
    <row r="93" spans="1:18" x14ac:dyDescent="0.25">
      <c r="A93" s="67" t="s">
        <v>315</v>
      </c>
      <c r="B93" s="379"/>
      <c r="C93" s="142"/>
      <c r="D93" s="423"/>
      <c r="E93" s="482"/>
      <c r="F93" s="421"/>
      <c r="G93" s="311"/>
      <c r="H93" s="1"/>
      <c r="I93" s="421"/>
      <c r="J93" s="1"/>
      <c r="K93" s="1"/>
      <c r="L93" s="1"/>
      <c r="M93" s="1"/>
      <c r="N93" s="1"/>
      <c r="O93" s="1"/>
      <c r="P93" s="1"/>
      <c r="Q93" s="1"/>
      <c r="R93" s="1"/>
    </row>
    <row r="94" spans="1:18" x14ac:dyDescent="0.25">
      <c r="A94" s="70" t="s">
        <v>1189</v>
      </c>
      <c r="B94" s="378">
        <v>1</v>
      </c>
      <c r="C94" s="124" t="s">
        <v>1124</v>
      </c>
      <c r="D94" s="714"/>
      <c r="E94" s="483">
        <v>805</v>
      </c>
      <c r="F94" s="306">
        <v>3190.43</v>
      </c>
      <c r="G94" s="312" t="s">
        <v>1845</v>
      </c>
      <c r="H94" s="1" t="s">
        <v>1846</v>
      </c>
      <c r="I94" s="306"/>
      <c r="J94" s="1"/>
      <c r="K94" s="1"/>
      <c r="L94" s="1"/>
      <c r="M94" s="1"/>
      <c r="N94" s="1"/>
      <c r="O94" s="1"/>
      <c r="P94" s="1"/>
      <c r="Q94" s="1"/>
      <c r="R94" s="1"/>
    </row>
    <row r="95" spans="1:18" x14ac:dyDescent="0.25">
      <c r="A95" s="70" t="s">
        <v>1190</v>
      </c>
      <c r="B95" s="378">
        <v>1</v>
      </c>
      <c r="C95" s="124" t="s">
        <v>1124</v>
      </c>
      <c r="D95" s="714"/>
      <c r="E95" s="481">
        <v>3100</v>
      </c>
      <c r="F95" s="306">
        <v>4161.92</v>
      </c>
      <c r="G95" s="312" t="s">
        <v>2078</v>
      </c>
      <c r="H95" s="1" t="s">
        <v>1846</v>
      </c>
      <c r="I95" s="306"/>
      <c r="J95" s="1"/>
      <c r="K95" s="1"/>
      <c r="L95" s="1"/>
      <c r="M95" s="1"/>
      <c r="N95" s="1"/>
      <c r="O95" s="1"/>
      <c r="P95" s="1"/>
      <c r="Q95" s="1"/>
      <c r="R95" s="1"/>
    </row>
    <row r="96" spans="1:18" x14ac:dyDescent="0.25">
      <c r="A96" s="67" t="s">
        <v>1191</v>
      </c>
      <c r="B96" s="379"/>
      <c r="C96" s="142"/>
      <c r="D96" s="423"/>
      <c r="E96" s="482"/>
      <c r="F96" s="421"/>
      <c r="G96" s="311"/>
      <c r="H96" s="1"/>
      <c r="I96" s="421"/>
      <c r="J96" s="1"/>
      <c r="K96" s="1"/>
      <c r="L96" s="1"/>
      <c r="M96" s="1"/>
      <c r="N96" s="1"/>
      <c r="O96" s="1"/>
      <c r="P96" s="1"/>
      <c r="Q96" s="1"/>
      <c r="R96" s="1"/>
    </row>
    <row r="97" spans="1:18" x14ac:dyDescent="0.25">
      <c r="A97" s="70" t="s">
        <v>1192</v>
      </c>
      <c r="B97" s="378">
        <v>1</v>
      </c>
      <c r="C97" s="124" t="s">
        <v>1124</v>
      </c>
      <c r="D97" s="710"/>
      <c r="E97" s="483">
        <v>1679</v>
      </c>
      <c r="F97" s="306">
        <v>431.95</v>
      </c>
      <c r="G97" s="310">
        <v>34636</v>
      </c>
      <c r="H97" s="1" t="s">
        <v>1838</v>
      </c>
      <c r="I97" s="306"/>
      <c r="J97" s="1"/>
      <c r="K97" s="1"/>
      <c r="L97" s="1"/>
      <c r="M97" s="1"/>
      <c r="N97" s="1"/>
      <c r="O97" s="1"/>
      <c r="P97" s="1"/>
      <c r="Q97" s="1"/>
      <c r="R97" s="1"/>
    </row>
    <row r="98" spans="1:18" x14ac:dyDescent="0.25">
      <c r="A98" s="67" t="s">
        <v>1458</v>
      </c>
      <c r="B98" s="144"/>
      <c r="C98" s="142"/>
      <c r="D98" s="423"/>
      <c r="E98" s="482"/>
      <c r="F98" s="421"/>
      <c r="G98" s="311"/>
      <c r="I98" s="421"/>
    </row>
    <row r="99" spans="1:18" x14ac:dyDescent="0.25">
      <c r="A99" s="264" t="s">
        <v>1004</v>
      </c>
      <c r="B99" s="378">
        <v>1</v>
      </c>
      <c r="C99" s="436" t="s">
        <v>1140</v>
      </c>
      <c r="D99" s="710"/>
      <c r="E99" s="483">
        <v>1380</v>
      </c>
      <c r="F99" s="306">
        <f>(40.55*24)+130.22</f>
        <v>1103.4199999999998</v>
      </c>
      <c r="G99" s="312" t="s">
        <v>1850</v>
      </c>
      <c r="H99" t="s">
        <v>1838</v>
      </c>
      <c r="I99" s="306"/>
    </row>
    <row r="100" spans="1:18" x14ac:dyDescent="0.25">
      <c r="A100" s="264" t="s">
        <v>1006</v>
      </c>
      <c r="B100" s="378">
        <v>1</v>
      </c>
      <c r="C100" s="436" t="s">
        <v>1140</v>
      </c>
      <c r="D100" s="710"/>
      <c r="E100" s="481">
        <v>1653.33</v>
      </c>
      <c r="F100" s="306">
        <f>(40.55*24)+130.22</f>
        <v>1103.4199999999998</v>
      </c>
      <c r="G100" s="312" t="s">
        <v>1850</v>
      </c>
      <c r="H100" t="s">
        <v>1838</v>
      </c>
      <c r="I100" s="306"/>
    </row>
    <row r="101" spans="1:18" x14ac:dyDescent="0.25">
      <c r="A101" s="264" t="s">
        <v>1008</v>
      </c>
      <c r="B101" s="378">
        <v>1</v>
      </c>
      <c r="C101" s="436" t="s">
        <v>1140</v>
      </c>
      <c r="D101" s="710"/>
      <c r="E101" s="481">
        <v>1224.2</v>
      </c>
      <c r="F101" s="306">
        <f>(29.61*24)+130.22</f>
        <v>840.86</v>
      </c>
      <c r="G101" s="312" t="s">
        <v>1851</v>
      </c>
      <c r="H101" t="s">
        <v>1838</v>
      </c>
      <c r="I101" s="306"/>
    </row>
    <row r="102" spans="1:18" x14ac:dyDescent="0.25">
      <c r="A102" s="264" t="s">
        <v>1010</v>
      </c>
      <c r="B102" s="378">
        <v>1</v>
      </c>
      <c r="C102" s="436" t="s">
        <v>1140</v>
      </c>
      <c r="D102" s="710"/>
      <c r="E102" s="481">
        <v>5499.33</v>
      </c>
      <c r="F102" s="306">
        <f>(164.68*10)+F50</f>
        <v>2546.8000000000002</v>
      </c>
      <c r="G102" s="312" t="s">
        <v>1847</v>
      </c>
      <c r="H102" t="s">
        <v>1848</v>
      </c>
      <c r="I102" s="306"/>
    </row>
    <row r="103" spans="1:18" x14ac:dyDescent="0.25">
      <c r="A103" s="426" t="s">
        <v>2444</v>
      </c>
      <c r="B103" s="427"/>
      <c r="C103" s="425"/>
      <c r="D103" s="713"/>
    </row>
    <row r="104" spans="1:18" x14ac:dyDescent="0.25">
      <c r="A104" s="707" t="s">
        <v>2431</v>
      </c>
      <c r="B104" s="708">
        <v>1</v>
      </c>
      <c r="C104" s="709" t="s">
        <v>1940</v>
      </c>
      <c r="D104" s="710"/>
      <c r="F104" s="433">
        <v>26.25</v>
      </c>
      <c r="G104">
        <v>4618</v>
      </c>
      <c r="H104" t="s">
        <v>1837</v>
      </c>
    </row>
    <row r="105" spans="1:18" x14ac:dyDescent="0.25">
      <c r="A105" s="707" t="s">
        <v>2432</v>
      </c>
      <c r="B105" s="708">
        <v>1</v>
      </c>
      <c r="C105" s="709" t="s">
        <v>1940</v>
      </c>
      <c r="D105" s="710"/>
      <c r="F105" s="433">
        <f>ROUND(249.37/3,2)</f>
        <v>83.12</v>
      </c>
      <c r="G105">
        <v>13300</v>
      </c>
      <c r="H105" t="s">
        <v>1837</v>
      </c>
    </row>
    <row r="106" spans="1:18" ht="30" x14ac:dyDescent="0.25">
      <c r="A106" s="711" t="s">
        <v>2433</v>
      </c>
      <c r="B106" s="708">
        <v>1</v>
      </c>
      <c r="C106" s="709" t="s">
        <v>1940</v>
      </c>
      <c r="D106" s="710"/>
      <c r="E106" s="482"/>
      <c r="F106" s="306">
        <v>331.08</v>
      </c>
      <c r="G106">
        <v>1897</v>
      </c>
      <c r="H106" t="s">
        <v>1837</v>
      </c>
    </row>
  </sheetData>
  <mergeCells count="14">
    <mergeCell ref="A1:D1"/>
    <mergeCell ref="J3:J5"/>
    <mergeCell ref="K3:M3"/>
    <mergeCell ref="N3:N5"/>
    <mergeCell ref="J20:K20"/>
    <mergeCell ref="J28:J30"/>
    <mergeCell ref="K28:L29"/>
    <mergeCell ref="P3:R3"/>
    <mergeCell ref="M15:O15"/>
    <mergeCell ref="L17:O17"/>
    <mergeCell ref="L18:O18"/>
    <mergeCell ref="J19:O19"/>
    <mergeCell ref="P19:Q19"/>
    <mergeCell ref="O3:O5"/>
  </mergeCells>
  <pageMargins left="0.511811024" right="0.511811024" top="0.78740157499999996" bottom="0.78740157499999996" header="0.31496062000000002" footer="0.31496062000000002"/>
  <pageSetup paperSize="9" scale="79" orientation="portrait" r:id="rId1"/>
  <colBreaks count="1" manualBreakCount="1">
    <brk id="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view="pageBreakPreview" zoomScale="80" zoomScaleNormal="100" zoomScaleSheetLayoutView="80" workbookViewId="0">
      <selection activeCell="K4" sqref="K4"/>
    </sheetView>
  </sheetViews>
  <sheetFormatPr defaultRowHeight="15" x14ac:dyDescent="0.25"/>
  <cols>
    <col min="1" max="1" width="0.85546875" customWidth="1"/>
    <col min="2" max="2" width="63.28515625" customWidth="1"/>
    <col min="3" max="3" width="13.140625" customWidth="1"/>
    <col min="4" max="4" width="1.7109375" customWidth="1"/>
    <col min="5" max="5" width="1.5703125" customWidth="1"/>
    <col min="6" max="6" width="62" customWidth="1"/>
    <col min="7" max="7" width="13.5703125" customWidth="1"/>
    <col min="8" max="8" width="1.28515625" customWidth="1"/>
  </cols>
  <sheetData>
    <row r="1" spans="1:7" ht="21" x14ac:dyDescent="0.25">
      <c r="A1" s="277"/>
      <c r="B1" s="597" t="s">
        <v>2137</v>
      </c>
      <c r="C1" s="598"/>
      <c r="D1" s="277"/>
      <c r="F1" s="597" t="s">
        <v>2138</v>
      </c>
      <c r="G1" s="598"/>
    </row>
    <row r="2" spans="1:7" ht="46.5" customHeight="1" x14ac:dyDescent="0.25">
      <c r="A2" s="278"/>
      <c r="B2" s="599" t="s">
        <v>2079</v>
      </c>
      <c r="C2" s="600"/>
      <c r="D2" s="278"/>
      <c r="F2" s="599" t="s">
        <v>2079</v>
      </c>
      <c r="G2" s="600"/>
    </row>
    <row r="3" spans="1:7" x14ac:dyDescent="0.25">
      <c r="A3" s="278"/>
      <c r="B3" s="599" t="s">
        <v>1620</v>
      </c>
      <c r="C3" s="600"/>
      <c r="D3" s="278"/>
      <c r="F3" s="599" t="s">
        <v>1620</v>
      </c>
      <c r="G3" s="600"/>
    </row>
    <row r="4" spans="1:7" ht="26.25" customHeight="1" thickBot="1" x14ac:dyDescent="0.3">
      <c r="A4" s="276"/>
      <c r="B4" s="601" t="s">
        <v>1621</v>
      </c>
      <c r="C4" s="602"/>
      <c r="D4" s="276"/>
      <c r="F4" s="601" t="s">
        <v>2359</v>
      </c>
      <c r="G4" s="602"/>
    </row>
    <row r="5" spans="1:7" ht="15.75" thickBot="1" x14ac:dyDescent="0.3">
      <c r="A5" s="276"/>
      <c r="B5" s="279"/>
      <c r="C5" s="280"/>
      <c r="D5" s="276"/>
      <c r="F5" s="279"/>
      <c r="G5" s="280"/>
    </row>
    <row r="6" spans="1:7" ht="15.75" thickBot="1" x14ac:dyDescent="0.3">
      <c r="A6" s="276"/>
      <c r="B6" s="281" t="s">
        <v>1622</v>
      </c>
      <c r="C6" s="282" t="s">
        <v>1623</v>
      </c>
      <c r="D6" s="276"/>
      <c r="F6" s="281" t="s">
        <v>1622</v>
      </c>
      <c r="G6" s="282" t="s">
        <v>1623</v>
      </c>
    </row>
    <row r="7" spans="1:7" ht="15.75" x14ac:dyDescent="0.25">
      <c r="A7" s="276"/>
      <c r="B7" s="283"/>
      <c r="C7" s="284"/>
      <c r="D7" s="276"/>
      <c r="F7" s="283"/>
      <c r="G7" s="284"/>
    </row>
    <row r="8" spans="1:7" ht="15.75" x14ac:dyDescent="0.25">
      <c r="A8" s="276"/>
      <c r="B8" s="285" t="s">
        <v>1624</v>
      </c>
      <c r="C8" s="286">
        <v>4.2500000000000003E-2</v>
      </c>
      <c r="D8" s="276"/>
      <c r="F8" s="285" t="s">
        <v>1624</v>
      </c>
      <c r="G8" s="450">
        <v>3.7999999999999999E-2</v>
      </c>
    </row>
    <row r="9" spans="1:7" ht="15.75" x14ac:dyDescent="0.25">
      <c r="A9" s="276"/>
      <c r="B9" s="285" t="s">
        <v>1625</v>
      </c>
      <c r="C9" s="286">
        <v>4.4999999999999997E-3</v>
      </c>
      <c r="D9" s="276"/>
      <c r="F9" s="285" t="s">
        <v>1625</v>
      </c>
      <c r="G9" s="450">
        <v>3.2000000000000002E-3</v>
      </c>
    </row>
    <row r="10" spans="1:7" ht="15.75" x14ac:dyDescent="0.25">
      <c r="A10" s="276"/>
      <c r="B10" s="285" t="s">
        <v>1626</v>
      </c>
      <c r="C10" s="286">
        <v>8.5000000000000006E-3</v>
      </c>
      <c r="D10" s="276"/>
      <c r="F10" s="285" t="s">
        <v>1626</v>
      </c>
      <c r="G10" s="450">
        <v>5.0000000000000001E-3</v>
      </c>
    </row>
    <row r="11" spans="1:7" ht="15.75" x14ac:dyDescent="0.25">
      <c r="A11" s="276"/>
      <c r="B11" s="285" t="s">
        <v>1627</v>
      </c>
      <c r="C11" s="286">
        <v>8.5000000000000006E-3</v>
      </c>
      <c r="D11" s="276"/>
      <c r="F11" s="285" t="s">
        <v>1627</v>
      </c>
      <c r="G11" s="450">
        <v>1.0200000000000001E-2</v>
      </c>
    </row>
    <row r="12" spans="1:7" ht="15.75" x14ac:dyDescent="0.25">
      <c r="A12" s="276"/>
      <c r="B12" s="285" t="s">
        <v>1628</v>
      </c>
      <c r="C12" s="286">
        <v>7.1999999999999995E-2</v>
      </c>
      <c r="D12" s="276"/>
      <c r="F12" s="285" t="s">
        <v>1628</v>
      </c>
      <c r="G12" s="450">
        <v>6.6400000000000001E-2</v>
      </c>
    </row>
    <row r="13" spans="1:7" ht="15.75" x14ac:dyDescent="0.25">
      <c r="A13" s="276"/>
      <c r="B13" s="285" t="s">
        <v>1629</v>
      </c>
      <c r="C13" s="286">
        <v>8.6499999999999994E-2</v>
      </c>
      <c r="D13" s="276"/>
      <c r="F13" s="285" t="s">
        <v>1629</v>
      </c>
      <c r="G13" s="450">
        <f>0.0065+0.03+0.05</f>
        <v>8.6499999999999994E-2</v>
      </c>
    </row>
    <row r="14" spans="1:7" x14ac:dyDescent="0.25">
      <c r="A14" s="276"/>
      <c r="B14" s="279"/>
      <c r="C14" s="280"/>
      <c r="D14" s="276"/>
      <c r="F14" s="279"/>
      <c r="G14" s="280"/>
    </row>
    <row r="15" spans="1:7" x14ac:dyDescent="0.25">
      <c r="A15" s="276"/>
      <c r="B15" s="603" t="s">
        <v>2133</v>
      </c>
      <c r="C15" s="604"/>
      <c r="D15" s="276"/>
      <c r="F15" s="603" t="s">
        <v>2133</v>
      </c>
      <c r="G15" s="604"/>
    </row>
    <row r="16" spans="1:7" x14ac:dyDescent="0.25">
      <c r="A16" s="276"/>
      <c r="B16" s="279"/>
      <c r="C16" s="280"/>
      <c r="D16" s="276"/>
      <c r="F16" s="279"/>
      <c r="G16" s="280"/>
    </row>
    <row r="17" spans="1:7" x14ac:dyDescent="0.25">
      <c r="A17" s="276"/>
      <c r="B17" s="279"/>
      <c r="C17" s="280"/>
      <c r="D17" s="276"/>
      <c r="F17" s="279"/>
      <c r="G17" s="280"/>
    </row>
    <row r="18" spans="1:7" x14ac:dyDescent="0.25">
      <c r="A18" s="276"/>
      <c r="B18" s="279"/>
      <c r="C18" s="280"/>
      <c r="D18" s="276"/>
      <c r="F18" s="279"/>
      <c r="G18" s="280"/>
    </row>
    <row r="19" spans="1:7" ht="15.75" thickBot="1" x14ac:dyDescent="0.3">
      <c r="A19" s="276"/>
      <c r="B19" s="279"/>
      <c r="C19" s="280"/>
      <c r="D19" s="276"/>
      <c r="F19" s="279"/>
      <c r="G19" s="280"/>
    </row>
    <row r="20" spans="1:7" ht="19.5" thickBot="1" x14ac:dyDescent="0.3">
      <c r="A20" s="276"/>
      <c r="B20" s="287" t="s">
        <v>1630</v>
      </c>
      <c r="C20" s="288">
        <f>ROUND(((((1+C8+C9+C10)*(1+C11)*(1+C12))/(1-C13))-1),4)</f>
        <v>0.2492</v>
      </c>
      <c r="D20" s="276"/>
      <c r="F20" s="287" t="s">
        <v>1630</v>
      </c>
      <c r="G20" s="288">
        <f>ROUND(((((1+G8+G9+G10)*(1+G11)*(1+G12))/(1-G13))-1),4)</f>
        <v>0.23380000000000001</v>
      </c>
    </row>
    <row r="21" spans="1:7" x14ac:dyDescent="0.25">
      <c r="A21" s="276"/>
      <c r="B21" s="289"/>
      <c r="C21" s="280"/>
      <c r="D21" s="276"/>
      <c r="F21" s="289"/>
      <c r="G21" s="280"/>
    </row>
    <row r="22" spans="1:7" x14ac:dyDescent="0.25">
      <c r="A22" s="276"/>
      <c r="B22" s="289"/>
      <c r="C22" s="280"/>
      <c r="D22" s="276"/>
      <c r="F22" s="289"/>
      <c r="G22" s="280"/>
    </row>
    <row r="23" spans="1:7" x14ac:dyDescent="0.25">
      <c r="A23" s="276"/>
      <c r="B23" s="279"/>
      <c r="C23" s="280"/>
      <c r="D23" s="276"/>
      <c r="F23" s="279"/>
      <c r="G23" s="280"/>
    </row>
    <row r="24" spans="1:7" x14ac:dyDescent="0.25">
      <c r="A24" s="276"/>
      <c r="B24" s="290"/>
      <c r="C24" s="280"/>
      <c r="D24" s="276"/>
      <c r="F24" s="290"/>
      <c r="G24" s="280"/>
    </row>
    <row r="25" spans="1:7" ht="15.75" x14ac:dyDescent="0.25">
      <c r="A25" s="276"/>
      <c r="B25" s="291" t="s">
        <v>1631</v>
      </c>
      <c r="C25" s="280"/>
      <c r="D25" s="276"/>
      <c r="F25" s="291" t="s">
        <v>1631</v>
      </c>
      <c r="G25" s="280"/>
    </row>
    <row r="26" spans="1:7" ht="15.75" x14ac:dyDescent="0.25">
      <c r="A26" s="276"/>
      <c r="B26" s="292" t="s">
        <v>1854</v>
      </c>
      <c r="C26" s="280"/>
      <c r="D26" s="276"/>
      <c r="F26" s="292" t="s">
        <v>1854</v>
      </c>
      <c r="G26" s="280"/>
    </row>
    <row r="27" spans="1:7" ht="15.75" thickBot="1" x14ac:dyDescent="0.3">
      <c r="A27" s="276"/>
      <c r="B27" s="293"/>
      <c r="C27" s="294"/>
      <c r="D27" s="276"/>
      <c r="F27" s="293"/>
      <c r="G27" s="294"/>
    </row>
  </sheetData>
  <mergeCells count="10">
    <mergeCell ref="B3:C3"/>
    <mergeCell ref="B4:C4"/>
    <mergeCell ref="B15:C15"/>
    <mergeCell ref="B1:C1"/>
    <mergeCell ref="B2:C2"/>
    <mergeCell ref="F1:G1"/>
    <mergeCell ref="F2:G2"/>
    <mergeCell ref="F3:G3"/>
    <mergeCell ref="F4:G4"/>
    <mergeCell ref="F15:G15"/>
  </mergeCells>
  <pageMargins left="0.51181102362204722" right="0.51181102362204722" top="0.78740157480314965" bottom="0.78740157480314965" header="0.31496062992125984" footer="0.31496062992125984"/>
  <pageSetup paperSize="9" fitToWidth="0" orientation="portrait" r:id="rId1"/>
  <colBreaks count="1" manualBreakCount="1">
    <brk id="4" max="27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5"/>
  <sheetViews>
    <sheetView view="pageBreakPreview" topLeftCell="B1" zoomScale="85" zoomScaleNormal="85" zoomScaleSheetLayoutView="85" workbookViewId="0">
      <pane ySplit="4" topLeftCell="A5" activePane="bottomLeft" state="frozen"/>
      <selection activeCell="D81" sqref="D81"/>
      <selection pane="bottomLeft" activeCell="B3" sqref="B3:F3"/>
    </sheetView>
  </sheetViews>
  <sheetFormatPr defaultRowHeight="15" x14ac:dyDescent="0.25"/>
  <cols>
    <col min="1" max="1" width="1.140625" customWidth="1"/>
    <col min="3" max="3" width="18.42578125" customWidth="1"/>
    <col min="4" max="4" width="60.85546875" customWidth="1"/>
    <col min="7" max="7" width="1" customWidth="1"/>
  </cols>
  <sheetData>
    <row r="1" spans="1:6" x14ac:dyDescent="0.25">
      <c r="B1" s="491" t="s">
        <v>1193</v>
      </c>
      <c r="C1" s="491"/>
      <c r="D1" s="491"/>
      <c r="E1" s="491"/>
      <c r="F1" s="491"/>
    </row>
    <row r="2" spans="1:6" x14ac:dyDescent="0.25">
      <c r="A2" s="302"/>
      <c r="B2" s="491"/>
      <c r="C2" s="491"/>
      <c r="D2" s="491"/>
      <c r="E2" s="491"/>
      <c r="F2" s="491"/>
    </row>
    <row r="3" spans="1:6" ht="50.25" customHeight="1" x14ac:dyDescent="0.25">
      <c r="B3" s="492" t="str">
        <f>BDI!B2</f>
        <v>OBJETO: SERVIÇOS DE MONTAGEM E DESMONTAGEM DE ESTRUTURA, SOM E ILUMINAÇÃO INCLUINDO FORNECIMENTO, INSTALAÇÃO E MANUTENÇÃO; E  SERVIÇOS DE CAPTAÇÃO E TRANSMISSÃO DE IMAGENS - SÃO JOÃO 2026</v>
      </c>
      <c r="C3" s="492"/>
      <c r="D3" s="492"/>
      <c r="E3" s="492"/>
      <c r="F3" s="492"/>
    </row>
    <row r="4" spans="1:6" x14ac:dyDescent="0.25">
      <c r="B4" s="2" t="s">
        <v>1</v>
      </c>
      <c r="C4" s="2" t="s">
        <v>241</v>
      </c>
      <c r="D4" s="2" t="s">
        <v>2</v>
      </c>
      <c r="E4" s="61" t="s">
        <v>13</v>
      </c>
      <c r="F4" s="61" t="s">
        <v>14</v>
      </c>
    </row>
    <row r="5" spans="1:6" x14ac:dyDescent="0.25">
      <c r="B5" s="267" t="s">
        <v>245</v>
      </c>
      <c r="C5" s="267"/>
      <c r="D5" s="268" t="s">
        <v>1295</v>
      </c>
      <c r="E5" s="268"/>
      <c r="F5" s="268"/>
    </row>
    <row r="6" spans="1:6" x14ac:dyDescent="0.25">
      <c r="B6" s="63" t="s">
        <v>246</v>
      </c>
      <c r="C6" s="63"/>
      <c r="D6" s="64" t="s">
        <v>4</v>
      </c>
      <c r="E6" s="64"/>
      <c r="F6" s="64"/>
    </row>
    <row r="7" spans="1:6" s="247" customFormat="1" x14ac:dyDescent="0.25">
      <c r="B7" s="66" t="s">
        <v>1296</v>
      </c>
      <c r="C7" s="66" t="s">
        <v>1369</v>
      </c>
      <c r="D7" s="67" t="s">
        <v>1333</v>
      </c>
      <c r="E7" s="66" t="s">
        <v>248</v>
      </c>
      <c r="F7" s="66">
        <v>1</v>
      </c>
    </row>
    <row r="8" spans="1:6" s="247" customFormat="1" x14ac:dyDescent="0.25">
      <c r="B8" s="66" t="s">
        <v>1297</v>
      </c>
      <c r="C8" s="66" t="s">
        <v>1370</v>
      </c>
      <c r="D8" s="67" t="s">
        <v>1334</v>
      </c>
      <c r="E8" s="66" t="s">
        <v>248</v>
      </c>
      <c r="F8" s="66">
        <v>1</v>
      </c>
    </row>
    <row r="9" spans="1:6" s="247" customFormat="1" x14ac:dyDescent="0.25">
      <c r="B9" s="66" t="s">
        <v>1298</v>
      </c>
      <c r="C9" s="66" t="s">
        <v>1377</v>
      </c>
      <c r="D9" s="67" t="s">
        <v>1946</v>
      </c>
      <c r="E9" s="66" t="s">
        <v>248</v>
      </c>
      <c r="F9" s="66">
        <v>1</v>
      </c>
    </row>
    <row r="10" spans="1:6" s="247" customFormat="1" x14ac:dyDescent="0.25">
      <c r="B10" s="66" t="s">
        <v>1299</v>
      </c>
      <c r="C10" s="66" t="s">
        <v>1371</v>
      </c>
      <c r="D10" s="67" t="s">
        <v>1919</v>
      </c>
      <c r="E10" s="66" t="s">
        <v>248</v>
      </c>
      <c r="F10" s="66">
        <v>1</v>
      </c>
    </row>
    <row r="11" spans="1:6" s="247" customFormat="1" x14ac:dyDescent="0.25">
      <c r="B11" s="66" t="s">
        <v>1300</v>
      </c>
      <c r="C11" s="66" t="s">
        <v>1372</v>
      </c>
      <c r="D11" s="67" t="s">
        <v>1968</v>
      </c>
      <c r="E11" s="66" t="s">
        <v>248</v>
      </c>
      <c r="F11" s="66">
        <v>1</v>
      </c>
    </row>
    <row r="12" spans="1:6" s="247" customFormat="1" x14ac:dyDescent="0.25">
      <c r="B12" s="66" t="s">
        <v>1301</v>
      </c>
      <c r="C12" s="66"/>
      <c r="D12" s="67" t="s">
        <v>273</v>
      </c>
      <c r="E12" s="67"/>
      <c r="F12" s="67"/>
    </row>
    <row r="13" spans="1:6" s="247" customFormat="1" x14ac:dyDescent="0.25">
      <c r="B13" s="69" t="s">
        <v>1362</v>
      </c>
      <c r="C13" s="69" t="s">
        <v>1385</v>
      </c>
      <c r="D13" s="238" t="s">
        <v>1449</v>
      </c>
      <c r="E13" s="69" t="s">
        <v>248</v>
      </c>
      <c r="F13" s="69">
        <v>1</v>
      </c>
    </row>
    <row r="14" spans="1:6" s="247" customFormat="1" x14ac:dyDescent="0.25">
      <c r="B14" s="66" t="s">
        <v>1302</v>
      </c>
      <c r="C14" s="66"/>
      <c r="D14" s="239" t="s">
        <v>278</v>
      </c>
      <c r="E14" s="67"/>
      <c r="F14" s="67"/>
    </row>
    <row r="15" spans="1:6" s="247" customFormat="1" x14ac:dyDescent="0.25">
      <c r="B15" s="69" t="s">
        <v>1303</v>
      </c>
      <c r="C15" s="69" t="s">
        <v>1425</v>
      </c>
      <c r="D15" s="70" t="s">
        <v>1988</v>
      </c>
      <c r="E15" s="69" t="s">
        <v>248</v>
      </c>
      <c r="F15" s="69">
        <v>1</v>
      </c>
    </row>
    <row r="16" spans="1:6" s="247" customFormat="1" x14ac:dyDescent="0.25">
      <c r="B16" s="69" t="s">
        <v>1304</v>
      </c>
      <c r="C16" s="69" t="s">
        <v>1387</v>
      </c>
      <c r="D16" s="70" t="s">
        <v>1989</v>
      </c>
      <c r="E16" s="69" t="s">
        <v>248</v>
      </c>
      <c r="F16" s="69">
        <v>1</v>
      </c>
    </row>
    <row r="17" spans="2:6" s="247" customFormat="1" x14ac:dyDescent="0.25">
      <c r="B17" s="66" t="s">
        <v>1305</v>
      </c>
      <c r="C17" s="66"/>
      <c r="D17" s="67" t="s">
        <v>136</v>
      </c>
      <c r="E17" s="67"/>
      <c r="F17" s="67"/>
    </row>
    <row r="18" spans="2:6" s="247" customFormat="1" x14ac:dyDescent="0.25">
      <c r="B18" s="69" t="s">
        <v>1363</v>
      </c>
      <c r="C18" s="69" t="s">
        <v>1432</v>
      </c>
      <c r="D18" s="70" t="s">
        <v>280</v>
      </c>
      <c r="E18" s="69" t="s">
        <v>248</v>
      </c>
      <c r="F18" s="69">
        <v>1</v>
      </c>
    </row>
    <row r="19" spans="2:6" s="247" customFormat="1" x14ac:dyDescent="0.25">
      <c r="B19" s="69" t="s">
        <v>1364</v>
      </c>
      <c r="C19" s="69" t="s">
        <v>1433</v>
      </c>
      <c r="D19" s="70" t="s">
        <v>282</v>
      </c>
      <c r="E19" s="69" t="s">
        <v>248</v>
      </c>
      <c r="F19" s="69">
        <v>1</v>
      </c>
    </row>
    <row r="20" spans="2:6" s="247" customFormat="1" x14ac:dyDescent="0.25">
      <c r="B20" s="248" t="s">
        <v>1306</v>
      </c>
      <c r="C20" s="66"/>
      <c r="D20" s="67" t="s">
        <v>168</v>
      </c>
      <c r="E20" s="67"/>
      <c r="F20" s="67"/>
    </row>
    <row r="21" spans="2:6" s="247" customFormat="1" x14ac:dyDescent="0.25">
      <c r="B21" s="249" t="s">
        <v>1365</v>
      </c>
      <c r="C21" s="69" t="s">
        <v>1426</v>
      </c>
      <c r="D21" s="238" t="s">
        <v>2022</v>
      </c>
      <c r="E21" s="69" t="s">
        <v>248</v>
      </c>
      <c r="F21" s="69">
        <v>1</v>
      </c>
    </row>
    <row r="22" spans="2:6" s="247" customFormat="1" x14ac:dyDescent="0.25">
      <c r="B22" s="249" t="s">
        <v>1947</v>
      </c>
      <c r="C22" s="69" t="s">
        <v>1427</v>
      </c>
      <c r="D22" s="238" t="s">
        <v>2023</v>
      </c>
      <c r="E22" s="69" t="s">
        <v>248</v>
      </c>
      <c r="F22" s="69">
        <v>1</v>
      </c>
    </row>
    <row r="23" spans="2:6" s="247" customFormat="1" x14ac:dyDescent="0.25">
      <c r="B23" s="249" t="s">
        <v>1992</v>
      </c>
      <c r="C23" s="69" t="s">
        <v>1428</v>
      </c>
      <c r="D23" s="238" t="s">
        <v>2024</v>
      </c>
      <c r="E23" s="69" t="s">
        <v>248</v>
      </c>
      <c r="F23" s="69">
        <v>1</v>
      </c>
    </row>
    <row r="24" spans="2:6" s="247" customFormat="1" x14ac:dyDescent="0.25">
      <c r="B24" s="248" t="s">
        <v>1307</v>
      </c>
      <c r="C24" s="66"/>
      <c r="D24" s="67" t="s">
        <v>290</v>
      </c>
      <c r="E24" s="67"/>
      <c r="F24" s="67"/>
    </row>
    <row r="25" spans="2:6" s="247" customFormat="1" x14ac:dyDescent="0.25">
      <c r="B25" s="249" t="s">
        <v>1308</v>
      </c>
      <c r="C25" s="69" t="s">
        <v>1429</v>
      </c>
      <c r="D25" s="238" t="s">
        <v>2025</v>
      </c>
      <c r="E25" s="69" t="s">
        <v>248</v>
      </c>
      <c r="F25" s="69">
        <v>1</v>
      </c>
    </row>
    <row r="26" spans="2:6" s="247" customFormat="1" x14ac:dyDescent="0.25">
      <c r="B26" s="249" t="s">
        <v>1309</v>
      </c>
      <c r="C26" s="69" t="s">
        <v>1430</v>
      </c>
      <c r="D26" s="238" t="s">
        <v>1329</v>
      </c>
      <c r="E26" s="69" t="s">
        <v>248</v>
      </c>
      <c r="F26" s="69">
        <v>1</v>
      </c>
    </row>
    <row r="27" spans="2:6" s="247" customFormat="1" x14ac:dyDescent="0.25">
      <c r="B27" s="248" t="s">
        <v>1310</v>
      </c>
      <c r="C27" s="66"/>
      <c r="D27" s="250" t="s">
        <v>293</v>
      </c>
      <c r="E27" s="67"/>
      <c r="F27" s="67"/>
    </row>
    <row r="28" spans="2:6" s="247" customFormat="1" x14ac:dyDescent="0.25">
      <c r="B28" s="249" t="s">
        <v>1311</v>
      </c>
      <c r="C28" s="69" t="s">
        <v>1435</v>
      </c>
      <c r="D28" s="238" t="s">
        <v>1332</v>
      </c>
      <c r="E28" s="69" t="s">
        <v>248</v>
      </c>
      <c r="F28" s="69">
        <v>1</v>
      </c>
    </row>
    <row r="29" spans="2:6" s="247" customFormat="1" x14ac:dyDescent="0.25">
      <c r="B29" s="248" t="s">
        <v>1312</v>
      </c>
      <c r="C29" s="66"/>
      <c r="D29" s="67" t="s">
        <v>214</v>
      </c>
      <c r="E29" s="67"/>
      <c r="F29" s="67"/>
    </row>
    <row r="30" spans="2:6" s="247" customFormat="1" x14ac:dyDescent="0.25">
      <c r="B30" s="249" t="s">
        <v>1313</v>
      </c>
      <c r="C30" s="69" t="s">
        <v>1436</v>
      </c>
      <c r="D30" s="238" t="s">
        <v>1893</v>
      </c>
      <c r="E30" s="69" t="s">
        <v>248</v>
      </c>
      <c r="F30" s="69">
        <v>1</v>
      </c>
    </row>
    <row r="31" spans="2:6" s="247" customFormat="1" x14ac:dyDescent="0.25">
      <c r="B31" s="249" t="s">
        <v>1314</v>
      </c>
      <c r="C31" s="69" t="s">
        <v>1439</v>
      </c>
      <c r="D31" s="238" t="s">
        <v>2026</v>
      </c>
      <c r="E31" s="69" t="s">
        <v>248</v>
      </c>
      <c r="F31" s="69">
        <v>1</v>
      </c>
    </row>
    <row r="32" spans="2:6" s="247" customFormat="1" x14ac:dyDescent="0.25">
      <c r="B32" s="248" t="s">
        <v>1315</v>
      </c>
      <c r="C32" s="66"/>
      <c r="D32" s="67" t="s">
        <v>2120</v>
      </c>
      <c r="E32" s="67"/>
      <c r="F32" s="67"/>
    </row>
    <row r="33" spans="2:6" s="247" customFormat="1" x14ac:dyDescent="0.25">
      <c r="B33" s="249" t="s">
        <v>1316</v>
      </c>
      <c r="C33" s="69" t="s">
        <v>1378</v>
      </c>
      <c r="D33" s="238" t="s">
        <v>1336</v>
      </c>
      <c r="E33" s="69" t="s">
        <v>248</v>
      </c>
      <c r="F33" s="69">
        <v>1</v>
      </c>
    </row>
    <row r="34" spans="2:6" s="247" customFormat="1" x14ac:dyDescent="0.25">
      <c r="B34" s="248" t="s">
        <v>1948</v>
      </c>
      <c r="C34" s="66"/>
      <c r="D34" s="67" t="s">
        <v>301</v>
      </c>
      <c r="E34" s="67"/>
      <c r="F34" s="67"/>
    </row>
    <row r="35" spans="2:6" s="247" customFormat="1" x14ac:dyDescent="0.25">
      <c r="B35" s="249" t="s">
        <v>1949</v>
      </c>
      <c r="C35" s="69" t="s">
        <v>303</v>
      </c>
      <c r="D35" s="238" t="s">
        <v>1453</v>
      </c>
      <c r="E35" s="249" t="s">
        <v>305</v>
      </c>
      <c r="F35" s="69">
        <v>31</v>
      </c>
    </row>
    <row r="36" spans="2:6" s="247" customFormat="1" x14ac:dyDescent="0.25">
      <c r="B36" s="249" t="s">
        <v>1950</v>
      </c>
      <c r="C36" s="69" t="s">
        <v>303</v>
      </c>
      <c r="D36" s="238" t="s">
        <v>1801</v>
      </c>
      <c r="E36" s="249" t="s">
        <v>305</v>
      </c>
      <c r="F36" s="69">
        <v>31</v>
      </c>
    </row>
    <row r="37" spans="2:6" s="247" customFormat="1" x14ac:dyDescent="0.25">
      <c r="B37" s="249" t="s">
        <v>1993</v>
      </c>
      <c r="C37" s="69" t="s">
        <v>303</v>
      </c>
      <c r="D37" s="238" t="s">
        <v>309</v>
      </c>
      <c r="E37" s="265" t="s">
        <v>305</v>
      </c>
      <c r="F37" s="69">
        <v>31</v>
      </c>
    </row>
    <row r="38" spans="2:6" s="247" customFormat="1" x14ac:dyDescent="0.25">
      <c r="B38" s="249" t="s">
        <v>1994</v>
      </c>
      <c r="C38" s="69" t="s">
        <v>303</v>
      </c>
      <c r="D38" s="238" t="s">
        <v>2027</v>
      </c>
      <c r="E38" s="265" t="s">
        <v>305</v>
      </c>
      <c r="F38" s="69">
        <v>31</v>
      </c>
    </row>
    <row r="39" spans="2:6" s="247" customFormat="1" x14ac:dyDescent="0.25">
      <c r="B39" s="249" t="s">
        <v>1995</v>
      </c>
      <c r="C39" s="69" t="s">
        <v>303</v>
      </c>
      <c r="D39" s="238" t="s">
        <v>1459</v>
      </c>
      <c r="E39" s="265" t="s">
        <v>305</v>
      </c>
      <c r="F39" s="69">
        <v>31</v>
      </c>
    </row>
    <row r="40" spans="2:6" s="247" customFormat="1" x14ac:dyDescent="0.25">
      <c r="B40" s="248" t="s">
        <v>1996</v>
      </c>
      <c r="C40" s="66"/>
      <c r="D40" s="67" t="s">
        <v>315</v>
      </c>
      <c r="E40" s="67"/>
      <c r="F40" s="67"/>
    </row>
    <row r="41" spans="2:6" s="247" customFormat="1" x14ac:dyDescent="0.25">
      <c r="B41" s="249" t="s">
        <v>1997</v>
      </c>
      <c r="C41" s="69" t="s">
        <v>303</v>
      </c>
      <c r="D41" s="238" t="s">
        <v>1324</v>
      </c>
      <c r="E41" s="69" t="s">
        <v>305</v>
      </c>
      <c r="F41" s="69">
        <v>31</v>
      </c>
    </row>
    <row r="42" spans="2:6" s="247" customFormat="1" x14ac:dyDescent="0.25">
      <c r="B42" s="249" t="s">
        <v>1998</v>
      </c>
      <c r="C42" s="69" t="s">
        <v>303</v>
      </c>
      <c r="D42" s="238" t="s">
        <v>1325</v>
      </c>
      <c r="E42" s="69" t="s">
        <v>305</v>
      </c>
      <c r="F42" s="69">
        <v>31</v>
      </c>
    </row>
    <row r="43" spans="2:6" s="247" customFormat="1" x14ac:dyDescent="0.25">
      <c r="B43" s="66" t="s">
        <v>1999</v>
      </c>
      <c r="C43" s="66"/>
      <c r="D43" s="67" t="s">
        <v>321</v>
      </c>
      <c r="E43" s="67"/>
      <c r="F43" s="67"/>
    </row>
    <row r="44" spans="2:6" s="247" customFormat="1" x14ac:dyDescent="0.25">
      <c r="B44" s="69" t="s">
        <v>2000</v>
      </c>
      <c r="C44" s="69" t="s">
        <v>303</v>
      </c>
      <c r="D44" s="70" t="s">
        <v>2071</v>
      </c>
      <c r="E44" s="69" t="s">
        <v>305</v>
      </c>
      <c r="F44" s="69">
        <v>31</v>
      </c>
    </row>
    <row r="45" spans="2:6" s="247" customFormat="1" x14ac:dyDescent="0.25">
      <c r="B45" s="69" t="s">
        <v>2001</v>
      </c>
      <c r="C45" s="69" t="s">
        <v>303</v>
      </c>
      <c r="D45" s="70" t="s">
        <v>2072</v>
      </c>
      <c r="E45" s="69" t="s">
        <v>305</v>
      </c>
      <c r="F45" s="69">
        <v>31</v>
      </c>
    </row>
    <row r="46" spans="2:6" s="247" customFormat="1" x14ac:dyDescent="0.25">
      <c r="B46" s="69" t="s">
        <v>2002</v>
      </c>
      <c r="C46" s="69" t="s">
        <v>303</v>
      </c>
      <c r="D46" s="238" t="s">
        <v>1942</v>
      </c>
      <c r="E46" s="69" t="s">
        <v>305</v>
      </c>
      <c r="F46" s="69">
        <v>31</v>
      </c>
    </row>
    <row r="47" spans="2:6" s="247" customFormat="1" x14ac:dyDescent="0.25">
      <c r="B47" s="63" t="s">
        <v>249</v>
      </c>
      <c r="C47" s="63"/>
      <c r="D47" s="64" t="s">
        <v>333</v>
      </c>
      <c r="E47" s="64"/>
      <c r="F47" s="64"/>
    </row>
    <row r="48" spans="2:6" s="247" customFormat="1" x14ac:dyDescent="0.25">
      <c r="B48" s="66" t="s">
        <v>1317</v>
      </c>
      <c r="C48" s="66"/>
      <c r="D48" s="250" t="s">
        <v>335</v>
      </c>
      <c r="E48" s="67"/>
      <c r="F48" s="67"/>
    </row>
    <row r="49" spans="2:7" s="247" customFormat="1" x14ac:dyDescent="0.25">
      <c r="B49" s="69" t="s">
        <v>1366</v>
      </c>
      <c r="C49" s="69" t="s">
        <v>303</v>
      </c>
      <c r="D49" s="238" t="s">
        <v>337</v>
      </c>
      <c r="E49" s="82" t="s">
        <v>305</v>
      </c>
      <c r="F49" s="249">
        <v>21</v>
      </c>
      <c r="G49" s="380"/>
    </row>
    <row r="50" spans="2:7" s="247" customFormat="1" x14ac:dyDescent="0.25">
      <c r="B50" s="69" t="s">
        <v>1367</v>
      </c>
      <c r="C50" s="69" t="s">
        <v>303</v>
      </c>
      <c r="D50" s="238" t="s">
        <v>339</v>
      </c>
      <c r="E50" s="82" t="s">
        <v>305</v>
      </c>
      <c r="F50" s="249">
        <v>21</v>
      </c>
    </row>
    <row r="51" spans="2:7" s="247" customFormat="1" x14ac:dyDescent="0.25">
      <c r="B51" s="69" t="s">
        <v>1478</v>
      </c>
      <c r="C51" s="69" t="s">
        <v>303</v>
      </c>
      <c r="D51" s="238" t="s">
        <v>341</v>
      </c>
      <c r="E51" s="82" t="s">
        <v>305</v>
      </c>
      <c r="F51" s="249">
        <v>21</v>
      </c>
    </row>
    <row r="52" spans="2:7" s="247" customFormat="1" x14ac:dyDescent="0.25">
      <c r="B52" s="69" t="s">
        <v>1479</v>
      </c>
      <c r="C52" s="69" t="s">
        <v>303</v>
      </c>
      <c r="D52" s="238" t="s">
        <v>343</v>
      </c>
      <c r="E52" s="82" t="s">
        <v>305</v>
      </c>
      <c r="F52" s="249">
        <v>21</v>
      </c>
    </row>
    <row r="53" spans="2:7" s="247" customFormat="1" x14ac:dyDescent="0.25">
      <c r="B53" s="69" t="s">
        <v>1480</v>
      </c>
      <c r="C53" s="69" t="s">
        <v>303</v>
      </c>
      <c r="D53" s="238" t="s">
        <v>345</v>
      </c>
      <c r="E53" s="82" t="s">
        <v>305</v>
      </c>
      <c r="F53" s="249">
        <v>21</v>
      </c>
    </row>
    <row r="54" spans="2:7" s="247" customFormat="1" x14ac:dyDescent="0.25">
      <c r="B54" s="69" t="s">
        <v>1481</v>
      </c>
      <c r="C54" s="69" t="s">
        <v>303</v>
      </c>
      <c r="D54" s="238" t="s">
        <v>347</v>
      </c>
      <c r="E54" s="82" t="s">
        <v>305</v>
      </c>
      <c r="F54" s="249">
        <v>21</v>
      </c>
    </row>
    <row r="55" spans="2:7" s="247" customFormat="1" x14ac:dyDescent="0.25">
      <c r="B55" s="69" t="s">
        <v>1482</v>
      </c>
      <c r="C55" s="69" t="s">
        <v>303</v>
      </c>
      <c r="D55" s="238" t="s">
        <v>349</v>
      </c>
      <c r="E55" s="82" t="s">
        <v>305</v>
      </c>
      <c r="F55" s="249">
        <v>21</v>
      </c>
    </row>
    <row r="56" spans="2:7" s="247" customFormat="1" x14ac:dyDescent="0.25">
      <c r="B56" s="69" t="s">
        <v>1483</v>
      </c>
      <c r="C56" s="69" t="s">
        <v>303</v>
      </c>
      <c r="D56" s="238" t="s">
        <v>351</v>
      </c>
      <c r="E56" s="82" t="s">
        <v>305</v>
      </c>
      <c r="F56" s="249">
        <v>21</v>
      </c>
    </row>
    <row r="57" spans="2:7" s="247" customFormat="1" x14ac:dyDescent="0.25">
      <c r="B57" s="69" t="s">
        <v>1484</v>
      </c>
      <c r="C57" s="69" t="s">
        <v>303</v>
      </c>
      <c r="D57" s="238" t="s">
        <v>351</v>
      </c>
      <c r="E57" s="82" t="s">
        <v>305</v>
      </c>
      <c r="F57" s="249">
        <v>21</v>
      </c>
    </row>
    <row r="58" spans="2:7" s="247" customFormat="1" x14ac:dyDescent="0.25">
      <c r="B58" s="69" t="s">
        <v>1485</v>
      </c>
      <c r="C58" s="69" t="s">
        <v>303</v>
      </c>
      <c r="D58" s="238" t="s">
        <v>354</v>
      </c>
      <c r="E58" s="82" t="s">
        <v>305</v>
      </c>
      <c r="F58" s="249">
        <v>21</v>
      </c>
    </row>
    <row r="59" spans="2:7" s="247" customFormat="1" x14ac:dyDescent="0.25">
      <c r="B59" s="69" t="s">
        <v>1486</v>
      </c>
      <c r="C59" s="69" t="s">
        <v>303</v>
      </c>
      <c r="D59" s="238" t="s">
        <v>356</v>
      </c>
      <c r="E59" s="82" t="s">
        <v>305</v>
      </c>
      <c r="F59" s="249">
        <v>21</v>
      </c>
    </row>
    <row r="60" spans="2:7" s="247" customFormat="1" x14ac:dyDescent="0.25">
      <c r="B60" s="69" t="s">
        <v>1487</v>
      </c>
      <c r="C60" s="69" t="s">
        <v>303</v>
      </c>
      <c r="D60" s="238" t="s">
        <v>358</v>
      </c>
      <c r="E60" s="82" t="s">
        <v>305</v>
      </c>
      <c r="F60" s="249">
        <v>21</v>
      </c>
    </row>
    <row r="61" spans="2:7" s="247" customFormat="1" x14ac:dyDescent="0.25">
      <c r="B61" s="69" t="s">
        <v>1488</v>
      </c>
      <c r="C61" s="69" t="s">
        <v>303</v>
      </c>
      <c r="D61" s="238" t="s">
        <v>360</v>
      </c>
      <c r="E61" s="82" t="s">
        <v>305</v>
      </c>
      <c r="F61" s="249">
        <v>21</v>
      </c>
    </row>
    <row r="62" spans="2:7" s="247" customFormat="1" x14ac:dyDescent="0.25">
      <c r="B62" s="69" t="s">
        <v>1489</v>
      </c>
      <c r="C62" s="69" t="s">
        <v>303</v>
      </c>
      <c r="D62" s="238" t="s">
        <v>362</v>
      </c>
      <c r="E62" s="82" t="s">
        <v>305</v>
      </c>
      <c r="F62" s="249">
        <v>21</v>
      </c>
    </row>
    <row r="63" spans="2:7" s="247" customFormat="1" x14ac:dyDescent="0.25">
      <c r="B63" s="69" t="s">
        <v>1490</v>
      </c>
      <c r="C63" s="69" t="s">
        <v>303</v>
      </c>
      <c r="D63" s="238" t="s">
        <v>364</v>
      </c>
      <c r="E63" s="82" t="s">
        <v>305</v>
      </c>
      <c r="F63" s="249">
        <v>21</v>
      </c>
    </row>
    <row r="64" spans="2:7" s="247" customFormat="1" x14ac:dyDescent="0.25">
      <c r="B64" s="69" t="s">
        <v>1491</v>
      </c>
      <c r="C64" s="69" t="s">
        <v>303</v>
      </c>
      <c r="D64" s="238" t="s">
        <v>366</v>
      </c>
      <c r="E64" s="82" t="s">
        <v>305</v>
      </c>
      <c r="F64" s="249">
        <v>21</v>
      </c>
    </row>
    <row r="65" spans="2:6" s="247" customFormat="1" x14ac:dyDescent="0.25">
      <c r="B65" s="69" t="s">
        <v>1492</v>
      </c>
      <c r="C65" s="69" t="s">
        <v>303</v>
      </c>
      <c r="D65" s="238" t="s">
        <v>368</v>
      </c>
      <c r="E65" s="82" t="s">
        <v>305</v>
      </c>
      <c r="F65" s="249">
        <v>21</v>
      </c>
    </row>
    <row r="66" spans="2:6" s="247" customFormat="1" x14ac:dyDescent="0.25">
      <c r="B66" s="69" t="s">
        <v>1493</v>
      </c>
      <c r="C66" s="69" t="s">
        <v>303</v>
      </c>
      <c r="D66" s="238" t="s">
        <v>370</v>
      </c>
      <c r="E66" s="82" t="s">
        <v>305</v>
      </c>
      <c r="F66" s="249">
        <v>21</v>
      </c>
    </row>
    <row r="67" spans="2:6" s="247" customFormat="1" x14ac:dyDescent="0.25">
      <c r="B67" s="69" t="s">
        <v>1494</v>
      </c>
      <c r="C67" s="69" t="s">
        <v>303</v>
      </c>
      <c r="D67" s="238" t="s">
        <v>372</v>
      </c>
      <c r="E67" s="82" t="s">
        <v>305</v>
      </c>
      <c r="F67" s="249">
        <v>21</v>
      </c>
    </row>
    <row r="68" spans="2:6" s="247" customFormat="1" x14ac:dyDescent="0.25">
      <c r="B68" s="69" t="s">
        <v>1495</v>
      </c>
      <c r="C68" s="69" t="s">
        <v>303</v>
      </c>
      <c r="D68" s="238" t="s">
        <v>374</v>
      </c>
      <c r="E68" s="82" t="s">
        <v>305</v>
      </c>
      <c r="F68" s="249">
        <v>21</v>
      </c>
    </row>
    <row r="69" spans="2:6" s="247" customFormat="1" x14ac:dyDescent="0.25">
      <c r="B69" s="69" t="s">
        <v>1496</v>
      </c>
      <c r="C69" s="69" t="s">
        <v>303</v>
      </c>
      <c r="D69" s="238" t="s">
        <v>376</v>
      </c>
      <c r="E69" s="82" t="s">
        <v>305</v>
      </c>
      <c r="F69" s="249">
        <v>21</v>
      </c>
    </row>
    <row r="70" spans="2:6" s="247" customFormat="1" x14ac:dyDescent="0.25">
      <c r="B70" s="69" t="s">
        <v>1497</v>
      </c>
      <c r="C70" s="69" t="s">
        <v>303</v>
      </c>
      <c r="D70" s="238" t="s">
        <v>339</v>
      </c>
      <c r="E70" s="82" t="s">
        <v>305</v>
      </c>
      <c r="F70" s="249">
        <v>21</v>
      </c>
    </row>
    <row r="71" spans="2:6" s="247" customFormat="1" x14ac:dyDescent="0.25">
      <c r="B71" s="69" t="s">
        <v>1498</v>
      </c>
      <c r="C71" s="69" t="s">
        <v>303</v>
      </c>
      <c r="D71" s="238" t="s">
        <v>379</v>
      </c>
      <c r="E71" s="82" t="s">
        <v>305</v>
      </c>
      <c r="F71" s="249">
        <v>21</v>
      </c>
    </row>
    <row r="72" spans="2:6" s="247" customFormat="1" x14ac:dyDescent="0.25">
      <c r="B72" s="69" t="s">
        <v>1499</v>
      </c>
      <c r="C72" s="69" t="s">
        <v>303</v>
      </c>
      <c r="D72" s="238" t="s">
        <v>381</v>
      </c>
      <c r="E72" s="82" t="s">
        <v>305</v>
      </c>
      <c r="F72" s="249">
        <v>21</v>
      </c>
    </row>
    <row r="73" spans="2:6" s="247" customFormat="1" x14ac:dyDescent="0.25">
      <c r="B73" s="69" t="s">
        <v>1500</v>
      </c>
      <c r="C73" s="69" t="s">
        <v>303</v>
      </c>
      <c r="D73" s="238" t="s">
        <v>383</v>
      </c>
      <c r="E73" s="82" t="s">
        <v>305</v>
      </c>
      <c r="F73" s="249">
        <v>21</v>
      </c>
    </row>
    <row r="74" spans="2:6" s="247" customFormat="1" x14ac:dyDescent="0.25">
      <c r="B74" s="69" t="s">
        <v>1501</v>
      </c>
      <c r="C74" s="69" t="s">
        <v>303</v>
      </c>
      <c r="D74" s="238" t="s">
        <v>385</v>
      </c>
      <c r="E74" s="82" t="s">
        <v>305</v>
      </c>
      <c r="F74" s="249">
        <v>21</v>
      </c>
    </row>
    <row r="75" spans="2:6" s="247" customFormat="1" x14ac:dyDescent="0.25">
      <c r="B75" s="69" t="s">
        <v>1502</v>
      </c>
      <c r="C75" s="69" t="s">
        <v>303</v>
      </c>
      <c r="D75" s="238" t="s">
        <v>387</v>
      </c>
      <c r="E75" s="82" t="s">
        <v>305</v>
      </c>
      <c r="F75" s="249">
        <v>21</v>
      </c>
    </row>
    <row r="76" spans="2:6" s="247" customFormat="1" x14ac:dyDescent="0.25">
      <c r="B76" s="69" t="s">
        <v>1503</v>
      </c>
      <c r="C76" s="69" t="s">
        <v>303</v>
      </c>
      <c r="D76" s="238" t="s">
        <v>389</v>
      </c>
      <c r="E76" s="82" t="s">
        <v>305</v>
      </c>
      <c r="F76" s="249">
        <v>21</v>
      </c>
    </row>
    <row r="77" spans="2:6" s="247" customFormat="1" x14ac:dyDescent="0.25">
      <c r="B77" s="69" t="s">
        <v>1504</v>
      </c>
      <c r="C77" s="69" t="s">
        <v>303</v>
      </c>
      <c r="D77" s="238" t="s">
        <v>391</v>
      </c>
      <c r="E77" s="82" t="s">
        <v>305</v>
      </c>
      <c r="F77" s="249">
        <v>21</v>
      </c>
    </row>
    <row r="78" spans="2:6" s="247" customFormat="1" x14ac:dyDescent="0.25">
      <c r="B78" s="69" t="s">
        <v>1505</v>
      </c>
      <c r="C78" s="69" t="s">
        <v>303</v>
      </c>
      <c r="D78" s="238" t="s">
        <v>393</v>
      </c>
      <c r="E78" s="82" t="s">
        <v>305</v>
      </c>
      <c r="F78" s="249">
        <v>21</v>
      </c>
    </row>
    <row r="79" spans="2:6" s="247" customFormat="1" x14ac:dyDescent="0.25">
      <c r="B79" s="69" t="s">
        <v>1506</v>
      </c>
      <c r="C79" s="69" t="s">
        <v>303</v>
      </c>
      <c r="D79" s="238" t="s">
        <v>395</v>
      </c>
      <c r="E79" s="82" t="s">
        <v>305</v>
      </c>
      <c r="F79" s="249">
        <v>21</v>
      </c>
    </row>
    <row r="80" spans="2:6" s="247" customFormat="1" x14ac:dyDescent="0.25">
      <c r="B80" s="69" t="s">
        <v>1507</v>
      </c>
      <c r="C80" s="69" t="s">
        <v>303</v>
      </c>
      <c r="D80" s="238" t="s">
        <v>397</v>
      </c>
      <c r="E80" s="82" t="s">
        <v>305</v>
      </c>
      <c r="F80" s="249">
        <v>21</v>
      </c>
    </row>
    <row r="81" spans="2:6" s="247" customFormat="1" x14ac:dyDescent="0.25">
      <c r="B81" s="69" t="s">
        <v>1508</v>
      </c>
      <c r="C81" s="69" t="s">
        <v>303</v>
      </c>
      <c r="D81" s="238" t="s">
        <v>399</v>
      </c>
      <c r="E81" s="82" t="s">
        <v>305</v>
      </c>
      <c r="F81" s="249">
        <v>21</v>
      </c>
    </row>
    <row r="82" spans="2:6" s="247" customFormat="1" x14ac:dyDescent="0.25">
      <c r="B82" s="69" t="s">
        <v>1509</v>
      </c>
      <c r="C82" s="69" t="s">
        <v>303</v>
      </c>
      <c r="D82" s="238" t="s">
        <v>401</v>
      </c>
      <c r="E82" s="82" t="s">
        <v>305</v>
      </c>
      <c r="F82" s="249">
        <v>21</v>
      </c>
    </row>
    <row r="83" spans="2:6" s="247" customFormat="1" x14ac:dyDescent="0.25">
      <c r="B83" s="69" t="s">
        <v>1510</v>
      </c>
      <c r="C83" s="69" t="s">
        <v>303</v>
      </c>
      <c r="D83" s="238" t="s">
        <v>403</v>
      </c>
      <c r="E83" s="82" t="s">
        <v>305</v>
      </c>
      <c r="F83" s="249">
        <v>21</v>
      </c>
    </row>
    <row r="84" spans="2:6" s="247" customFormat="1" x14ac:dyDescent="0.25">
      <c r="B84" s="69" t="s">
        <v>1511</v>
      </c>
      <c r="C84" s="69" t="s">
        <v>303</v>
      </c>
      <c r="D84" s="238" t="s">
        <v>405</v>
      </c>
      <c r="E84" s="82" t="s">
        <v>305</v>
      </c>
      <c r="F84" s="249">
        <v>21</v>
      </c>
    </row>
    <row r="85" spans="2:6" s="247" customFormat="1" x14ac:dyDescent="0.25">
      <c r="B85" s="69" t="s">
        <v>1512</v>
      </c>
      <c r="C85" s="69" t="s">
        <v>303</v>
      </c>
      <c r="D85" s="238" t="s">
        <v>407</v>
      </c>
      <c r="E85" s="82" t="s">
        <v>305</v>
      </c>
      <c r="F85" s="249">
        <v>21</v>
      </c>
    </row>
    <row r="86" spans="2:6" s="247" customFormat="1" x14ac:dyDescent="0.25">
      <c r="B86" s="69" t="s">
        <v>1513</v>
      </c>
      <c r="C86" s="69" t="s">
        <v>303</v>
      </c>
      <c r="D86" s="238" t="s">
        <v>409</v>
      </c>
      <c r="E86" s="82" t="s">
        <v>305</v>
      </c>
      <c r="F86" s="249">
        <v>21</v>
      </c>
    </row>
    <row r="87" spans="2:6" s="247" customFormat="1" x14ac:dyDescent="0.25">
      <c r="B87" s="69" t="s">
        <v>1514</v>
      </c>
      <c r="C87" s="69" t="s">
        <v>303</v>
      </c>
      <c r="D87" s="238" t="s">
        <v>411</v>
      </c>
      <c r="E87" s="82" t="s">
        <v>305</v>
      </c>
      <c r="F87" s="249">
        <v>21</v>
      </c>
    </row>
    <row r="88" spans="2:6" s="247" customFormat="1" x14ac:dyDescent="0.25">
      <c r="B88" s="69" t="s">
        <v>1515</v>
      </c>
      <c r="C88" s="69" t="s">
        <v>303</v>
      </c>
      <c r="D88" s="238" t="s">
        <v>413</v>
      </c>
      <c r="E88" s="82" t="s">
        <v>305</v>
      </c>
      <c r="F88" s="249">
        <v>21</v>
      </c>
    </row>
    <row r="89" spans="2:6" s="247" customFormat="1" x14ac:dyDescent="0.25">
      <c r="B89" s="69" t="s">
        <v>1516</v>
      </c>
      <c r="C89" s="69" t="s">
        <v>303</v>
      </c>
      <c r="D89" s="238" t="s">
        <v>415</v>
      </c>
      <c r="E89" s="82" t="s">
        <v>305</v>
      </c>
      <c r="F89" s="249">
        <v>21</v>
      </c>
    </row>
    <row r="90" spans="2:6" s="247" customFormat="1" x14ac:dyDescent="0.25">
      <c r="B90" s="69" t="s">
        <v>1517</v>
      </c>
      <c r="C90" s="69" t="s">
        <v>303</v>
      </c>
      <c r="D90" s="238" t="s">
        <v>417</v>
      </c>
      <c r="E90" s="82" t="s">
        <v>305</v>
      </c>
      <c r="F90" s="249">
        <v>21</v>
      </c>
    </row>
    <row r="91" spans="2:6" s="247" customFormat="1" x14ac:dyDescent="0.25">
      <c r="B91" s="69" t="s">
        <v>1518</v>
      </c>
      <c r="C91" s="69" t="s">
        <v>303</v>
      </c>
      <c r="D91" s="238" t="s">
        <v>419</v>
      </c>
      <c r="E91" s="82" t="s">
        <v>305</v>
      </c>
      <c r="F91" s="249">
        <v>21</v>
      </c>
    </row>
    <row r="92" spans="2:6" s="247" customFormat="1" x14ac:dyDescent="0.25">
      <c r="B92" s="69" t="s">
        <v>1519</v>
      </c>
      <c r="C92" s="69" t="s">
        <v>303</v>
      </c>
      <c r="D92" s="238" t="s">
        <v>421</v>
      </c>
      <c r="E92" s="82" t="s">
        <v>305</v>
      </c>
      <c r="F92" s="249">
        <v>21</v>
      </c>
    </row>
    <row r="93" spans="2:6" s="247" customFormat="1" x14ac:dyDescent="0.25">
      <c r="B93" s="69" t="s">
        <v>1520</v>
      </c>
      <c r="C93" s="69" t="s">
        <v>303</v>
      </c>
      <c r="D93" s="238" t="s">
        <v>423</v>
      </c>
      <c r="E93" s="82" t="s">
        <v>305</v>
      </c>
      <c r="F93" s="249">
        <v>21</v>
      </c>
    </row>
    <row r="94" spans="2:6" s="247" customFormat="1" x14ac:dyDescent="0.25">
      <c r="B94" s="69" t="s">
        <v>1521</v>
      </c>
      <c r="C94" s="69" t="s">
        <v>303</v>
      </c>
      <c r="D94" s="238" t="s">
        <v>425</v>
      </c>
      <c r="E94" s="82" t="s">
        <v>305</v>
      </c>
      <c r="F94" s="249">
        <v>21</v>
      </c>
    </row>
    <row r="95" spans="2:6" s="247" customFormat="1" x14ac:dyDescent="0.25">
      <c r="B95" s="69" t="s">
        <v>1522</v>
      </c>
      <c r="C95" s="69" t="s">
        <v>303</v>
      </c>
      <c r="D95" s="238" t="s">
        <v>427</v>
      </c>
      <c r="E95" s="82" t="s">
        <v>305</v>
      </c>
      <c r="F95" s="249">
        <v>21</v>
      </c>
    </row>
    <row r="96" spans="2:6" s="247" customFormat="1" x14ac:dyDescent="0.25">
      <c r="B96" s="69" t="s">
        <v>1523</v>
      </c>
      <c r="C96" s="69" t="s">
        <v>303</v>
      </c>
      <c r="D96" s="238" t="s">
        <v>429</v>
      </c>
      <c r="E96" s="82" t="s">
        <v>305</v>
      </c>
      <c r="F96" s="249">
        <v>21</v>
      </c>
    </row>
    <row r="97" spans="2:6" s="247" customFormat="1" x14ac:dyDescent="0.25">
      <c r="B97" s="69" t="s">
        <v>1524</v>
      </c>
      <c r="C97" s="69" t="s">
        <v>303</v>
      </c>
      <c r="D97" s="238" t="s">
        <v>431</v>
      </c>
      <c r="E97" s="82" t="s">
        <v>305</v>
      </c>
      <c r="F97" s="249">
        <v>21</v>
      </c>
    </row>
    <row r="98" spans="2:6" s="247" customFormat="1" x14ac:dyDescent="0.25">
      <c r="B98" s="69" t="s">
        <v>1525</v>
      </c>
      <c r="C98" s="69" t="s">
        <v>303</v>
      </c>
      <c r="D98" s="238" t="s">
        <v>433</v>
      </c>
      <c r="E98" s="82" t="s">
        <v>305</v>
      </c>
      <c r="F98" s="249">
        <v>21</v>
      </c>
    </row>
    <row r="99" spans="2:6" s="247" customFormat="1" x14ac:dyDescent="0.25">
      <c r="B99" s="69" t="s">
        <v>1526</v>
      </c>
      <c r="C99" s="69" t="s">
        <v>303</v>
      </c>
      <c r="D99" s="238" t="s">
        <v>435</v>
      </c>
      <c r="E99" s="270" t="s">
        <v>305</v>
      </c>
      <c r="F99" s="249">
        <v>21</v>
      </c>
    </row>
    <row r="100" spans="2:6" s="247" customFormat="1" x14ac:dyDescent="0.25">
      <c r="B100" s="69" t="s">
        <v>1527</v>
      </c>
      <c r="C100" s="69" t="s">
        <v>303</v>
      </c>
      <c r="D100" s="238" t="s">
        <v>437</v>
      </c>
      <c r="E100" s="270" t="s">
        <v>305</v>
      </c>
      <c r="F100" s="249">
        <v>21</v>
      </c>
    </row>
    <row r="101" spans="2:6" s="247" customFormat="1" x14ac:dyDescent="0.25">
      <c r="B101" s="69" t="s">
        <v>1528</v>
      </c>
      <c r="C101" s="69" t="s">
        <v>303</v>
      </c>
      <c r="D101" s="238" t="s">
        <v>439</v>
      </c>
      <c r="E101" s="270" t="s">
        <v>305</v>
      </c>
      <c r="F101" s="249">
        <v>21</v>
      </c>
    </row>
    <row r="102" spans="2:6" s="247" customFormat="1" x14ac:dyDescent="0.25">
      <c r="B102" s="69" t="s">
        <v>1529</v>
      </c>
      <c r="C102" s="69" t="s">
        <v>303</v>
      </c>
      <c r="D102" s="238" t="s">
        <v>441</v>
      </c>
      <c r="E102" s="270" t="s">
        <v>305</v>
      </c>
      <c r="F102" s="249">
        <v>21</v>
      </c>
    </row>
    <row r="103" spans="2:6" s="247" customFormat="1" x14ac:dyDescent="0.25">
      <c r="B103" s="66" t="s">
        <v>1556</v>
      </c>
      <c r="C103" s="66"/>
      <c r="D103" s="67" t="s">
        <v>443</v>
      </c>
      <c r="E103" s="67"/>
      <c r="F103" s="67"/>
    </row>
    <row r="104" spans="2:6" s="247" customFormat="1" x14ac:dyDescent="0.25">
      <c r="B104" s="69" t="s">
        <v>1530</v>
      </c>
      <c r="C104" s="69" t="s">
        <v>303</v>
      </c>
      <c r="D104" s="238" t="s">
        <v>445</v>
      </c>
      <c r="E104" s="82" t="s">
        <v>305</v>
      </c>
      <c r="F104" s="249">
        <v>21</v>
      </c>
    </row>
    <row r="105" spans="2:6" s="247" customFormat="1" x14ac:dyDescent="0.25">
      <c r="B105" s="69" t="s">
        <v>1531</v>
      </c>
      <c r="C105" s="69" t="s">
        <v>303</v>
      </c>
      <c r="D105" s="238" t="s">
        <v>447</v>
      </c>
      <c r="E105" s="82" t="s">
        <v>305</v>
      </c>
      <c r="F105" s="249">
        <v>21</v>
      </c>
    </row>
    <row r="106" spans="2:6" s="247" customFormat="1" ht="25.5" x14ac:dyDescent="0.25">
      <c r="B106" s="69" t="s">
        <v>1532</v>
      </c>
      <c r="C106" s="69" t="s">
        <v>303</v>
      </c>
      <c r="D106" s="238" t="s">
        <v>449</v>
      </c>
      <c r="E106" s="82" t="s">
        <v>305</v>
      </c>
      <c r="F106" s="249">
        <v>21</v>
      </c>
    </row>
    <row r="107" spans="2:6" s="247" customFormat="1" x14ac:dyDescent="0.25">
      <c r="B107" s="69" t="s">
        <v>1533</v>
      </c>
      <c r="C107" s="69" t="s">
        <v>303</v>
      </c>
      <c r="D107" s="238" t="s">
        <v>451</v>
      </c>
      <c r="E107" s="82" t="s">
        <v>305</v>
      </c>
      <c r="F107" s="249">
        <v>21</v>
      </c>
    </row>
    <row r="108" spans="2:6" s="247" customFormat="1" x14ac:dyDescent="0.25">
      <c r="B108" s="69" t="s">
        <v>1534</v>
      </c>
      <c r="C108" s="69" t="s">
        <v>303</v>
      </c>
      <c r="D108" s="238" t="s">
        <v>453</v>
      </c>
      <c r="E108" s="82" t="s">
        <v>305</v>
      </c>
      <c r="F108" s="249">
        <v>21</v>
      </c>
    </row>
    <row r="109" spans="2:6" s="247" customFormat="1" x14ac:dyDescent="0.25">
      <c r="B109" s="69" t="s">
        <v>1535</v>
      </c>
      <c r="C109" s="69" t="s">
        <v>303</v>
      </c>
      <c r="D109" s="238" t="s">
        <v>455</v>
      </c>
      <c r="E109" s="82" t="s">
        <v>305</v>
      </c>
      <c r="F109" s="249">
        <v>21</v>
      </c>
    </row>
    <row r="110" spans="2:6" s="247" customFormat="1" x14ac:dyDescent="0.25">
      <c r="B110" s="69" t="s">
        <v>1536</v>
      </c>
      <c r="C110" s="69" t="s">
        <v>303</v>
      </c>
      <c r="D110" s="238" t="s">
        <v>457</v>
      </c>
      <c r="E110" s="69" t="s">
        <v>305</v>
      </c>
      <c r="F110" s="249">
        <v>21</v>
      </c>
    </row>
    <row r="111" spans="2:6" s="247" customFormat="1" x14ac:dyDescent="0.25">
      <c r="B111" s="69" t="s">
        <v>1537</v>
      </c>
      <c r="C111" s="69" t="s">
        <v>303</v>
      </c>
      <c r="D111" s="271" t="s">
        <v>459</v>
      </c>
      <c r="E111" s="69" t="s">
        <v>305</v>
      </c>
      <c r="F111" s="249">
        <v>21</v>
      </c>
    </row>
    <row r="112" spans="2:6" s="247" customFormat="1" x14ac:dyDescent="0.25">
      <c r="B112" s="69" t="s">
        <v>1538</v>
      </c>
      <c r="C112" s="69" t="s">
        <v>303</v>
      </c>
      <c r="D112" s="271" t="s">
        <v>461</v>
      </c>
      <c r="E112" s="69" t="s">
        <v>305</v>
      </c>
      <c r="F112" s="249">
        <v>21</v>
      </c>
    </row>
    <row r="113" spans="2:6" s="247" customFormat="1" x14ac:dyDescent="0.25">
      <c r="B113" s="69" t="s">
        <v>1539</v>
      </c>
      <c r="C113" s="69" t="s">
        <v>303</v>
      </c>
      <c r="D113" s="271" t="s">
        <v>463</v>
      </c>
      <c r="E113" s="82" t="s">
        <v>305</v>
      </c>
      <c r="F113" s="249">
        <v>21</v>
      </c>
    </row>
    <row r="114" spans="2:6" s="247" customFormat="1" x14ac:dyDescent="0.25">
      <c r="B114" s="69" t="s">
        <v>1540</v>
      </c>
      <c r="C114" s="69" t="s">
        <v>303</v>
      </c>
      <c r="D114" s="271" t="s">
        <v>465</v>
      </c>
      <c r="E114" s="82" t="s">
        <v>305</v>
      </c>
      <c r="F114" s="249">
        <v>21</v>
      </c>
    </row>
    <row r="115" spans="2:6" s="247" customFormat="1" x14ac:dyDescent="0.25">
      <c r="B115" s="69" t="s">
        <v>1541</v>
      </c>
      <c r="C115" s="69" t="s">
        <v>303</v>
      </c>
      <c r="D115" s="271" t="s">
        <v>467</v>
      </c>
      <c r="E115" s="82" t="s">
        <v>305</v>
      </c>
      <c r="F115" s="249">
        <v>21</v>
      </c>
    </row>
    <row r="116" spans="2:6" s="247" customFormat="1" x14ac:dyDescent="0.25">
      <c r="B116" s="69" t="s">
        <v>1542</v>
      </c>
      <c r="C116" s="69" t="s">
        <v>303</v>
      </c>
      <c r="D116" s="271" t="s">
        <v>469</v>
      </c>
      <c r="E116" s="82" t="s">
        <v>305</v>
      </c>
      <c r="F116" s="249">
        <v>21</v>
      </c>
    </row>
    <row r="117" spans="2:6" s="247" customFormat="1" ht="25.5" x14ac:dyDescent="0.25">
      <c r="B117" s="69" t="s">
        <v>1543</v>
      </c>
      <c r="C117" s="69" t="s">
        <v>303</v>
      </c>
      <c r="D117" s="238" t="s">
        <v>471</v>
      </c>
      <c r="E117" s="82" t="s">
        <v>305</v>
      </c>
      <c r="F117" s="249">
        <v>21</v>
      </c>
    </row>
    <row r="118" spans="2:6" s="247" customFormat="1" ht="25.5" x14ac:dyDescent="0.25">
      <c r="B118" s="69" t="s">
        <v>1544</v>
      </c>
      <c r="C118" s="69" t="s">
        <v>303</v>
      </c>
      <c r="D118" s="238" t="s">
        <v>473</v>
      </c>
      <c r="E118" s="82" t="s">
        <v>305</v>
      </c>
      <c r="F118" s="249">
        <v>21</v>
      </c>
    </row>
    <row r="119" spans="2:6" s="247" customFormat="1" x14ac:dyDescent="0.25">
      <c r="B119" s="69" t="s">
        <v>1545</v>
      </c>
      <c r="C119" s="69" t="s">
        <v>303</v>
      </c>
      <c r="D119" s="238" t="s">
        <v>475</v>
      </c>
      <c r="E119" s="82" t="s">
        <v>305</v>
      </c>
      <c r="F119" s="249">
        <v>21</v>
      </c>
    </row>
    <row r="120" spans="2:6" s="247" customFormat="1" x14ac:dyDescent="0.25">
      <c r="B120" s="69" t="s">
        <v>1546</v>
      </c>
      <c r="C120" s="69" t="s">
        <v>303</v>
      </c>
      <c r="D120" s="238" t="s">
        <v>477</v>
      </c>
      <c r="E120" s="82" t="s">
        <v>305</v>
      </c>
      <c r="F120" s="249">
        <v>21</v>
      </c>
    </row>
    <row r="121" spans="2:6" s="247" customFormat="1" x14ac:dyDescent="0.25">
      <c r="B121" s="69" t="s">
        <v>1547</v>
      </c>
      <c r="C121" s="69" t="s">
        <v>303</v>
      </c>
      <c r="D121" s="238" t="s">
        <v>479</v>
      </c>
      <c r="E121" s="82" t="s">
        <v>305</v>
      </c>
      <c r="F121" s="249">
        <v>21</v>
      </c>
    </row>
    <row r="122" spans="2:6" s="247" customFormat="1" x14ac:dyDescent="0.25">
      <c r="B122" s="69" t="s">
        <v>1548</v>
      </c>
      <c r="C122" s="69" t="s">
        <v>303</v>
      </c>
      <c r="D122" s="238" t="s">
        <v>481</v>
      </c>
      <c r="E122" s="82" t="s">
        <v>305</v>
      </c>
      <c r="F122" s="249">
        <v>21</v>
      </c>
    </row>
    <row r="123" spans="2:6" s="247" customFormat="1" x14ac:dyDescent="0.25">
      <c r="B123" s="69" t="s">
        <v>1549</v>
      </c>
      <c r="C123" s="69" t="s">
        <v>303</v>
      </c>
      <c r="D123" s="238" t="s">
        <v>483</v>
      </c>
      <c r="E123" s="82" t="s">
        <v>305</v>
      </c>
      <c r="F123" s="249">
        <v>21</v>
      </c>
    </row>
    <row r="124" spans="2:6" s="247" customFormat="1" x14ac:dyDescent="0.25">
      <c r="B124" s="69" t="s">
        <v>1550</v>
      </c>
      <c r="C124" s="69" t="s">
        <v>303</v>
      </c>
      <c r="D124" s="238" t="s">
        <v>485</v>
      </c>
      <c r="E124" s="82" t="s">
        <v>305</v>
      </c>
      <c r="F124" s="249">
        <v>21</v>
      </c>
    </row>
    <row r="125" spans="2:6" s="247" customFormat="1" x14ac:dyDescent="0.25">
      <c r="B125" s="69" t="s">
        <v>1551</v>
      </c>
      <c r="C125" s="69" t="s">
        <v>303</v>
      </c>
      <c r="D125" s="238" t="s">
        <v>487</v>
      </c>
      <c r="E125" s="82" t="s">
        <v>305</v>
      </c>
      <c r="F125" s="249">
        <v>21</v>
      </c>
    </row>
    <row r="126" spans="2:6" s="247" customFormat="1" x14ac:dyDescent="0.25">
      <c r="B126" s="69" t="s">
        <v>1552</v>
      </c>
      <c r="C126" s="69" t="s">
        <v>303</v>
      </c>
      <c r="D126" s="238" t="s">
        <v>489</v>
      </c>
      <c r="E126" s="82" t="s">
        <v>305</v>
      </c>
      <c r="F126" s="249">
        <v>21</v>
      </c>
    </row>
    <row r="127" spans="2:6" s="247" customFormat="1" x14ac:dyDescent="0.25">
      <c r="B127" s="69" t="s">
        <v>1553</v>
      </c>
      <c r="C127" s="69" t="s">
        <v>303</v>
      </c>
      <c r="D127" s="238" t="s">
        <v>491</v>
      </c>
      <c r="E127" s="82" t="s">
        <v>305</v>
      </c>
      <c r="F127" s="249">
        <v>21</v>
      </c>
    </row>
    <row r="128" spans="2:6" s="247" customFormat="1" x14ac:dyDescent="0.25">
      <c r="B128" s="69" t="s">
        <v>1554</v>
      </c>
      <c r="C128" s="69" t="s">
        <v>303</v>
      </c>
      <c r="D128" s="238" t="s">
        <v>493</v>
      </c>
      <c r="E128" s="82" t="s">
        <v>305</v>
      </c>
      <c r="F128" s="249">
        <v>21</v>
      </c>
    </row>
    <row r="129" spans="2:6" s="247" customFormat="1" x14ac:dyDescent="0.25">
      <c r="B129" s="69" t="s">
        <v>1555</v>
      </c>
      <c r="C129" s="69" t="s">
        <v>303</v>
      </c>
      <c r="D129" s="238" t="s">
        <v>495</v>
      </c>
      <c r="E129" s="82" t="s">
        <v>305</v>
      </c>
      <c r="F129" s="249">
        <v>21</v>
      </c>
    </row>
    <row r="130" spans="2:6" s="247" customFormat="1" x14ac:dyDescent="0.25">
      <c r="B130" s="272" t="s">
        <v>1557</v>
      </c>
      <c r="C130" s="87"/>
      <c r="D130" s="239" t="s">
        <v>497</v>
      </c>
      <c r="E130" s="87"/>
      <c r="F130" s="87"/>
    </row>
    <row r="131" spans="2:6" s="247" customFormat="1" x14ac:dyDescent="0.25">
      <c r="B131" s="249" t="s">
        <v>1558</v>
      </c>
      <c r="C131" s="69" t="s">
        <v>303</v>
      </c>
      <c r="D131" s="238" t="s">
        <v>499</v>
      </c>
      <c r="E131" s="89" t="s">
        <v>305</v>
      </c>
      <c r="F131" s="249">
        <v>21</v>
      </c>
    </row>
    <row r="132" spans="2:6" s="247" customFormat="1" x14ac:dyDescent="0.25">
      <c r="B132" s="249" t="s">
        <v>1559</v>
      </c>
      <c r="C132" s="69" t="s">
        <v>303</v>
      </c>
      <c r="D132" s="238" t="s">
        <v>501</v>
      </c>
      <c r="E132" s="89" t="s">
        <v>305</v>
      </c>
      <c r="F132" s="249">
        <v>21</v>
      </c>
    </row>
    <row r="133" spans="2:6" s="247" customFormat="1" x14ac:dyDescent="0.25">
      <c r="B133" s="249" t="s">
        <v>1560</v>
      </c>
      <c r="C133" s="69" t="s">
        <v>303</v>
      </c>
      <c r="D133" s="238" t="s">
        <v>503</v>
      </c>
      <c r="E133" s="89" t="s">
        <v>305</v>
      </c>
      <c r="F133" s="249">
        <v>21</v>
      </c>
    </row>
    <row r="134" spans="2:6" s="247" customFormat="1" x14ac:dyDescent="0.25">
      <c r="B134" s="249" t="s">
        <v>1561</v>
      </c>
      <c r="C134" s="69" t="s">
        <v>303</v>
      </c>
      <c r="D134" s="238" t="s">
        <v>505</v>
      </c>
      <c r="E134" s="89" t="s">
        <v>305</v>
      </c>
      <c r="F134" s="249">
        <v>21</v>
      </c>
    </row>
    <row r="135" spans="2:6" s="247" customFormat="1" x14ac:dyDescent="0.25">
      <c r="B135" s="249" t="s">
        <v>1562</v>
      </c>
      <c r="C135" s="69" t="s">
        <v>303</v>
      </c>
      <c r="D135" s="238" t="s">
        <v>507</v>
      </c>
      <c r="E135" s="89" t="s">
        <v>305</v>
      </c>
      <c r="F135" s="249">
        <v>21</v>
      </c>
    </row>
    <row r="136" spans="2:6" s="247" customFormat="1" x14ac:dyDescent="0.25">
      <c r="B136" s="249" t="s">
        <v>1563</v>
      </c>
      <c r="C136" s="69" t="s">
        <v>303</v>
      </c>
      <c r="D136" s="238" t="s">
        <v>509</v>
      </c>
      <c r="E136" s="89" t="s">
        <v>305</v>
      </c>
      <c r="F136" s="249">
        <v>21</v>
      </c>
    </row>
    <row r="137" spans="2:6" s="247" customFormat="1" x14ac:dyDescent="0.25">
      <c r="B137" s="63" t="s">
        <v>62</v>
      </c>
      <c r="C137" s="63"/>
      <c r="D137" s="64" t="s">
        <v>5</v>
      </c>
      <c r="E137" s="64"/>
      <c r="F137" s="64"/>
    </row>
    <row r="138" spans="2:6" s="247" customFormat="1" x14ac:dyDescent="0.25">
      <c r="B138" s="69" t="s">
        <v>1913</v>
      </c>
      <c r="C138" s="69" t="s">
        <v>303</v>
      </c>
      <c r="D138" s="238" t="s">
        <v>1004</v>
      </c>
      <c r="E138" s="82" t="s">
        <v>305</v>
      </c>
      <c r="F138" s="249">
        <v>21</v>
      </c>
    </row>
    <row r="139" spans="2:6" s="247" customFormat="1" x14ac:dyDescent="0.25">
      <c r="B139" s="69" t="s">
        <v>1914</v>
      </c>
      <c r="C139" s="69" t="s">
        <v>303</v>
      </c>
      <c r="D139" s="238" t="s">
        <v>1361</v>
      </c>
      <c r="E139" s="82" t="s">
        <v>305</v>
      </c>
      <c r="F139" s="249">
        <v>21</v>
      </c>
    </row>
    <row r="140" spans="2:6" s="247" customFormat="1" x14ac:dyDescent="0.25">
      <c r="B140" s="267" t="s">
        <v>332</v>
      </c>
      <c r="C140" s="267"/>
      <c r="D140" s="268" t="s">
        <v>1318</v>
      </c>
      <c r="E140" s="268"/>
      <c r="F140" s="268"/>
    </row>
    <row r="141" spans="2:6" s="247" customFormat="1" x14ac:dyDescent="0.25">
      <c r="B141" s="63" t="s">
        <v>334</v>
      </c>
      <c r="C141" s="63"/>
      <c r="D141" s="64" t="s">
        <v>4</v>
      </c>
      <c r="E141" s="64"/>
      <c r="F141" s="64"/>
    </row>
    <row r="142" spans="2:6" s="247" customFormat="1" x14ac:dyDescent="0.25">
      <c r="B142" s="66" t="s">
        <v>336</v>
      </c>
      <c r="C142" s="66" t="s">
        <v>1373</v>
      </c>
      <c r="D142" s="67" t="s">
        <v>1290</v>
      </c>
      <c r="E142" s="66" t="s">
        <v>248</v>
      </c>
      <c r="F142" s="66">
        <v>1</v>
      </c>
    </row>
    <row r="143" spans="2:6" s="247" customFormat="1" x14ac:dyDescent="0.25">
      <c r="B143" s="66" t="s">
        <v>338</v>
      </c>
      <c r="C143" s="66"/>
      <c r="D143" s="67" t="s">
        <v>259</v>
      </c>
      <c r="E143" s="67"/>
      <c r="F143" s="67"/>
    </row>
    <row r="144" spans="2:6" s="247" customFormat="1" x14ac:dyDescent="0.25">
      <c r="B144" s="69" t="s">
        <v>1342</v>
      </c>
      <c r="C144" s="69" t="s">
        <v>1374</v>
      </c>
      <c r="D144" s="70" t="s">
        <v>1259</v>
      </c>
      <c r="E144" s="69" t="s">
        <v>248</v>
      </c>
      <c r="F144" s="69">
        <v>1</v>
      </c>
    </row>
    <row r="145" spans="2:6" s="247" customFormat="1" x14ac:dyDescent="0.25">
      <c r="B145" s="69" t="s">
        <v>1343</v>
      </c>
      <c r="C145" s="69" t="s">
        <v>1375</v>
      </c>
      <c r="D145" s="70" t="s">
        <v>2129</v>
      </c>
      <c r="E145" s="69" t="s">
        <v>248</v>
      </c>
      <c r="F145" s="69">
        <v>1</v>
      </c>
    </row>
    <row r="146" spans="2:6" s="247" customFormat="1" x14ac:dyDescent="0.25">
      <c r="B146" s="69" t="s">
        <v>1344</v>
      </c>
      <c r="C146" s="69" t="s">
        <v>1376</v>
      </c>
      <c r="D146" s="70" t="s">
        <v>265</v>
      </c>
      <c r="E146" s="69" t="s">
        <v>248</v>
      </c>
      <c r="F146" s="69">
        <v>1</v>
      </c>
    </row>
    <row r="147" spans="2:6" s="247" customFormat="1" x14ac:dyDescent="0.25">
      <c r="B147" s="69" t="s">
        <v>1345</v>
      </c>
      <c r="C147" s="69" t="s">
        <v>1379</v>
      </c>
      <c r="D147" s="70" t="s">
        <v>269</v>
      </c>
      <c r="E147" s="69" t="s">
        <v>248</v>
      </c>
      <c r="F147" s="69">
        <v>1</v>
      </c>
    </row>
    <row r="148" spans="2:6" s="247" customFormat="1" x14ac:dyDescent="0.25">
      <c r="B148" s="69" t="s">
        <v>1346</v>
      </c>
      <c r="C148" s="69" t="s">
        <v>1380</v>
      </c>
      <c r="D148" s="70" t="s">
        <v>271</v>
      </c>
      <c r="E148" s="69" t="s">
        <v>248</v>
      </c>
      <c r="F148" s="69">
        <v>1</v>
      </c>
    </row>
    <row r="149" spans="2:6" s="247" customFormat="1" x14ac:dyDescent="0.25">
      <c r="B149" s="69" t="s">
        <v>1347</v>
      </c>
      <c r="C149" s="69" t="s">
        <v>1381</v>
      </c>
      <c r="D149" s="70" t="s">
        <v>2130</v>
      </c>
      <c r="E149" s="69" t="s">
        <v>248</v>
      </c>
      <c r="F149" s="69">
        <v>1</v>
      </c>
    </row>
    <row r="150" spans="2:6" s="247" customFormat="1" x14ac:dyDescent="0.25">
      <c r="B150" s="69" t="s">
        <v>1348</v>
      </c>
      <c r="C150" s="69" t="s">
        <v>1382</v>
      </c>
      <c r="D150" s="70" t="s">
        <v>1338</v>
      </c>
      <c r="E150" s="69" t="s">
        <v>248</v>
      </c>
      <c r="F150" s="69">
        <v>1</v>
      </c>
    </row>
    <row r="151" spans="2:6" s="247" customFormat="1" x14ac:dyDescent="0.25">
      <c r="B151" s="69" t="s">
        <v>1349</v>
      </c>
      <c r="C151" s="69" t="s">
        <v>1383</v>
      </c>
      <c r="D151" s="70" t="s">
        <v>2136</v>
      </c>
      <c r="E151" s="69" t="s">
        <v>248</v>
      </c>
      <c r="F151" s="69">
        <v>1</v>
      </c>
    </row>
    <row r="152" spans="2:6" s="247" customFormat="1" x14ac:dyDescent="0.25">
      <c r="B152" s="66" t="s">
        <v>340</v>
      </c>
      <c r="C152" s="66"/>
      <c r="D152" s="67" t="s">
        <v>273</v>
      </c>
      <c r="E152" s="67"/>
      <c r="F152" s="67"/>
    </row>
    <row r="153" spans="2:6" s="247" customFormat="1" x14ac:dyDescent="0.25">
      <c r="B153" s="69" t="s">
        <v>2003</v>
      </c>
      <c r="C153" s="69" t="s">
        <v>1384</v>
      </c>
      <c r="D153" s="238" t="s">
        <v>1447</v>
      </c>
      <c r="E153" s="69" t="s">
        <v>248</v>
      </c>
      <c r="F153" s="69">
        <v>1</v>
      </c>
    </row>
    <row r="154" spans="2:6" s="247" customFormat="1" x14ac:dyDescent="0.25">
      <c r="B154" s="69" t="s">
        <v>2004</v>
      </c>
      <c r="C154" s="69" t="s">
        <v>1385</v>
      </c>
      <c r="D154" s="238" t="s">
        <v>1448</v>
      </c>
      <c r="E154" s="69" t="s">
        <v>248</v>
      </c>
      <c r="F154" s="69">
        <v>1</v>
      </c>
    </row>
    <row r="155" spans="2:6" s="247" customFormat="1" x14ac:dyDescent="0.25">
      <c r="B155" s="69" t="s">
        <v>2005</v>
      </c>
      <c r="C155" s="69" t="s">
        <v>1386</v>
      </c>
      <c r="D155" s="238" t="s">
        <v>1446</v>
      </c>
      <c r="E155" s="69" t="s">
        <v>248</v>
      </c>
      <c r="F155" s="69">
        <v>1</v>
      </c>
    </row>
    <row r="156" spans="2:6" s="247" customFormat="1" x14ac:dyDescent="0.25">
      <c r="B156" s="66" t="s">
        <v>342</v>
      </c>
      <c r="C156" s="66"/>
      <c r="D156" s="239" t="s">
        <v>278</v>
      </c>
      <c r="E156" s="67"/>
      <c r="F156" s="67"/>
    </row>
    <row r="157" spans="2:6" s="247" customFormat="1" x14ac:dyDescent="0.25">
      <c r="B157" s="69" t="s">
        <v>1350</v>
      </c>
      <c r="C157" s="69" t="s">
        <v>1425</v>
      </c>
      <c r="D157" s="70" t="s">
        <v>1990</v>
      </c>
      <c r="E157" s="69" t="s">
        <v>248</v>
      </c>
      <c r="F157" s="69">
        <v>1</v>
      </c>
    </row>
    <row r="158" spans="2:6" s="247" customFormat="1" x14ac:dyDescent="0.25">
      <c r="B158" s="248" t="s">
        <v>344</v>
      </c>
      <c r="C158" s="66"/>
      <c r="D158" s="67" t="s">
        <v>168</v>
      </c>
      <c r="E158" s="67"/>
      <c r="F158" s="67"/>
    </row>
    <row r="159" spans="2:6" s="247" customFormat="1" x14ac:dyDescent="0.25">
      <c r="B159" s="249" t="s">
        <v>1351</v>
      </c>
      <c r="C159" s="69" t="s">
        <v>1426</v>
      </c>
      <c r="D159" s="238" t="s">
        <v>2400</v>
      </c>
      <c r="E159" s="69" t="s">
        <v>248</v>
      </c>
      <c r="F159" s="69">
        <v>1</v>
      </c>
    </row>
    <row r="160" spans="2:6" s="247" customFormat="1" x14ac:dyDescent="0.25">
      <c r="B160" s="249" t="s">
        <v>2006</v>
      </c>
      <c r="C160" s="69" t="s">
        <v>1427</v>
      </c>
      <c r="D160" s="238" t="s">
        <v>1450</v>
      </c>
      <c r="E160" s="69" t="s">
        <v>248</v>
      </c>
      <c r="F160" s="69">
        <v>1</v>
      </c>
    </row>
    <row r="161" spans="2:6" s="247" customFormat="1" x14ac:dyDescent="0.25">
      <c r="B161" s="249" t="s">
        <v>2007</v>
      </c>
      <c r="C161" s="69" t="s">
        <v>1428</v>
      </c>
      <c r="D161" s="238" t="s">
        <v>1451</v>
      </c>
      <c r="E161" s="69" t="s">
        <v>248</v>
      </c>
      <c r="F161" s="69">
        <v>1</v>
      </c>
    </row>
    <row r="162" spans="2:6" s="247" customFormat="1" x14ac:dyDescent="0.25">
      <c r="B162" s="248" t="s">
        <v>346</v>
      </c>
      <c r="C162" s="66"/>
      <c r="D162" s="67" t="s">
        <v>290</v>
      </c>
      <c r="E162" s="67"/>
      <c r="F162" s="67"/>
    </row>
    <row r="163" spans="2:6" s="247" customFormat="1" x14ac:dyDescent="0.25">
      <c r="B163" s="249" t="s">
        <v>1352</v>
      </c>
      <c r="C163" s="69" t="s">
        <v>1429</v>
      </c>
      <c r="D163" s="238" t="s">
        <v>1330</v>
      </c>
      <c r="E163" s="69" t="s">
        <v>248</v>
      </c>
      <c r="F163" s="69">
        <v>1</v>
      </c>
    </row>
    <row r="164" spans="2:6" s="247" customFormat="1" x14ac:dyDescent="0.25">
      <c r="B164" s="249" t="s">
        <v>1353</v>
      </c>
      <c r="C164" s="69" t="s">
        <v>1430</v>
      </c>
      <c r="D164" s="238" t="s">
        <v>1331</v>
      </c>
      <c r="E164" s="69" t="s">
        <v>248</v>
      </c>
      <c r="F164" s="69">
        <v>1</v>
      </c>
    </row>
    <row r="165" spans="2:6" s="247" customFormat="1" x14ac:dyDescent="0.25">
      <c r="B165" s="248" t="s">
        <v>348</v>
      </c>
      <c r="C165" s="66"/>
      <c r="D165" s="67" t="s">
        <v>301</v>
      </c>
      <c r="E165" s="67"/>
      <c r="F165" s="67"/>
    </row>
    <row r="166" spans="2:6" s="247" customFormat="1" x14ac:dyDescent="0.25">
      <c r="B166" s="249" t="s">
        <v>1354</v>
      </c>
      <c r="C166" s="69" t="s">
        <v>303</v>
      </c>
      <c r="D166" s="238" t="s">
        <v>1452</v>
      </c>
      <c r="E166" s="249" t="s">
        <v>305</v>
      </c>
      <c r="F166" s="69">
        <v>31</v>
      </c>
    </row>
    <row r="167" spans="2:6" s="247" customFormat="1" x14ac:dyDescent="0.25">
      <c r="B167" s="249" t="s">
        <v>1355</v>
      </c>
      <c r="C167" s="69" t="s">
        <v>303</v>
      </c>
      <c r="D167" s="238" t="s">
        <v>1454</v>
      </c>
      <c r="E167" s="249" t="s">
        <v>305</v>
      </c>
      <c r="F167" s="69">
        <v>31</v>
      </c>
    </row>
    <row r="168" spans="2:6" s="247" customFormat="1" x14ac:dyDescent="0.25">
      <c r="B168" s="249" t="s">
        <v>2008</v>
      </c>
      <c r="C168" s="69" t="s">
        <v>303</v>
      </c>
      <c r="D168" s="238" t="s">
        <v>1460</v>
      </c>
      <c r="E168" s="265" t="s">
        <v>305</v>
      </c>
      <c r="F168" s="69">
        <v>31</v>
      </c>
    </row>
    <row r="169" spans="2:6" s="247" customFormat="1" x14ac:dyDescent="0.25">
      <c r="B169" s="248" t="s">
        <v>350</v>
      </c>
      <c r="C169" s="66"/>
      <c r="D169" s="67" t="s">
        <v>315</v>
      </c>
      <c r="E169" s="67"/>
      <c r="F169" s="67"/>
    </row>
    <row r="170" spans="2:6" s="247" customFormat="1" x14ac:dyDescent="0.25">
      <c r="B170" s="249" t="s">
        <v>1356</v>
      </c>
      <c r="C170" s="69" t="s">
        <v>303</v>
      </c>
      <c r="D170" s="238" t="s">
        <v>1327</v>
      </c>
      <c r="E170" s="69" t="s">
        <v>305</v>
      </c>
      <c r="F170" s="69">
        <v>31</v>
      </c>
    </row>
    <row r="171" spans="2:6" s="247" customFormat="1" x14ac:dyDescent="0.25">
      <c r="B171" s="249" t="s">
        <v>1357</v>
      </c>
      <c r="C171" s="69" t="s">
        <v>303</v>
      </c>
      <c r="D171" s="238" t="s">
        <v>1328</v>
      </c>
      <c r="E171" s="69" t="s">
        <v>305</v>
      </c>
      <c r="F171" s="69">
        <v>31</v>
      </c>
    </row>
    <row r="172" spans="2:6" s="247" customFormat="1" x14ac:dyDescent="0.25">
      <c r="B172" s="66" t="s">
        <v>352</v>
      </c>
      <c r="C172" s="66"/>
      <c r="D172" s="67" t="s">
        <v>321</v>
      </c>
      <c r="E172" s="67"/>
      <c r="F172" s="67"/>
    </row>
    <row r="173" spans="2:6" s="247" customFormat="1" x14ac:dyDescent="0.25">
      <c r="B173" s="69" t="s">
        <v>1358</v>
      </c>
      <c r="C173" s="69" t="s">
        <v>303</v>
      </c>
      <c r="D173" s="70" t="s">
        <v>323</v>
      </c>
      <c r="E173" s="69" t="s">
        <v>305</v>
      </c>
      <c r="F173" s="69">
        <v>31</v>
      </c>
    </row>
    <row r="174" spans="2:6" s="247" customFormat="1" x14ac:dyDescent="0.25">
      <c r="B174" s="69" t="s">
        <v>1359</v>
      </c>
      <c r="C174" s="69" t="s">
        <v>303</v>
      </c>
      <c r="D174" s="70" t="s">
        <v>1326</v>
      </c>
      <c r="E174" s="69" t="s">
        <v>305</v>
      </c>
      <c r="F174" s="69">
        <v>31</v>
      </c>
    </row>
    <row r="175" spans="2:6" s="247" customFormat="1" x14ac:dyDescent="0.25">
      <c r="B175" s="69" t="s">
        <v>2009</v>
      </c>
      <c r="C175" s="69" t="s">
        <v>303</v>
      </c>
      <c r="D175" s="70" t="s">
        <v>2028</v>
      </c>
      <c r="E175" s="69" t="s">
        <v>305</v>
      </c>
      <c r="F175" s="69">
        <v>31</v>
      </c>
    </row>
    <row r="176" spans="2:6" s="247" customFormat="1" x14ac:dyDescent="0.25">
      <c r="B176" s="69" t="s">
        <v>2010</v>
      </c>
      <c r="C176" s="69" t="s">
        <v>303</v>
      </c>
      <c r="D176" s="70" t="s">
        <v>2029</v>
      </c>
      <c r="E176" s="69" t="s">
        <v>305</v>
      </c>
      <c r="F176" s="69">
        <v>31</v>
      </c>
    </row>
    <row r="177" spans="2:6" s="247" customFormat="1" x14ac:dyDescent="0.25">
      <c r="B177" s="69" t="s">
        <v>2011</v>
      </c>
      <c r="C177" s="69" t="s">
        <v>303</v>
      </c>
      <c r="D177" s="238" t="s">
        <v>331</v>
      </c>
      <c r="E177" s="69" t="s">
        <v>305</v>
      </c>
      <c r="F177" s="69">
        <v>31</v>
      </c>
    </row>
    <row r="178" spans="2:6" s="247" customFormat="1" x14ac:dyDescent="0.25">
      <c r="B178" s="63" t="s">
        <v>1319</v>
      </c>
      <c r="C178" s="63"/>
      <c r="D178" s="64" t="s">
        <v>333</v>
      </c>
      <c r="E178" s="64"/>
      <c r="F178" s="64"/>
    </row>
    <row r="179" spans="2:6" s="247" customFormat="1" x14ac:dyDescent="0.25">
      <c r="B179" s="248" t="s">
        <v>444</v>
      </c>
      <c r="C179" s="66"/>
      <c r="D179" s="250" t="s">
        <v>586</v>
      </c>
      <c r="E179" s="67"/>
      <c r="F179" s="67"/>
    </row>
    <row r="180" spans="2:6" s="247" customFormat="1" x14ac:dyDescent="0.25">
      <c r="B180" s="249" t="s">
        <v>1368</v>
      </c>
      <c r="C180" s="69" t="s">
        <v>303</v>
      </c>
      <c r="D180" s="238" t="s">
        <v>588</v>
      </c>
      <c r="E180" s="82" t="s">
        <v>305</v>
      </c>
      <c r="F180" s="69">
        <v>21</v>
      </c>
    </row>
    <row r="181" spans="2:6" s="247" customFormat="1" x14ac:dyDescent="0.25">
      <c r="B181" s="249" t="s">
        <v>1632</v>
      </c>
      <c r="C181" s="69" t="s">
        <v>303</v>
      </c>
      <c r="D181" s="238" t="s">
        <v>590</v>
      </c>
      <c r="E181" s="82" t="s">
        <v>305</v>
      </c>
      <c r="F181" s="69">
        <v>21</v>
      </c>
    </row>
    <row r="182" spans="2:6" s="247" customFormat="1" x14ac:dyDescent="0.25">
      <c r="B182" s="249" t="s">
        <v>1633</v>
      </c>
      <c r="C182" s="69" t="s">
        <v>303</v>
      </c>
      <c r="D182" s="238" t="s">
        <v>592</v>
      </c>
      <c r="E182" s="82" t="s">
        <v>305</v>
      </c>
      <c r="F182" s="69">
        <v>21</v>
      </c>
    </row>
    <row r="183" spans="2:6" s="247" customFormat="1" x14ac:dyDescent="0.25">
      <c r="B183" s="249" t="s">
        <v>1634</v>
      </c>
      <c r="C183" s="69" t="s">
        <v>303</v>
      </c>
      <c r="D183" s="238" t="s">
        <v>349</v>
      </c>
      <c r="E183" s="82" t="s">
        <v>305</v>
      </c>
      <c r="F183" s="69">
        <v>21</v>
      </c>
    </row>
    <row r="184" spans="2:6" s="247" customFormat="1" x14ac:dyDescent="0.25">
      <c r="B184" s="249" t="s">
        <v>1635</v>
      </c>
      <c r="C184" s="69" t="s">
        <v>303</v>
      </c>
      <c r="D184" s="238" t="s">
        <v>595</v>
      </c>
      <c r="E184" s="82" t="s">
        <v>305</v>
      </c>
      <c r="F184" s="69">
        <v>21</v>
      </c>
    </row>
    <row r="185" spans="2:6" s="247" customFormat="1" x14ac:dyDescent="0.25">
      <c r="B185" s="249" t="s">
        <v>1636</v>
      </c>
      <c r="C185" s="69" t="s">
        <v>303</v>
      </c>
      <c r="D185" s="238" t="s">
        <v>597</v>
      </c>
      <c r="E185" s="82" t="s">
        <v>305</v>
      </c>
      <c r="F185" s="69">
        <v>21</v>
      </c>
    </row>
    <row r="186" spans="2:6" s="247" customFormat="1" x14ac:dyDescent="0.25">
      <c r="B186" s="249" t="s">
        <v>1637</v>
      </c>
      <c r="C186" s="69" t="s">
        <v>303</v>
      </c>
      <c r="D186" s="238" t="s">
        <v>599</v>
      </c>
      <c r="E186" s="82" t="s">
        <v>305</v>
      </c>
      <c r="F186" s="69">
        <v>21</v>
      </c>
    </row>
    <row r="187" spans="2:6" s="247" customFormat="1" x14ac:dyDescent="0.25">
      <c r="B187" s="249" t="s">
        <v>1638</v>
      </c>
      <c r="C187" s="69" t="s">
        <v>303</v>
      </c>
      <c r="D187" s="238" t="s">
        <v>601</v>
      </c>
      <c r="E187" s="82" t="s">
        <v>305</v>
      </c>
      <c r="F187" s="69">
        <v>21</v>
      </c>
    </row>
    <row r="188" spans="2:6" s="247" customFormat="1" x14ac:dyDescent="0.25">
      <c r="B188" s="249" t="s">
        <v>1639</v>
      </c>
      <c r="C188" s="69" t="s">
        <v>303</v>
      </c>
      <c r="D188" s="238" t="s">
        <v>603</v>
      </c>
      <c r="E188" s="82" t="s">
        <v>305</v>
      </c>
      <c r="F188" s="69">
        <v>21</v>
      </c>
    </row>
    <row r="189" spans="2:6" s="247" customFormat="1" x14ac:dyDescent="0.25">
      <c r="B189" s="249" t="s">
        <v>1640</v>
      </c>
      <c r="C189" s="69" t="s">
        <v>303</v>
      </c>
      <c r="D189" s="238" t="s">
        <v>605</v>
      </c>
      <c r="E189" s="82" t="s">
        <v>305</v>
      </c>
      <c r="F189" s="69">
        <v>21</v>
      </c>
    </row>
    <row r="190" spans="2:6" s="247" customFormat="1" x14ac:dyDescent="0.25">
      <c r="B190" s="249" t="s">
        <v>1641</v>
      </c>
      <c r="C190" s="69" t="s">
        <v>303</v>
      </c>
      <c r="D190" s="238" t="s">
        <v>588</v>
      </c>
      <c r="E190" s="82" t="s">
        <v>305</v>
      </c>
      <c r="F190" s="69">
        <v>21</v>
      </c>
    </row>
    <row r="191" spans="2:6" s="247" customFormat="1" x14ac:dyDescent="0.25">
      <c r="B191" s="249" t="s">
        <v>1642</v>
      </c>
      <c r="C191" s="69" t="s">
        <v>303</v>
      </c>
      <c r="D191" s="238" t="s">
        <v>608</v>
      </c>
      <c r="E191" s="82" t="s">
        <v>305</v>
      </c>
      <c r="F191" s="69">
        <v>21</v>
      </c>
    </row>
    <row r="192" spans="2:6" s="247" customFormat="1" x14ac:dyDescent="0.25">
      <c r="B192" s="249" t="s">
        <v>1643</v>
      </c>
      <c r="C192" s="69" t="s">
        <v>303</v>
      </c>
      <c r="D192" s="238" t="s">
        <v>590</v>
      </c>
      <c r="E192" s="82" t="s">
        <v>305</v>
      </c>
      <c r="F192" s="69">
        <v>21</v>
      </c>
    </row>
    <row r="193" spans="2:6" s="247" customFormat="1" x14ac:dyDescent="0.25">
      <c r="B193" s="249" t="s">
        <v>1644</v>
      </c>
      <c r="C193" s="69" t="s">
        <v>303</v>
      </c>
      <c r="D193" s="238" t="s">
        <v>611</v>
      </c>
      <c r="E193" s="82" t="s">
        <v>305</v>
      </c>
      <c r="F193" s="69">
        <v>21</v>
      </c>
    </row>
    <row r="194" spans="2:6" s="247" customFormat="1" x14ac:dyDescent="0.25">
      <c r="B194" s="249" t="s">
        <v>1645</v>
      </c>
      <c r="C194" s="69" t="s">
        <v>303</v>
      </c>
      <c r="D194" s="238" t="s">
        <v>613</v>
      </c>
      <c r="E194" s="82" t="s">
        <v>305</v>
      </c>
      <c r="F194" s="69">
        <v>21</v>
      </c>
    </row>
    <row r="195" spans="2:6" s="247" customFormat="1" x14ac:dyDescent="0.25">
      <c r="B195" s="249" t="s">
        <v>1646</v>
      </c>
      <c r="C195" s="69" t="s">
        <v>303</v>
      </c>
      <c r="D195" s="238" t="s">
        <v>615</v>
      </c>
      <c r="E195" s="82" t="s">
        <v>305</v>
      </c>
      <c r="F195" s="69">
        <v>21</v>
      </c>
    </row>
    <row r="196" spans="2:6" s="247" customFormat="1" x14ac:dyDescent="0.25">
      <c r="B196" s="249" t="s">
        <v>1647</v>
      </c>
      <c r="C196" s="69" t="s">
        <v>303</v>
      </c>
      <c r="D196" s="238" t="s">
        <v>617</v>
      </c>
      <c r="E196" s="82" t="s">
        <v>305</v>
      </c>
      <c r="F196" s="69">
        <v>21</v>
      </c>
    </row>
    <row r="197" spans="2:6" s="247" customFormat="1" x14ac:dyDescent="0.25">
      <c r="B197" s="249" t="s">
        <v>1648</v>
      </c>
      <c r="C197" s="69" t="s">
        <v>303</v>
      </c>
      <c r="D197" s="238" t="s">
        <v>619</v>
      </c>
      <c r="E197" s="82" t="s">
        <v>305</v>
      </c>
      <c r="F197" s="69">
        <v>21</v>
      </c>
    </row>
    <row r="198" spans="2:6" s="247" customFormat="1" x14ac:dyDescent="0.25">
      <c r="B198" s="249" t="s">
        <v>1649</v>
      </c>
      <c r="C198" s="69" t="s">
        <v>303</v>
      </c>
      <c r="D198" s="238" t="s">
        <v>621</v>
      </c>
      <c r="E198" s="82" t="s">
        <v>305</v>
      </c>
      <c r="F198" s="69">
        <v>21</v>
      </c>
    </row>
    <row r="199" spans="2:6" s="247" customFormat="1" x14ac:dyDescent="0.25">
      <c r="B199" s="249" t="s">
        <v>1650</v>
      </c>
      <c r="C199" s="69" t="s">
        <v>303</v>
      </c>
      <c r="D199" s="238" t="s">
        <v>623</v>
      </c>
      <c r="E199" s="82" t="s">
        <v>305</v>
      </c>
      <c r="F199" s="69">
        <v>21</v>
      </c>
    </row>
    <row r="200" spans="2:6" s="247" customFormat="1" x14ac:dyDescent="0.25">
      <c r="B200" s="249" t="s">
        <v>1651</v>
      </c>
      <c r="C200" s="69" t="s">
        <v>303</v>
      </c>
      <c r="D200" s="238" t="s">
        <v>550</v>
      </c>
      <c r="E200" s="82" t="s">
        <v>305</v>
      </c>
      <c r="F200" s="69">
        <v>21</v>
      </c>
    </row>
    <row r="201" spans="2:6" s="247" customFormat="1" x14ac:dyDescent="0.25">
      <c r="B201" s="249" t="s">
        <v>1652</v>
      </c>
      <c r="C201" s="69" t="s">
        <v>303</v>
      </c>
      <c r="D201" s="238" t="s">
        <v>626</v>
      </c>
      <c r="E201" s="82" t="s">
        <v>305</v>
      </c>
      <c r="F201" s="69">
        <v>21</v>
      </c>
    </row>
    <row r="202" spans="2:6" s="247" customFormat="1" x14ac:dyDescent="0.25">
      <c r="B202" s="249" t="s">
        <v>1653</v>
      </c>
      <c r="C202" s="69" t="s">
        <v>303</v>
      </c>
      <c r="D202" s="238" t="s">
        <v>628</v>
      </c>
      <c r="E202" s="82" t="s">
        <v>305</v>
      </c>
      <c r="F202" s="69">
        <v>21</v>
      </c>
    </row>
    <row r="203" spans="2:6" s="247" customFormat="1" x14ac:dyDescent="0.25">
      <c r="B203" s="249" t="s">
        <v>1654</v>
      </c>
      <c r="C203" s="69" t="s">
        <v>303</v>
      </c>
      <c r="D203" s="238" t="s">
        <v>630</v>
      </c>
      <c r="E203" s="82" t="s">
        <v>305</v>
      </c>
      <c r="F203" s="69">
        <v>21</v>
      </c>
    </row>
    <row r="204" spans="2:6" s="247" customFormat="1" x14ac:dyDescent="0.25">
      <c r="B204" s="249" t="s">
        <v>1655</v>
      </c>
      <c r="C204" s="69" t="s">
        <v>303</v>
      </c>
      <c r="D204" s="238" t="s">
        <v>632</v>
      </c>
      <c r="E204" s="82" t="s">
        <v>305</v>
      </c>
      <c r="F204" s="69">
        <v>21</v>
      </c>
    </row>
    <row r="205" spans="2:6" s="247" customFormat="1" x14ac:dyDescent="0.25">
      <c r="B205" s="249" t="s">
        <v>1656</v>
      </c>
      <c r="C205" s="69" t="s">
        <v>303</v>
      </c>
      <c r="D205" s="238" t="s">
        <v>634</v>
      </c>
      <c r="E205" s="82" t="s">
        <v>305</v>
      </c>
      <c r="F205" s="69">
        <v>21</v>
      </c>
    </row>
    <row r="206" spans="2:6" s="247" customFormat="1" x14ac:dyDescent="0.25">
      <c r="B206" s="249" t="s">
        <v>1657</v>
      </c>
      <c r="C206" s="69" t="s">
        <v>303</v>
      </c>
      <c r="D206" s="238" t="s">
        <v>636</v>
      </c>
      <c r="E206" s="82" t="s">
        <v>305</v>
      </c>
      <c r="F206" s="69">
        <v>21</v>
      </c>
    </row>
    <row r="207" spans="2:6" s="247" customFormat="1" x14ac:dyDescent="0.25">
      <c r="B207" s="249" t="s">
        <v>1658</v>
      </c>
      <c r="C207" s="69" t="s">
        <v>303</v>
      </c>
      <c r="D207" s="238" t="s">
        <v>638</v>
      </c>
      <c r="E207" s="82" t="s">
        <v>305</v>
      </c>
      <c r="F207" s="69">
        <v>21</v>
      </c>
    </row>
    <row r="208" spans="2:6" s="247" customFormat="1" x14ac:dyDescent="0.25">
      <c r="B208" s="249" t="s">
        <v>1659</v>
      </c>
      <c r="C208" s="69" t="s">
        <v>303</v>
      </c>
      <c r="D208" s="238" t="s">
        <v>419</v>
      </c>
      <c r="E208" s="82" t="s">
        <v>305</v>
      </c>
      <c r="F208" s="69">
        <v>21</v>
      </c>
    </row>
    <row r="209" spans="2:6" s="247" customFormat="1" x14ac:dyDescent="0.25">
      <c r="B209" s="249" t="s">
        <v>1660</v>
      </c>
      <c r="C209" s="69" t="s">
        <v>303</v>
      </c>
      <c r="D209" s="238" t="s">
        <v>641</v>
      </c>
      <c r="E209" s="82" t="s">
        <v>305</v>
      </c>
      <c r="F209" s="69">
        <v>21</v>
      </c>
    </row>
    <row r="210" spans="2:6" s="247" customFormat="1" x14ac:dyDescent="0.25">
      <c r="B210" s="249" t="s">
        <v>1661</v>
      </c>
      <c r="C210" s="69" t="s">
        <v>303</v>
      </c>
      <c r="D210" s="238" t="s">
        <v>643</v>
      </c>
      <c r="E210" s="82" t="s">
        <v>305</v>
      </c>
      <c r="F210" s="69">
        <v>21</v>
      </c>
    </row>
    <row r="211" spans="2:6" s="247" customFormat="1" x14ac:dyDescent="0.25">
      <c r="B211" s="249" t="s">
        <v>1662</v>
      </c>
      <c r="C211" s="69" t="s">
        <v>303</v>
      </c>
      <c r="D211" s="238" t="s">
        <v>645</v>
      </c>
      <c r="E211" s="82" t="s">
        <v>305</v>
      </c>
      <c r="F211" s="69">
        <v>21</v>
      </c>
    </row>
    <row r="212" spans="2:6" s="247" customFormat="1" x14ac:dyDescent="0.25">
      <c r="B212" s="248" t="s">
        <v>446</v>
      </c>
      <c r="C212" s="66"/>
      <c r="D212" s="250" t="s">
        <v>647</v>
      </c>
      <c r="E212" s="67"/>
      <c r="F212" s="67"/>
    </row>
    <row r="213" spans="2:6" s="247" customFormat="1" ht="25.5" x14ac:dyDescent="0.25">
      <c r="B213" s="249" t="s">
        <v>1663</v>
      </c>
      <c r="C213" s="69" t="s">
        <v>303</v>
      </c>
      <c r="D213" s="238" t="s">
        <v>649</v>
      </c>
      <c r="E213" s="82" t="s">
        <v>305</v>
      </c>
      <c r="F213" s="69">
        <v>21</v>
      </c>
    </row>
    <row r="214" spans="2:6" s="247" customFormat="1" x14ac:dyDescent="0.25">
      <c r="B214" s="249" t="s">
        <v>1664</v>
      </c>
      <c r="C214" s="69" t="s">
        <v>303</v>
      </c>
      <c r="D214" s="238" t="s">
        <v>651</v>
      </c>
      <c r="E214" s="82" t="s">
        <v>305</v>
      </c>
      <c r="F214" s="69">
        <v>21</v>
      </c>
    </row>
    <row r="215" spans="2:6" s="247" customFormat="1" x14ac:dyDescent="0.25">
      <c r="B215" s="249" t="s">
        <v>1665</v>
      </c>
      <c r="C215" s="69" t="s">
        <v>303</v>
      </c>
      <c r="D215" s="238" t="s">
        <v>653</v>
      </c>
      <c r="E215" s="82" t="s">
        <v>305</v>
      </c>
      <c r="F215" s="69">
        <v>21</v>
      </c>
    </row>
    <row r="216" spans="2:6" s="247" customFormat="1" x14ac:dyDescent="0.25">
      <c r="B216" s="249" t="s">
        <v>1666</v>
      </c>
      <c r="C216" s="69" t="s">
        <v>303</v>
      </c>
      <c r="D216" s="273" t="s">
        <v>655</v>
      </c>
      <c r="E216" s="82" t="s">
        <v>305</v>
      </c>
      <c r="F216" s="69">
        <v>21</v>
      </c>
    </row>
    <row r="217" spans="2:6" s="247" customFormat="1" x14ac:dyDescent="0.25">
      <c r="B217" s="249" t="s">
        <v>1667</v>
      </c>
      <c r="C217" s="69" t="s">
        <v>303</v>
      </c>
      <c r="D217" s="273" t="s">
        <v>657</v>
      </c>
      <c r="E217" s="69" t="s">
        <v>305</v>
      </c>
      <c r="F217" s="69">
        <v>21</v>
      </c>
    </row>
    <row r="218" spans="2:6" s="247" customFormat="1" x14ac:dyDescent="0.25">
      <c r="B218" s="249" t="s">
        <v>1668</v>
      </c>
      <c r="C218" s="69" t="s">
        <v>303</v>
      </c>
      <c r="D218" s="238" t="s">
        <v>659</v>
      </c>
      <c r="E218" s="69" t="s">
        <v>305</v>
      </c>
      <c r="F218" s="69">
        <v>21</v>
      </c>
    </row>
    <row r="219" spans="2:6" s="247" customFormat="1" x14ac:dyDescent="0.25">
      <c r="B219" s="249" t="s">
        <v>1669</v>
      </c>
      <c r="C219" s="69" t="s">
        <v>303</v>
      </c>
      <c r="D219" s="238" t="s">
        <v>661</v>
      </c>
      <c r="E219" s="69" t="s">
        <v>305</v>
      </c>
      <c r="F219" s="69">
        <v>21</v>
      </c>
    </row>
    <row r="220" spans="2:6" s="247" customFormat="1" x14ac:dyDescent="0.25">
      <c r="B220" s="249" t="s">
        <v>1670</v>
      </c>
      <c r="C220" s="69" t="s">
        <v>303</v>
      </c>
      <c r="D220" s="238" t="s">
        <v>663</v>
      </c>
      <c r="E220" s="69" t="s">
        <v>305</v>
      </c>
      <c r="F220" s="69">
        <v>21</v>
      </c>
    </row>
    <row r="221" spans="2:6" s="247" customFormat="1" x14ac:dyDescent="0.25">
      <c r="B221" s="249" t="s">
        <v>1671</v>
      </c>
      <c r="C221" s="69" t="s">
        <v>303</v>
      </c>
      <c r="D221" s="273" t="s">
        <v>665</v>
      </c>
      <c r="E221" s="69" t="s">
        <v>305</v>
      </c>
      <c r="F221" s="69">
        <v>21</v>
      </c>
    </row>
    <row r="222" spans="2:6" s="247" customFormat="1" x14ac:dyDescent="0.25">
      <c r="B222" s="249" t="s">
        <v>1672</v>
      </c>
      <c r="C222" s="69" t="s">
        <v>303</v>
      </c>
      <c r="D222" s="273" t="s">
        <v>667</v>
      </c>
      <c r="E222" s="69" t="s">
        <v>305</v>
      </c>
      <c r="F222" s="69">
        <v>21</v>
      </c>
    </row>
    <row r="223" spans="2:6" s="247" customFormat="1" x14ac:dyDescent="0.25">
      <c r="B223" s="249" t="s">
        <v>1673</v>
      </c>
      <c r="C223" s="69" t="s">
        <v>303</v>
      </c>
      <c r="D223" s="273" t="s">
        <v>479</v>
      </c>
      <c r="E223" s="82" t="s">
        <v>305</v>
      </c>
      <c r="F223" s="69">
        <v>21</v>
      </c>
    </row>
    <row r="224" spans="2:6" s="247" customFormat="1" x14ac:dyDescent="0.25">
      <c r="B224" s="249" t="s">
        <v>1674</v>
      </c>
      <c r="C224" s="69" t="s">
        <v>303</v>
      </c>
      <c r="D224" s="238" t="s">
        <v>670</v>
      </c>
      <c r="E224" s="82" t="s">
        <v>305</v>
      </c>
      <c r="F224" s="69">
        <v>21</v>
      </c>
    </row>
    <row r="225" spans="2:6" s="247" customFormat="1" x14ac:dyDescent="0.25">
      <c r="B225" s="249" t="s">
        <v>1675</v>
      </c>
      <c r="C225" s="69" t="s">
        <v>303</v>
      </c>
      <c r="D225" s="238" t="s">
        <v>584</v>
      </c>
      <c r="E225" s="82" t="s">
        <v>305</v>
      </c>
      <c r="F225" s="69">
        <v>21</v>
      </c>
    </row>
    <row r="226" spans="2:6" s="247" customFormat="1" x14ac:dyDescent="0.25">
      <c r="B226" s="249" t="s">
        <v>1676</v>
      </c>
      <c r="C226" s="69" t="s">
        <v>303</v>
      </c>
      <c r="D226" s="238" t="s">
        <v>673</v>
      </c>
      <c r="E226" s="82" t="s">
        <v>305</v>
      </c>
      <c r="F226" s="69">
        <v>21</v>
      </c>
    </row>
    <row r="227" spans="2:6" s="247" customFormat="1" x14ac:dyDescent="0.25">
      <c r="B227" s="248" t="s">
        <v>448</v>
      </c>
      <c r="C227" s="66"/>
      <c r="D227" s="67" t="s">
        <v>750</v>
      </c>
      <c r="E227" s="67"/>
      <c r="F227" s="67"/>
    </row>
    <row r="228" spans="2:6" s="247" customFormat="1" x14ac:dyDescent="0.25">
      <c r="B228" s="249" t="s">
        <v>1677</v>
      </c>
      <c r="C228" s="69" t="s">
        <v>303</v>
      </c>
      <c r="D228" s="238" t="s">
        <v>588</v>
      </c>
      <c r="E228" s="82" t="s">
        <v>305</v>
      </c>
      <c r="F228" s="249">
        <v>15</v>
      </c>
    </row>
    <row r="229" spans="2:6" s="247" customFormat="1" x14ac:dyDescent="0.25">
      <c r="B229" s="249" t="s">
        <v>1678</v>
      </c>
      <c r="C229" s="69" t="s">
        <v>303</v>
      </c>
      <c r="D229" s="238" t="s">
        <v>590</v>
      </c>
      <c r="E229" s="82" t="s">
        <v>305</v>
      </c>
      <c r="F229" s="249">
        <v>15</v>
      </c>
    </row>
    <row r="230" spans="2:6" s="247" customFormat="1" x14ac:dyDescent="0.25">
      <c r="B230" s="249" t="s">
        <v>1679</v>
      </c>
      <c r="C230" s="69" t="s">
        <v>303</v>
      </c>
      <c r="D230" s="238" t="s">
        <v>592</v>
      </c>
      <c r="E230" s="82" t="s">
        <v>305</v>
      </c>
      <c r="F230" s="249">
        <v>15</v>
      </c>
    </row>
    <row r="231" spans="2:6" s="247" customFormat="1" x14ac:dyDescent="0.25">
      <c r="B231" s="249" t="s">
        <v>1680</v>
      </c>
      <c r="C231" s="69" t="s">
        <v>303</v>
      </c>
      <c r="D231" s="238" t="s">
        <v>681</v>
      </c>
      <c r="E231" s="82" t="s">
        <v>305</v>
      </c>
      <c r="F231" s="249">
        <v>15</v>
      </c>
    </row>
    <row r="232" spans="2:6" s="247" customFormat="1" x14ac:dyDescent="0.25">
      <c r="B232" s="249" t="s">
        <v>1681</v>
      </c>
      <c r="C232" s="69" t="s">
        <v>303</v>
      </c>
      <c r="D232" s="238" t="s">
        <v>756</v>
      </c>
      <c r="E232" s="82" t="s">
        <v>305</v>
      </c>
      <c r="F232" s="249">
        <v>15</v>
      </c>
    </row>
    <row r="233" spans="2:6" s="247" customFormat="1" x14ac:dyDescent="0.25">
      <c r="B233" s="249" t="s">
        <v>1682</v>
      </c>
      <c r="C233" s="69" t="s">
        <v>303</v>
      </c>
      <c r="D233" s="238" t="s">
        <v>758</v>
      </c>
      <c r="E233" s="82" t="s">
        <v>305</v>
      </c>
      <c r="F233" s="249">
        <v>15</v>
      </c>
    </row>
    <row r="234" spans="2:6" s="247" customFormat="1" x14ac:dyDescent="0.25">
      <c r="B234" s="249" t="s">
        <v>1683</v>
      </c>
      <c r="C234" s="69" t="s">
        <v>303</v>
      </c>
      <c r="D234" s="238" t="s">
        <v>760</v>
      </c>
      <c r="E234" s="82" t="s">
        <v>305</v>
      </c>
      <c r="F234" s="249">
        <v>15</v>
      </c>
    </row>
    <row r="235" spans="2:6" s="247" customFormat="1" x14ac:dyDescent="0.25">
      <c r="B235" s="249" t="s">
        <v>1684</v>
      </c>
      <c r="C235" s="69" t="s">
        <v>303</v>
      </c>
      <c r="D235" s="238" t="s">
        <v>601</v>
      </c>
      <c r="E235" s="82" t="s">
        <v>305</v>
      </c>
      <c r="F235" s="249">
        <v>15</v>
      </c>
    </row>
    <row r="236" spans="2:6" s="247" customFormat="1" x14ac:dyDescent="0.25">
      <c r="B236" s="249" t="s">
        <v>1685</v>
      </c>
      <c r="C236" s="69" t="s">
        <v>303</v>
      </c>
      <c r="D236" s="238" t="s">
        <v>763</v>
      </c>
      <c r="E236" s="82" t="s">
        <v>305</v>
      </c>
      <c r="F236" s="249">
        <v>15</v>
      </c>
    </row>
    <row r="237" spans="2:6" s="247" customFormat="1" x14ac:dyDescent="0.25">
      <c r="B237" s="249" t="s">
        <v>1686</v>
      </c>
      <c r="C237" s="69" t="s">
        <v>303</v>
      </c>
      <c r="D237" s="238" t="s">
        <v>765</v>
      </c>
      <c r="E237" s="82" t="s">
        <v>305</v>
      </c>
      <c r="F237" s="249">
        <v>15</v>
      </c>
    </row>
    <row r="238" spans="2:6" s="247" customFormat="1" x14ac:dyDescent="0.25">
      <c r="B238" s="249" t="s">
        <v>1687</v>
      </c>
      <c r="C238" s="69" t="s">
        <v>303</v>
      </c>
      <c r="D238" s="238" t="s">
        <v>588</v>
      </c>
      <c r="E238" s="82" t="s">
        <v>305</v>
      </c>
      <c r="F238" s="249">
        <v>15</v>
      </c>
    </row>
    <row r="239" spans="2:6" s="247" customFormat="1" x14ac:dyDescent="0.25">
      <c r="B239" s="249" t="s">
        <v>1688</v>
      </c>
      <c r="C239" s="69" t="s">
        <v>303</v>
      </c>
      <c r="D239" s="238" t="s">
        <v>608</v>
      </c>
      <c r="E239" s="82" t="s">
        <v>305</v>
      </c>
      <c r="F239" s="249">
        <v>15</v>
      </c>
    </row>
    <row r="240" spans="2:6" s="247" customFormat="1" x14ac:dyDescent="0.25">
      <c r="B240" s="249" t="s">
        <v>1689</v>
      </c>
      <c r="C240" s="69" t="s">
        <v>303</v>
      </c>
      <c r="D240" s="238" t="s">
        <v>590</v>
      </c>
      <c r="E240" s="82" t="s">
        <v>305</v>
      </c>
      <c r="F240" s="249">
        <v>15</v>
      </c>
    </row>
    <row r="241" spans="2:6" s="247" customFormat="1" x14ac:dyDescent="0.25">
      <c r="B241" s="249" t="s">
        <v>1690</v>
      </c>
      <c r="C241" s="69" t="s">
        <v>303</v>
      </c>
      <c r="D241" s="238" t="s">
        <v>611</v>
      </c>
      <c r="E241" s="82" t="s">
        <v>305</v>
      </c>
      <c r="F241" s="249">
        <v>15</v>
      </c>
    </row>
    <row r="242" spans="2:6" s="247" customFormat="1" x14ac:dyDescent="0.25">
      <c r="B242" s="249" t="s">
        <v>1691</v>
      </c>
      <c r="C242" s="69" t="s">
        <v>303</v>
      </c>
      <c r="D242" s="238" t="s">
        <v>613</v>
      </c>
      <c r="E242" s="82" t="s">
        <v>305</v>
      </c>
      <c r="F242" s="249">
        <v>15</v>
      </c>
    </row>
    <row r="243" spans="2:6" s="247" customFormat="1" x14ac:dyDescent="0.25">
      <c r="B243" s="249" t="s">
        <v>1692</v>
      </c>
      <c r="C243" s="69" t="s">
        <v>303</v>
      </c>
      <c r="D243" s="238" t="s">
        <v>772</v>
      </c>
      <c r="E243" s="82" t="s">
        <v>305</v>
      </c>
      <c r="F243" s="249">
        <v>15</v>
      </c>
    </row>
    <row r="244" spans="2:6" s="247" customFormat="1" x14ac:dyDescent="0.25">
      <c r="B244" s="249" t="s">
        <v>1693</v>
      </c>
      <c r="C244" s="69" t="s">
        <v>303</v>
      </c>
      <c r="D244" s="238" t="s">
        <v>617</v>
      </c>
      <c r="E244" s="82" t="s">
        <v>305</v>
      </c>
      <c r="F244" s="249">
        <v>15</v>
      </c>
    </row>
    <row r="245" spans="2:6" s="247" customFormat="1" x14ac:dyDescent="0.25">
      <c r="B245" s="249" t="s">
        <v>1694</v>
      </c>
      <c r="C245" s="69" t="s">
        <v>303</v>
      </c>
      <c r="D245" s="238" t="s">
        <v>775</v>
      </c>
      <c r="E245" s="82" t="s">
        <v>305</v>
      </c>
      <c r="F245" s="249">
        <v>15</v>
      </c>
    </row>
    <row r="246" spans="2:6" s="247" customFormat="1" x14ac:dyDescent="0.25">
      <c r="B246" s="249" t="s">
        <v>1695</v>
      </c>
      <c r="C246" s="69" t="s">
        <v>303</v>
      </c>
      <c r="D246" s="238" t="s">
        <v>621</v>
      </c>
      <c r="E246" s="82" t="s">
        <v>305</v>
      </c>
      <c r="F246" s="249">
        <v>15</v>
      </c>
    </row>
    <row r="247" spans="2:6" s="247" customFormat="1" x14ac:dyDescent="0.25">
      <c r="B247" s="249" t="s">
        <v>1696</v>
      </c>
      <c r="C247" s="69" t="s">
        <v>303</v>
      </c>
      <c r="D247" s="238" t="s">
        <v>623</v>
      </c>
      <c r="E247" s="82" t="s">
        <v>305</v>
      </c>
      <c r="F247" s="249">
        <v>15</v>
      </c>
    </row>
    <row r="248" spans="2:6" s="247" customFormat="1" x14ac:dyDescent="0.25">
      <c r="B248" s="249" t="s">
        <v>1697</v>
      </c>
      <c r="C248" s="69" t="s">
        <v>303</v>
      </c>
      <c r="D248" s="238" t="s">
        <v>550</v>
      </c>
      <c r="E248" s="82" t="s">
        <v>305</v>
      </c>
      <c r="F248" s="249">
        <v>15</v>
      </c>
    </row>
    <row r="249" spans="2:6" s="247" customFormat="1" x14ac:dyDescent="0.25">
      <c r="B249" s="249" t="s">
        <v>1698</v>
      </c>
      <c r="C249" s="69" t="s">
        <v>303</v>
      </c>
      <c r="D249" s="238" t="s">
        <v>626</v>
      </c>
      <c r="E249" s="82" t="s">
        <v>305</v>
      </c>
      <c r="F249" s="249">
        <v>15</v>
      </c>
    </row>
    <row r="250" spans="2:6" s="247" customFormat="1" x14ac:dyDescent="0.25">
      <c r="B250" s="249" t="s">
        <v>1699</v>
      </c>
      <c r="C250" s="69" t="s">
        <v>303</v>
      </c>
      <c r="D250" s="238" t="s">
        <v>628</v>
      </c>
      <c r="E250" s="82" t="s">
        <v>305</v>
      </c>
      <c r="F250" s="249">
        <v>15</v>
      </c>
    </row>
    <row r="251" spans="2:6" s="247" customFormat="1" x14ac:dyDescent="0.25">
      <c r="B251" s="249" t="s">
        <v>1700</v>
      </c>
      <c r="C251" s="69" t="s">
        <v>303</v>
      </c>
      <c r="D251" s="238" t="s">
        <v>630</v>
      </c>
      <c r="E251" s="82" t="s">
        <v>305</v>
      </c>
      <c r="F251" s="249">
        <v>15</v>
      </c>
    </row>
    <row r="252" spans="2:6" s="247" customFormat="1" x14ac:dyDescent="0.25">
      <c r="B252" s="249" t="s">
        <v>1701</v>
      </c>
      <c r="C252" s="69" t="s">
        <v>303</v>
      </c>
      <c r="D252" s="238" t="s">
        <v>632</v>
      </c>
      <c r="E252" s="82" t="s">
        <v>305</v>
      </c>
      <c r="F252" s="249">
        <v>15</v>
      </c>
    </row>
    <row r="253" spans="2:6" s="247" customFormat="1" x14ac:dyDescent="0.25">
      <c r="B253" s="249" t="s">
        <v>1702</v>
      </c>
      <c r="C253" s="69" t="s">
        <v>303</v>
      </c>
      <c r="D253" s="238" t="s">
        <v>634</v>
      </c>
      <c r="E253" s="82" t="s">
        <v>305</v>
      </c>
      <c r="F253" s="249">
        <v>15</v>
      </c>
    </row>
    <row r="254" spans="2:6" s="247" customFormat="1" x14ac:dyDescent="0.25">
      <c r="B254" s="249" t="s">
        <v>1703</v>
      </c>
      <c r="C254" s="69" t="s">
        <v>303</v>
      </c>
      <c r="D254" s="238" t="s">
        <v>636</v>
      </c>
      <c r="E254" s="82" t="s">
        <v>305</v>
      </c>
      <c r="F254" s="249">
        <v>15</v>
      </c>
    </row>
    <row r="255" spans="2:6" s="247" customFormat="1" x14ac:dyDescent="0.25">
      <c r="B255" s="249" t="s">
        <v>1704</v>
      </c>
      <c r="C255" s="69" t="s">
        <v>303</v>
      </c>
      <c r="D255" s="238" t="s">
        <v>638</v>
      </c>
      <c r="E255" s="82" t="s">
        <v>305</v>
      </c>
      <c r="F255" s="249">
        <v>15</v>
      </c>
    </row>
    <row r="256" spans="2:6" s="247" customFormat="1" x14ac:dyDescent="0.25">
      <c r="B256" s="249" t="s">
        <v>1705</v>
      </c>
      <c r="C256" s="69" t="s">
        <v>303</v>
      </c>
      <c r="D256" s="238" t="s">
        <v>787</v>
      </c>
      <c r="E256" s="82" t="s">
        <v>305</v>
      </c>
      <c r="F256" s="249">
        <v>15</v>
      </c>
    </row>
    <row r="257" spans="2:6" s="247" customFormat="1" x14ac:dyDescent="0.25">
      <c r="B257" s="249" t="s">
        <v>1706</v>
      </c>
      <c r="C257" s="69" t="s">
        <v>303</v>
      </c>
      <c r="D257" s="238" t="s">
        <v>641</v>
      </c>
      <c r="E257" s="82" t="s">
        <v>305</v>
      </c>
      <c r="F257" s="249">
        <v>15</v>
      </c>
    </row>
    <row r="258" spans="2:6" s="247" customFormat="1" x14ac:dyDescent="0.25">
      <c r="B258" s="249" t="s">
        <v>1707</v>
      </c>
      <c r="C258" s="69" t="s">
        <v>303</v>
      </c>
      <c r="D258" s="238" t="s">
        <v>643</v>
      </c>
      <c r="E258" s="82" t="s">
        <v>305</v>
      </c>
      <c r="F258" s="249">
        <v>15</v>
      </c>
    </row>
    <row r="259" spans="2:6" s="247" customFormat="1" x14ac:dyDescent="0.25">
      <c r="B259" s="249" t="s">
        <v>1708</v>
      </c>
      <c r="C259" s="69" t="s">
        <v>303</v>
      </c>
      <c r="D259" s="238" t="s">
        <v>645</v>
      </c>
      <c r="E259" s="82" t="s">
        <v>305</v>
      </c>
      <c r="F259" s="249">
        <v>15</v>
      </c>
    </row>
    <row r="260" spans="2:6" s="247" customFormat="1" x14ac:dyDescent="0.25">
      <c r="B260" s="248" t="s">
        <v>450</v>
      </c>
      <c r="C260" s="66"/>
      <c r="D260" s="67" t="s">
        <v>792</v>
      </c>
      <c r="E260" s="67"/>
      <c r="F260" s="67"/>
    </row>
    <row r="261" spans="2:6" s="247" customFormat="1" x14ac:dyDescent="0.25">
      <c r="B261" s="249" t="s">
        <v>1709</v>
      </c>
      <c r="C261" s="69" t="s">
        <v>303</v>
      </c>
      <c r="D261" s="238" t="s">
        <v>727</v>
      </c>
      <c r="E261" s="82" t="s">
        <v>305</v>
      </c>
      <c r="F261" s="249">
        <v>15</v>
      </c>
    </row>
    <row r="262" spans="2:6" s="247" customFormat="1" x14ac:dyDescent="0.25">
      <c r="B262" s="249" t="s">
        <v>1710</v>
      </c>
      <c r="C262" s="69" t="s">
        <v>303</v>
      </c>
      <c r="D262" s="273" t="s">
        <v>651</v>
      </c>
      <c r="E262" s="82" t="s">
        <v>305</v>
      </c>
      <c r="F262" s="249">
        <v>15</v>
      </c>
    </row>
    <row r="263" spans="2:6" s="247" customFormat="1" x14ac:dyDescent="0.25">
      <c r="B263" s="249" t="s">
        <v>1711</v>
      </c>
      <c r="C263" s="69" t="s">
        <v>303</v>
      </c>
      <c r="D263" s="273" t="s">
        <v>796</v>
      </c>
      <c r="E263" s="82" t="s">
        <v>305</v>
      </c>
      <c r="F263" s="249">
        <v>15</v>
      </c>
    </row>
    <row r="264" spans="2:6" s="247" customFormat="1" x14ac:dyDescent="0.25">
      <c r="B264" s="249" t="s">
        <v>1712</v>
      </c>
      <c r="C264" s="69" t="s">
        <v>303</v>
      </c>
      <c r="D264" s="273" t="s">
        <v>798</v>
      </c>
      <c r="E264" s="82" t="s">
        <v>305</v>
      </c>
      <c r="F264" s="249">
        <v>15</v>
      </c>
    </row>
    <row r="265" spans="2:6" s="247" customFormat="1" x14ac:dyDescent="0.25">
      <c r="B265" s="249" t="s">
        <v>1713</v>
      </c>
      <c r="C265" s="69" t="s">
        <v>303</v>
      </c>
      <c r="D265" s="273" t="s">
        <v>800</v>
      </c>
      <c r="E265" s="82" t="s">
        <v>305</v>
      </c>
      <c r="F265" s="249">
        <v>15</v>
      </c>
    </row>
    <row r="266" spans="2:6" s="247" customFormat="1" x14ac:dyDescent="0.25">
      <c r="B266" s="249" t="s">
        <v>1714</v>
      </c>
      <c r="C266" s="69" t="s">
        <v>303</v>
      </c>
      <c r="D266" s="238" t="s">
        <v>802</v>
      </c>
      <c r="E266" s="82" t="s">
        <v>305</v>
      </c>
      <c r="F266" s="249">
        <v>15</v>
      </c>
    </row>
    <row r="267" spans="2:6" s="247" customFormat="1" x14ac:dyDescent="0.25">
      <c r="B267" s="249" t="s">
        <v>1715</v>
      </c>
      <c r="C267" s="69" t="s">
        <v>303</v>
      </c>
      <c r="D267" s="238" t="s">
        <v>804</v>
      </c>
      <c r="E267" s="82" t="s">
        <v>305</v>
      </c>
      <c r="F267" s="249">
        <v>15</v>
      </c>
    </row>
    <row r="268" spans="2:6" s="247" customFormat="1" x14ac:dyDescent="0.25">
      <c r="B268" s="249" t="s">
        <v>1716</v>
      </c>
      <c r="C268" s="69" t="s">
        <v>303</v>
      </c>
      <c r="D268" s="238" t="s">
        <v>806</v>
      </c>
      <c r="E268" s="82" t="s">
        <v>305</v>
      </c>
      <c r="F268" s="249">
        <v>15</v>
      </c>
    </row>
    <row r="269" spans="2:6" s="247" customFormat="1" x14ac:dyDescent="0.25">
      <c r="B269" s="249" t="s">
        <v>1717</v>
      </c>
      <c r="C269" s="69" t="s">
        <v>303</v>
      </c>
      <c r="D269" s="238" t="s">
        <v>808</v>
      </c>
      <c r="E269" s="82" t="s">
        <v>305</v>
      </c>
      <c r="F269" s="249">
        <v>15</v>
      </c>
    </row>
    <row r="270" spans="2:6" s="247" customFormat="1" x14ac:dyDescent="0.25">
      <c r="B270" s="249" t="s">
        <v>1718</v>
      </c>
      <c r="C270" s="69" t="s">
        <v>303</v>
      </c>
      <c r="D270" s="238" t="s">
        <v>810</v>
      </c>
      <c r="E270" s="82" t="s">
        <v>305</v>
      </c>
      <c r="F270" s="249">
        <v>15</v>
      </c>
    </row>
    <row r="271" spans="2:6" s="247" customFormat="1" x14ac:dyDescent="0.25">
      <c r="B271" s="249" t="s">
        <v>1719</v>
      </c>
      <c r="C271" s="69" t="s">
        <v>303</v>
      </c>
      <c r="D271" s="238" t="s">
        <v>812</v>
      </c>
      <c r="E271" s="82" t="s">
        <v>305</v>
      </c>
      <c r="F271" s="249">
        <v>15</v>
      </c>
    </row>
    <row r="272" spans="2:6" s="247" customFormat="1" x14ac:dyDescent="0.25">
      <c r="B272" s="249" t="s">
        <v>1720</v>
      </c>
      <c r="C272" s="69" t="s">
        <v>303</v>
      </c>
      <c r="D272" s="238" t="s">
        <v>670</v>
      </c>
      <c r="E272" s="82" t="s">
        <v>305</v>
      </c>
      <c r="F272" s="249">
        <v>15</v>
      </c>
    </row>
    <row r="273" spans="2:6" s="247" customFormat="1" x14ac:dyDescent="0.25">
      <c r="B273" s="249" t="s">
        <v>1721</v>
      </c>
      <c r="C273" s="69" t="s">
        <v>303</v>
      </c>
      <c r="D273" s="238" t="s">
        <v>745</v>
      </c>
      <c r="E273" s="82" t="s">
        <v>305</v>
      </c>
      <c r="F273" s="249">
        <v>15</v>
      </c>
    </row>
    <row r="274" spans="2:6" s="247" customFormat="1" x14ac:dyDescent="0.25">
      <c r="B274" s="249" t="s">
        <v>1722</v>
      </c>
      <c r="C274" s="69" t="s">
        <v>303</v>
      </c>
      <c r="D274" s="238" t="s">
        <v>673</v>
      </c>
      <c r="E274" s="82" t="s">
        <v>305</v>
      </c>
      <c r="F274" s="249">
        <v>15</v>
      </c>
    </row>
    <row r="275" spans="2:6" s="247" customFormat="1" x14ac:dyDescent="0.25">
      <c r="B275" s="66" t="s">
        <v>452</v>
      </c>
      <c r="C275" s="66"/>
      <c r="D275" s="250" t="s">
        <v>873</v>
      </c>
      <c r="E275" s="67"/>
      <c r="F275" s="67"/>
    </row>
    <row r="276" spans="2:6" s="247" customFormat="1" x14ac:dyDescent="0.25">
      <c r="B276" s="69" t="s">
        <v>1723</v>
      </c>
      <c r="C276" s="69" t="s">
        <v>303</v>
      </c>
      <c r="D276" s="238" t="s">
        <v>819</v>
      </c>
      <c r="E276" s="82" t="s">
        <v>305</v>
      </c>
      <c r="F276" s="249">
        <v>21</v>
      </c>
    </row>
    <row r="277" spans="2:6" s="247" customFormat="1" x14ac:dyDescent="0.25">
      <c r="B277" s="69" t="s">
        <v>1724</v>
      </c>
      <c r="C277" s="69" t="s">
        <v>303</v>
      </c>
      <c r="D277" s="238" t="s">
        <v>821</v>
      </c>
      <c r="E277" s="82" t="s">
        <v>305</v>
      </c>
      <c r="F277" s="249">
        <v>21</v>
      </c>
    </row>
    <row r="278" spans="2:6" s="247" customFormat="1" x14ac:dyDescent="0.25">
      <c r="B278" s="69" t="s">
        <v>1725</v>
      </c>
      <c r="C278" s="69" t="s">
        <v>303</v>
      </c>
      <c r="D278" s="238" t="s">
        <v>823</v>
      </c>
      <c r="E278" s="82" t="s">
        <v>305</v>
      </c>
      <c r="F278" s="249">
        <v>21</v>
      </c>
    </row>
    <row r="279" spans="2:6" s="247" customFormat="1" x14ac:dyDescent="0.25">
      <c r="B279" s="69" t="s">
        <v>1726</v>
      </c>
      <c r="C279" s="69" t="s">
        <v>303</v>
      </c>
      <c r="D279" s="238" t="s">
        <v>825</v>
      </c>
      <c r="E279" s="82" t="s">
        <v>305</v>
      </c>
      <c r="F279" s="249">
        <v>21</v>
      </c>
    </row>
    <row r="280" spans="2:6" s="247" customFormat="1" x14ac:dyDescent="0.25">
      <c r="B280" s="69" t="s">
        <v>1727</v>
      </c>
      <c r="C280" s="69" t="s">
        <v>303</v>
      </c>
      <c r="D280" s="238" t="s">
        <v>638</v>
      </c>
      <c r="E280" s="82" t="s">
        <v>305</v>
      </c>
      <c r="F280" s="249">
        <v>21</v>
      </c>
    </row>
    <row r="281" spans="2:6" s="247" customFormat="1" x14ac:dyDescent="0.25">
      <c r="B281" s="69" t="s">
        <v>1728</v>
      </c>
      <c r="C281" s="69" t="s">
        <v>303</v>
      </c>
      <c r="D281" s="238" t="s">
        <v>479</v>
      </c>
      <c r="E281" s="82" t="s">
        <v>305</v>
      </c>
      <c r="F281" s="249">
        <v>21</v>
      </c>
    </row>
    <row r="282" spans="2:6" s="247" customFormat="1" x14ac:dyDescent="0.25">
      <c r="B282" s="69" t="s">
        <v>1729</v>
      </c>
      <c r="C282" s="69" t="s">
        <v>303</v>
      </c>
      <c r="D282" s="238" t="s">
        <v>829</v>
      </c>
      <c r="E282" s="82" t="s">
        <v>305</v>
      </c>
      <c r="F282" s="249">
        <v>21</v>
      </c>
    </row>
    <row r="283" spans="2:6" s="247" customFormat="1" x14ac:dyDescent="0.25">
      <c r="B283" s="69" t="s">
        <v>1730</v>
      </c>
      <c r="C283" s="69" t="s">
        <v>303</v>
      </c>
      <c r="D283" s="238" t="s">
        <v>831</v>
      </c>
      <c r="E283" s="82" t="s">
        <v>305</v>
      </c>
      <c r="F283" s="249">
        <v>21</v>
      </c>
    </row>
    <row r="284" spans="2:6" s="247" customFormat="1" x14ac:dyDescent="0.25">
      <c r="B284" s="69" t="s">
        <v>1731</v>
      </c>
      <c r="C284" s="69" t="s">
        <v>303</v>
      </c>
      <c r="D284" s="238" t="s">
        <v>638</v>
      </c>
      <c r="E284" s="82" t="s">
        <v>305</v>
      </c>
      <c r="F284" s="249">
        <v>21</v>
      </c>
    </row>
    <row r="285" spans="2:6" s="247" customFormat="1" x14ac:dyDescent="0.25">
      <c r="B285" s="69" t="s">
        <v>1732</v>
      </c>
      <c r="C285" s="69" t="s">
        <v>303</v>
      </c>
      <c r="D285" s="238" t="s">
        <v>834</v>
      </c>
      <c r="E285" s="82" t="s">
        <v>305</v>
      </c>
      <c r="F285" s="249">
        <v>21</v>
      </c>
    </row>
    <row r="286" spans="2:6" s="247" customFormat="1" x14ac:dyDescent="0.25">
      <c r="B286" s="69" t="s">
        <v>1733</v>
      </c>
      <c r="C286" s="69" t="s">
        <v>303</v>
      </c>
      <c r="D286" s="238" t="s">
        <v>836</v>
      </c>
      <c r="E286" s="82" t="s">
        <v>305</v>
      </c>
      <c r="F286" s="249">
        <v>21</v>
      </c>
    </row>
    <row r="287" spans="2:6" s="247" customFormat="1" x14ac:dyDescent="0.25">
      <c r="B287" s="69" t="s">
        <v>1734</v>
      </c>
      <c r="C287" s="69" t="s">
        <v>303</v>
      </c>
      <c r="D287" s="238" t="s">
        <v>838</v>
      </c>
      <c r="E287" s="82" t="s">
        <v>305</v>
      </c>
      <c r="F287" s="249">
        <v>21</v>
      </c>
    </row>
    <row r="288" spans="2:6" s="247" customFormat="1" x14ac:dyDescent="0.25">
      <c r="B288" s="69" t="s">
        <v>1735</v>
      </c>
      <c r="C288" s="69" t="s">
        <v>303</v>
      </c>
      <c r="D288" s="238" t="s">
        <v>840</v>
      </c>
      <c r="E288" s="82" t="s">
        <v>305</v>
      </c>
      <c r="F288" s="249">
        <v>21</v>
      </c>
    </row>
    <row r="289" spans="2:6" s="247" customFormat="1" x14ac:dyDescent="0.25">
      <c r="B289" s="69" t="s">
        <v>1736</v>
      </c>
      <c r="C289" s="69" t="s">
        <v>303</v>
      </c>
      <c r="D289" s="238" t="s">
        <v>842</v>
      </c>
      <c r="E289" s="82" t="s">
        <v>305</v>
      </c>
      <c r="F289" s="249">
        <v>21</v>
      </c>
    </row>
    <row r="290" spans="2:6" s="247" customFormat="1" x14ac:dyDescent="0.25">
      <c r="B290" s="69" t="s">
        <v>1737</v>
      </c>
      <c r="C290" s="69" t="s">
        <v>303</v>
      </c>
      <c r="D290" s="238" t="s">
        <v>844</v>
      </c>
      <c r="E290" s="82" t="s">
        <v>305</v>
      </c>
      <c r="F290" s="249">
        <v>21</v>
      </c>
    </row>
    <row r="291" spans="2:6" s="247" customFormat="1" x14ac:dyDescent="0.25">
      <c r="B291" s="69" t="s">
        <v>1738</v>
      </c>
      <c r="C291" s="69" t="s">
        <v>303</v>
      </c>
      <c r="D291" s="238" t="s">
        <v>846</v>
      </c>
      <c r="E291" s="82" t="s">
        <v>305</v>
      </c>
      <c r="F291" s="249">
        <v>21</v>
      </c>
    </row>
    <row r="292" spans="2:6" s="247" customFormat="1" x14ac:dyDescent="0.25">
      <c r="B292" s="69" t="s">
        <v>1739</v>
      </c>
      <c r="C292" s="69" t="s">
        <v>303</v>
      </c>
      <c r="D292" s="238" t="s">
        <v>848</v>
      </c>
      <c r="E292" s="82" t="s">
        <v>305</v>
      </c>
      <c r="F292" s="249">
        <v>21</v>
      </c>
    </row>
    <row r="293" spans="2:6" s="247" customFormat="1" x14ac:dyDescent="0.25">
      <c r="B293" s="69" t="s">
        <v>1740</v>
      </c>
      <c r="C293" s="69" t="s">
        <v>303</v>
      </c>
      <c r="D293" s="238" t="s">
        <v>850</v>
      </c>
      <c r="E293" s="82" t="s">
        <v>305</v>
      </c>
      <c r="F293" s="249">
        <v>21</v>
      </c>
    </row>
    <row r="294" spans="2:6" s="247" customFormat="1" x14ac:dyDescent="0.25">
      <c r="B294" s="69" t="s">
        <v>1741</v>
      </c>
      <c r="C294" s="69" t="s">
        <v>303</v>
      </c>
      <c r="D294" s="238" t="s">
        <v>852</v>
      </c>
      <c r="E294" s="82" t="s">
        <v>305</v>
      </c>
      <c r="F294" s="249">
        <v>21</v>
      </c>
    </row>
    <row r="295" spans="2:6" s="247" customFormat="1" x14ac:dyDescent="0.25">
      <c r="B295" s="69" t="s">
        <v>1742</v>
      </c>
      <c r="C295" s="69" t="s">
        <v>303</v>
      </c>
      <c r="D295" s="238" t="s">
        <v>854</v>
      </c>
      <c r="E295" s="82" t="s">
        <v>305</v>
      </c>
      <c r="F295" s="249">
        <v>21</v>
      </c>
    </row>
    <row r="296" spans="2:6" s="247" customFormat="1" x14ac:dyDescent="0.25">
      <c r="B296" s="69" t="s">
        <v>1743</v>
      </c>
      <c r="C296" s="69" t="s">
        <v>303</v>
      </c>
      <c r="D296" s="238" t="s">
        <v>856</v>
      </c>
      <c r="E296" s="82" t="s">
        <v>305</v>
      </c>
      <c r="F296" s="249">
        <v>21</v>
      </c>
    </row>
    <row r="297" spans="2:6" s="247" customFormat="1" x14ac:dyDescent="0.25">
      <c r="B297" s="69" t="s">
        <v>2012</v>
      </c>
      <c r="C297" s="69" t="s">
        <v>303</v>
      </c>
      <c r="D297" s="238" t="s">
        <v>896</v>
      </c>
      <c r="E297" s="69" t="s">
        <v>305</v>
      </c>
      <c r="F297" s="249">
        <v>21</v>
      </c>
    </row>
    <row r="298" spans="2:6" s="247" customFormat="1" x14ac:dyDescent="0.25">
      <c r="B298" s="69" t="s">
        <v>2013</v>
      </c>
      <c r="C298" s="69" t="s">
        <v>303</v>
      </c>
      <c r="D298" s="238" t="s">
        <v>898</v>
      </c>
      <c r="E298" s="69" t="s">
        <v>305</v>
      </c>
      <c r="F298" s="249">
        <v>21</v>
      </c>
    </row>
    <row r="299" spans="2:6" s="247" customFormat="1" x14ac:dyDescent="0.25">
      <c r="B299" s="66" t="s">
        <v>454</v>
      </c>
      <c r="C299" s="66"/>
      <c r="D299" s="250" t="s">
        <v>900</v>
      </c>
      <c r="E299" s="67"/>
      <c r="F299" s="67"/>
    </row>
    <row r="300" spans="2:6" s="247" customFormat="1" x14ac:dyDescent="0.25">
      <c r="B300" s="69" t="s">
        <v>1744</v>
      </c>
      <c r="C300" s="69" t="s">
        <v>303</v>
      </c>
      <c r="D300" s="238" t="s">
        <v>651</v>
      </c>
      <c r="E300" s="82" t="s">
        <v>305</v>
      </c>
      <c r="F300" s="249">
        <v>21</v>
      </c>
    </row>
    <row r="301" spans="2:6" s="247" customFormat="1" x14ac:dyDescent="0.25">
      <c r="B301" s="69" t="s">
        <v>1745</v>
      </c>
      <c r="C301" s="69" t="s">
        <v>303</v>
      </c>
      <c r="D301" s="238" t="s">
        <v>903</v>
      </c>
      <c r="E301" s="69" t="s">
        <v>305</v>
      </c>
      <c r="F301" s="249">
        <v>21</v>
      </c>
    </row>
    <row r="302" spans="2:6" s="247" customFormat="1" x14ac:dyDescent="0.25">
      <c r="B302" s="69" t="s">
        <v>1746</v>
      </c>
      <c r="C302" s="69" t="s">
        <v>303</v>
      </c>
      <c r="D302" s="238" t="s">
        <v>905</v>
      </c>
      <c r="E302" s="82" t="s">
        <v>305</v>
      </c>
      <c r="F302" s="249">
        <v>21</v>
      </c>
    </row>
    <row r="303" spans="2:6" s="247" customFormat="1" x14ac:dyDescent="0.25">
      <c r="B303" s="69" t="s">
        <v>1747</v>
      </c>
      <c r="C303" s="69" t="s">
        <v>303</v>
      </c>
      <c r="D303" s="238" t="s">
        <v>865</v>
      </c>
      <c r="E303" s="82" t="s">
        <v>305</v>
      </c>
      <c r="F303" s="249">
        <v>21</v>
      </c>
    </row>
    <row r="304" spans="2:6" s="247" customFormat="1" x14ac:dyDescent="0.25">
      <c r="B304" s="69" t="s">
        <v>1748</v>
      </c>
      <c r="C304" s="69" t="s">
        <v>303</v>
      </c>
      <c r="D304" s="238" t="s">
        <v>867</v>
      </c>
      <c r="E304" s="82" t="s">
        <v>305</v>
      </c>
      <c r="F304" s="249">
        <v>21</v>
      </c>
    </row>
    <row r="305" spans="2:6" s="247" customFormat="1" x14ac:dyDescent="0.25">
      <c r="B305" s="69" t="s">
        <v>1749</v>
      </c>
      <c r="C305" s="69" t="s">
        <v>303</v>
      </c>
      <c r="D305" s="238" t="s">
        <v>869</v>
      </c>
      <c r="E305" s="82" t="s">
        <v>305</v>
      </c>
      <c r="F305" s="249">
        <v>21</v>
      </c>
    </row>
    <row r="306" spans="2:6" s="247" customFormat="1" x14ac:dyDescent="0.25">
      <c r="B306" s="69" t="s">
        <v>1750</v>
      </c>
      <c r="C306" s="69" t="s">
        <v>303</v>
      </c>
      <c r="D306" s="238" t="s">
        <v>910</v>
      </c>
      <c r="E306" s="82" t="s">
        <v>305</v>
      </c>
      <c r="F306" s="249">
        <v>21</v>
      </c>
    </row>
    <row r="307" spans="2:6" s="247" customFormat="1" x14ac:dyDescent="0.25">
      <c r="B307" s="66" t="s">
        <v>456</v>
      </c>
      <c r="C307" s="66"/>
      <c r="D307" s="250" t="s">
        <v>2401</v>
      </c>
      <c r="E307" s="67"/>
      <c r="F307" s="67"/>
    </row>
    <row r="308" spans="2:6" s="247" customFormat="1" ht="15.75" customHeight="1" x14ac:dyDescent="0.25">
      <c r="B308" s="69" t="s">
        <v>1751</v>
      </c>
      <c r="C308" s="69" t="s">
        <v>303</v>
      </c>
      <c r="D308" s="238" t="s">
        <v>947</v>
      </c>
      <c r="E308" s="82" t="s">
        <v>305</v>
      </c>
      <c r="F308" s="249">
        <v>21</v>
      </c>
    </row>
    <row r="309" spans="2:6" s="247" customFormat="1" x14ac:dyDescent="0.25">
      <c r="B309" s="69" t="s">
        <v>1752</v>
      </c>
      <c r="C309" s="69" t="s">
        <v>303</v>
      </c>
      <c r="D309" s="238" t="s">
        <v>949</v>
      </c>
      <c r="E309" s="82" t="s">
        <v>305</v>
      </c>
      <c r="F309" s="249">
        <v>21</v>
      </c>
    </row>
    <row r="310" spans="2:6" s="247" customFormat="1" x14ac:dyDescent="0.25">
      <c r="B310" s="69" t="s">
        <v>1753</v>
      </c>
      <c r="C310" s="69" t="s">
        <v>303</v>
      </c>
      <c r="D310" s="238" t="s">
        <v>951</v>
      </c>
      <c r="E310" s="82" t="s">
        <v>305</v>
      </c>
      <c r="F310" s="249">
        <v>21</v>
      </c>
    </row>
    <row r="311" spans="2:6" s="247" customFormat="1" x14ac:dyDescent="0.25">
      <c r="B311" s="69" t="s">
        <v>1754</v>
      </c>
      <c r="C311" s="69" t="s">
        <v>303</v>
      </c>
      <c r="D311" s="238" t="s">
        <v>953</v>
      </c>
      <c r="E311" s="82" t="s">
        <v>305</v>
      </c>
      <c r="F311" s="249">
        <v>21</v>
      </c>
    </row>
    <row r="312" spans="2:6" s="247" customFormat="1" x14ac:dyDescent="0.25">
      <c r="B312" s="69" t="s">
        <v>1755</v>
      </c>
      <c r="C312" s="69" t="s">
        <v>303</v>
      </c>
      <c r="D312" s="238" t="s">
        <v>955</v>
      </c>
      <c r="E312" s="82" t="s">
        <v>305</v>
      </c>
      <c r="F312" s="249">
        <v>21</v>
      </c>
    </row>
    <row r="313" spans="2:6" s="247" customFormat="1" x14ac:dyDescent="0.25">
      <c r="B313" s="69" t="s">
        <v>1756</v>
      </c>
      <c r="C313" s="69" t="s">
        <v>303</v>
      </c>
      <c r="D313" s="238" t="s">
        <v>957</v>
      </c>
      <c r="E313" s="82" t="s">
        <v>305</v>
      </c>
      <c r="F313" s="249">
        <v>21</v>
      </c>
    </row>
    <row r="314" spans="2:6" s="247" customFormat="1" x14ac:dyDescent="0.25">
      <c r="B314" s="66" t="s">
        <v>458</v>
      </c>
      <c r="C314" s="66"/>
      <c r="D314" s="250" t="s">
        <v>2402</v>
      </c>
      <c r="E314" s="93"/>
      <c r="F314" s="93"/>
    </row>
    <row r="315" spans="2:6" s="247" customFormat="1" x14ac:dyDescent="0.25">
      <c r="B315" s="69" t="s">
        <v>1757</v>
      </c>
      <c r="C315" s="69" t="s">
        <v>303</v>
      </c>
      <c r="D315" s="98" t="s">
        <v>1763</v>
      </c>
      <c r="E315" s="95" t="s">
        <v>305</v>
      </c>
      <c r="F315" s="89">
        <v>21</v>
      </c>
    </row>
    <row r="316" spans="2:6" s="247" customFormat="1" x14ac:dyDescent="0.25">
      <c r="B316" s="69" t="s">
        <v>1758</v>
      </c>
      <c r="C316" s="69" t="s">
        <v>303</v>
      </c>
      <c r="D316" s="98" t="s">
        <v>1764</v>
      </c>
      <c r="E316" s="95" t="s">
        <v>305</v>
      </c>
      <c r="F316" s="89">
        <v>21</v>
      </c>
    </row>
    <row r="317" spans="2:6" s="247" customFormat="1" x14ac:dyDescent="0.25">
      <c r="B317" s="69" t="s">
        <v>1759</v>
      </c>
      <c r="C317" s="69" t="s">
        <v>303</v>
      </c>
      <c r="D317" s="98" t="s">
        <v>905</v>
      </c>
      <c r="E317" s="95" t="s">
        <v>305</v>
      </c>
      <c r="F317" s="89">
        <v>21</v>
      </c>
    </row>
    <row r="318" spans="2:6" s="247" customFormat="1" x14ac:dyDescent="0.25">
      <c r="B318" s="69" t="s">
        <v>1760</v>
      </c>
      <c r="C318" s="69" t="s">
        <v>303</v>
      </c>
      <c r="D318" s="98" t="s">
        <v>865</v>
      </c>
      <c r="E318" s="95" t="s">
        <v>305</v>
      </c>
      <c r="F318" s="89">
        <v>21</v>
      </c>
    </row>
    <row r="319" spans="2:6" s="247" customFormat="1" x14ac:dyDescent="0.25">
      <c r="B319" s="69" t="s">
        <v>1761</v>
      </c>
      <c r="C319" s="69" t="s">
        <v>303</v>
      </c>
      <c r="D319" s="98" t="s">
        <v>867</v>
      </c>
      <c r="E319" s="95" t="s">
        <v>305</v>
      </c>
      <c r="F319" s="89">
        <v>21</v>
      </c>
    </row>
    <row r="320" spans="2:6" s="247" customFormat="1" x14ac:dyDescent="0.25">
      <c r="B320" s="69" t="s">
        <v>1762</v>
      </c>
      <c r="C320" s="69" t="s">
        <v>303</v>
      </c>
      <c r="D320" s="98" t="s">
        <v>869</v>
      </c>
      <c r="E320" s="95" t="s">
        <v>305</v>
      </c>
      <c r="F320" s="89">
        <v>21</v>
      </c>
    </row>
    <row r="321" spans="2:6" s="247" customFormat="1" x14ac:dyDescent="0.25">
      <c r="B321" s="63" t="s">
        <v>496</v>
      </c>
      <c r="C321" s="63"/>
      <c r="D321" s="64" t="s">
        <v>5</v>
      </c>
      <c r="E321" s="64"/>
      <c r="F321" s="64"/>
    </row>
    <row r="322" spans="2:6" s="247" customFormat="1" x14ac:dyDescent="0.25">
      <c r="B322" s="69" t="s">
        <v>1802</v>
      </c>
      <c r="C322" s="69" t="s">
        <v>303</v>
      </c>
      <c r="D322" s="238" t="s">
        <v>1360</v>
      </c>
      <c r="E322" s="82" t="s">
        <v>305</v>
      </c>
      <c r="F322" s="249">
        <v>21</v>
      </c>
    </row>
    <row r="323" spans="2:6" s="247" customFormat="1" x14ac:dyDescent="0.25">
      <c r="B323" s="267" t="s">
        <v>1002</v>
      </c>
      <c r="C323" s="267"/>
      <c r="D323" s="268" t="s">
        <v>1320</v>
      </c>
      <c r="E323" s="268"/>
      <c r="F323" s="268"/>
    </row>
    <row r="324" spans="2:6" s="247" customFormat="1" x14ac:dyDescent="0.25">
      <c r="B324" s="63" t="s">
        <v>1003</v>
      </c>
      <c r="C324" s="63"/>
      <c r="D324" s="64" t="s">
        <v>4</v>
      </c>
      <c r="E324" s="64"/>
      <c r="F324" s="64"/>
    </row>
    <row r="325" spans="2:6" s="247" customFormat="1" x14ac:dyDescent="0.25">
      <c r="B325" s="66" t="s">
        <v>1470</v>
      </c>
      <c r="C325" s="66" t="s">
        <v>1442</v>
      </c>
      <c r="D325" s="67" t="s">
        <v>251</v>
      </c>
      <c r="E325" s="66" t="s">
        <v>248</v>
      </c>
      <c r="F325" s="66">
        <v>1</v>
      </c>
    </row>
    <row r="326" spans="2:6" s="247" customFormat="1" x14ac:dyDescent="0.25">
      <c r="B326" s="66" t="s">
        <v>1471</v>
      </c>
      <c r="C326" s="66" t="s">
        <v>1445</v>
      </c>
      <c r="D326" s="67" t="s">
        <v>272</v>
      </c>
      <c r="E326" s="66" t="s">
        <v>248</v>
      </c>
      <c r="F326" s="66">
        <v>1</v>
      </c>
    </row>
    <row r="327" spans="2:6" s="247" customFormat="1" x14ac:dyDescent="0.25">
      <c r="B327" s="66" t="s">
        <v>1472</v>
      </c>
      <c r="C327" s="66"/>
      <c r="D327" s="67" t="s">
        <v>273</v>
      </c>
      <c r="E327" s="67"/>
      <c r="F327" s="67"/>
    </row>
    <row r="328" spans="2:6" s="247" customFormat="1" x14ac:dyDescent="0.25">
      <c r="B328" s="69" t="s">
        <v>1766</v>
      </c>
      <c r="C328" s="69" t="s">
        <v>1385</v>
      </c>
      <c r="D328" s="238" t="s">
        <v>2091</v>
      </c>
      <c r="E328" s="69" t="s">
        <v>248</v>
      </c>
      <c r="F328" s="69">
        <v>1</v>
      </c>
    </row>
    <row r="329" spans="2:6" s="247" customFormat="1" x14ac:dyDescent="0.25">
      <c r="B329" s="69" t="s">
        <v>2067</v>
      </c>
      <c r="C329" s="69" t="s">
        <v>1443</v>
      </c>
      <c r="D329" s="238" t="s">
        <v>1765</v>
      </c>
      <c r="E329" s="69" t="s">
        <v>248</v>
      </c>
      <c r="F329" s="69">
        <v>1</v>
      </c>
    </row>
    <row r="330" spans="2:6" s="247" customFormat="1" x14ac:dyDescent="0.25">
      <c r="B330" s="66" t="s">
        <v>1473</v>
      </c>
      <c r="C330" s="66"/>
      <c r="D330" s="239" t="s">
        <v>278</v>
      </c>
      <c r="E330" s="67"/>
      <c r="F330" s="67"/>
    </row>
    <row r="331" spans="2:6" s="247" customFormat="1" x14ac:dyDescent="0.25">
      <c r="B331" s="249" t="s">
        <v>1767</v>
      </c>
      <c r="C331" s="69" t="s">
        <v>1425</v>
      </c>
      <c r="D331" s="70" t="s">
        <v>1991</v>
      </c>
      <c r="E331" s="69" t="s">
        <v>248</v>
      </c>
      <c r="F331" s="69">
        <v>1</v>
      </c>
    </row>
    <row r="332" spans="2:6" s="247" customFormat="1" x14ac:dyDescent="0.25">
      <c r="B332" s="248" t="s">
        <v>1474</v>
      </c>
      <c r="C332" s="66"/>
      <c r="D332" s="67" t="s">
        <v>168</v>
      </c>
      <c r="E332" s="67"/>
      <c r="F332" s="67"/>
    </row>
    <row r="333" spans="2:6" s="247" customFormat="1" x14ac:dyDescent="0.25">
      <c r="B333" s="249" t="s">
        <v>1768</v>
      </c>
      <c r="C333" s="69" t="s">
        <v>1426</v>
      </c>
      <c r="D333" s="238" t="s">
        <v>2030</v>
      </c>
      <c r="E333" s="69" t="s">
        <v>248</v>
      </c>
      <c r="F333" s="69">
        <v>1</v>
      </c>
    </row>
    <row r="334" spans="2:6" s="247" customFormat="1" x14ac:dyDescent="0.25">
      <c r="B334" s="249" t="s">
        <v>1769</v>
      </c>
      <c r="C334" s="69" t="s">
        <v>1427</v>
      </c>
      <c r="D334" s="238" t="s">
        <v>2031</v>
      </c>
      <c r="E334" s="69" t="s">
        <v>248</v>
      </c>
      <c r="F334" s="69">
        <v>1</v>
      </c>
    </row>
    <row r="335" spans="2:6" s="247" customFormat="1" x14ac:dyDescent="0.25">
      <c r="B335" s="249" t="s">
        <v>2068</v>
      </c>
      <c r="C335" s="69" t="s">
        <v>1428</v>
      </c>
      <c r="D335" s="238" t="s">
        <v>2032</v>
      </c>
      <c r="E335" s="69" t="s">
        <v>248</v>
      </c>
      <c r="F335" s="69">
        <v>1</v>
      </c>
    </row>
    <row r="336" spans="2:6" s="247" customFormat="1" x14ac:dyDescent="0.25">
      <c r="B336" s="248" t="s">
        <v>1475</v>
      </c>
      <c r="C336" s="66"/>
      <c r="D336" s="67" t="s">
        <v>290</v>
      </c>
      <c r="E336" s="67"/>
      <c r="F336" s="67"/>
    </row>
    <row r="337" spans="2:6" s="247" customFormat="1" x14ac:dyDescent="0.25">
      <c r="B337" s="249" t="s">
        <v>1770</v>
      </c>
      <c r="C337" s="69" t="s">
        <v>1429</v>
      </c>
      <c r="D337" s="238" t="s">
        <v>2082</v>
      </c>
      <c r="E337" s="69" t="s">
        <v>248</v>
      </c>
      <c r="F337" s="69">
        <v>1</v>
      </c>
    </row>
    <row r="338" spans="2:6" s="247" customFormat="1" x14ac:dyDescent="0.25">
      <c r="B338" s="249" t="s">
        <v>1771</v>
      </c>
      <c r="C338" s="69" t="s">
        <v>1430</v>
      </c>
      <c r="D338" s="238" t="s">
        <v>2083</v>
      </c>
      <c r="E338" s="69" t="s">
        <v>248</v>
      </c>
      <c r="F338" s="69">
        <v>1</v>
      </c>
    </row>
    <row r="339" spans="2:6" s="247" customFormat="1" x14ac:dyDescent="0.25">
      <c r="B339" s="248" t="s">
        <v>1476</v>
      </c>
      <c r="C339" s="66"/>
      <c r="D339" s="67" t="s">
        <v>2427</v>
      </c>
      <c r="E339" s="67"/>
      <c r="F339" s="67"/>
    </row>
    <row r="340" spans="2:6" s="247" customFormat="1" x14ac:dyDescent="0.25">
      <c r="B340" s="249" t="s">
        <v>1772</v>
      </c>
      <c r="C340" s="69" t="s">
        <v>1440</v>
      </c>
      <c r="D340" s="238" t="s">
        <v>2121</v>
      </c>
      <c r="E340" s="69" t="s">
        <v>248</v>
      </c>
      <c r="F340" s="69">
        <v>1</v>
      </c>
    </row>
    <row r="341" spans="2:6" s="247" customFormat="1" x14ac:dyDescent="0.25">
      <c r="B341" s="248" t="s">
        <v>2020</v>
      </c>
      <c r="C341" s="66"/>
      <c r="D341" s="67" t="s">
        <v>301</v>
      </c>
      <c r="E341" s="67"/>
      <c r="F341" s="67"/>
    </row>
    <row r="342" spans="2:6" s="247" customFormat="1" x14ac:dyDescent="0.25">
      <c r="B342" s="249" t="s">
        <v>2069</v>
      </c>
      <c r="C342" s="69" t="s">
        <v>303</v>
      </c>
      <c r="D342" s="238" t="s">
        <v>1773</v>
      </c>
      <c r="E342" s="249" t="s">
        <v>305</v>
      </c>
      <c r="F342" s="69">
        <v>31</v>
      </c>
    </row>
    <row r="343" spans="2:6" s="247" customFormat="1" x14ac:dyDescent="0.25">
      <c r="B343" s="249" t="s">
        <v>2070</v>
      </c>
      <c r="C343" s="69" t="s">
        <v>303</v>
      </c>
      <c r="D343" s="238" t="s">
        <v>1774</v>
      </c>
      <c r="E343" s="249" t="s">
        <v>305</v>
      </c>
      <c r="F343" s="69">
        <v>31</v>
      </c>
    </row>
    <row r="344" spans="2:6" s="247" customFormat="1" x14ac:dyDescent="0.25">
      <c r="B344" s="249" t="s">
        <v>2420</v>
      </c>
      <c r="C344" s="69" t="s">
        <v>303</v>
      </c>
      <c r="D344" s="238" t="s">
        <v>1455</v>
      </c>
      <c r="E344" s="265" t="s">
        <v>305</v>
      </c>
      <c r="F344" s="69">
        <v>31</v>
      </c>
    </row>
    <row r="345" spans="2:6" s="247" customFormat="1" x14ac:dyDescent="0.25">
      <c r="B345" s="249" t="s">
        <v>2421</v>
      </c>
      <c r="C345" s="69" t="s">
        <v>303</v>
      </c>
      <c r="D345" s="238" t="s">
        <v>1456</v>
      </c>
      <c r="E345" s="265" t="s">
        <v>305</v>
      </c>
      <c r="F345" s="69">
        <v>31</v>
      </c>
    </row>
    <row r="346" spans="2:6" s="247" customFormat="1" x14ac:dyDescent="0.25">
      <c r="B346" s="249" t="s">
        <v>2422</v>
      </c>
      <c r="C346" s="69" t="s">
        <v>303</v>
      </c>
      <c r="D346" s="238" t="s">
        <v>1457</v>
      </c>
      <c r="E346" s="265" t="s">
        <v>305</v>
      </c>
      <c r="F346" s="69">
        <v>31</v>
      </c>
    </row>
    <row r="347" spans="2:6" s="247" customFormat="1" x14ac:dyDescent="0.25">
      <c r="B347" s="248" t="s">
        <v>2423</v>
      </c>
      <c r="C347" s="66"/>
      <c r="D347" s="67" t="s">
        <v>315</v>
      </c>
      <c r="E347" s="67"/>
      <c r="F347" s="67"/>
    </row>
    <row r="348" spans="2:6" s="247" customFormat="1" x14ac:dyDescent="0.25">
      <c r="B348" s="249" t="s">
        <v>2424</v>
      </c>
      <c r="C348" s="69" t="s">
        <v>303</v>
      </c>
      <c r="D348" s="238" t="s">
        <v>2084</v>
      </c>
      <c r="E348" s="69" t="s">
        <v>305</v>
      </c>
      <c r="F348" s="69">
        <v>31</v>
      </c>
    </row>
    <row r="349" spans="2:6" s="247" customFormat="1" x14ac:dyDescent="0.25">
      <c r="B349" s="249" t="s">
        <v>2425</v>
      </c>
      <c r="C349" s="69" t="s">
        <v>303</v>
      </c>
      <c r="D349" s="238" t="s">
        <v>2085</v>
      </c>
      <c r="E349" s="69" t="s">
        <v>305</v>
      </c>
      <c r="F349" s="69">
        <v>31</v>
      </c>
    </row>
    <row r="350" spans="2:6" s="247" customFormat="1" x14ac:dyDescent="0.25">
      <c r="B350" s="63" t="s">
        <v>1005</v>
      </c>
      <c r="C350" s="63"/>
      <c r="D350" s="64" t="s">
        <v>333</v>
      </c>
      <c r="E350" s="64"/>
      <c r="F350" s="64"/>
    </row>
    <row r="351" spans="2:6" s="247" customFormat="1" x14ac:dyDescent="0.25">
      <c r="B351" s="248" t="s">
        <v>1570</v>
      </c>
      <c r="C351" s="66"/>
      <c r="D351" s="250" t="s">
        <v>675</v>
      </c>
      <c r="E351" s="67"/>
      <c r="F351" s="67"/>
    </row>
    <row r="352" spans="2:6" s="247" customFormat="1" x14ac:dyDescent="0.25">
      <c r="B352" s="249" t="s">
        <v>1571</v>
      </c>
      <c r="C352" s="69" t="s">
        <v>303</v>
      </c>
      <c r="D352" s="238" t="s">
        <v>677</v>
      </c>
      <c r="E352" s="82" t="s">
        <v>305</v>
      </c>
      <c r="F352" s="69">
        <v>12</v>
      </c>
    </row>
    <row r="353" spans="2:6" s="247" customFormat="1" x14ac:dyDescent="0.25">
      <c r="B353" s="249" t="s">
        <v>1572</v>
      </c>
      <c r="C353" s="69" t="s">
        <v>303</v>
      </c>
      <c r="D353" s="238" t="s">
        <v>590</v>
      </c>
      <c r="E353" s="82" t="s">
        <v>305</v>
      </c>
      <c r="F353" s="69">
        <v>12</v>
      </c>
    </row>
    <row r="354" spans="2:6" s="247" customFormat="1" x14ac:dyDescent="0.25">
      <c r="B354" s="249" t="s">
        <v>1573</v>
      </c>
      <c r="C354" s="69" t="s">
        <v>303</v>
      </c>
      <c r="D354" s="238" t="s">
        <v>592</v>
      </c>
      <c r="E354" s="82" t="s">
        <v>305</v>
      </c>
      <c r="F354" s="69">
        <v>12</v>
      </c>
    </row>
    <row r="355" spans="2:6" s="247" customFormat="1" x14ac:dyDescent="0.25">
      <c r="B355" s="249" t="s">
        <v>1574</v>
      </c>
      <c r="C355" s="69" t="s">
        <v>303</v>
      </c>
      <c r="D355" s="238" t="s">
        <v>681</v>
      </c>
      <c r="E355" s="82" t="s">
        <v>305</v>
      </c>
      <c r="F355" s="69">
        <v>12</v>
      </c>
    </row>
    <row r="356" spans="2:6" s="247" customFormat="1" x14ac:dyDescent="0.25">
      <c r="B356" s="249" t="s">
        <v>1575</v>
      </c>
      <c r="C356" s="69" t="s">
        <v>303</v>
      </c>
      <c r="D356" s="238" t="s">
        <v>595</v>
      </c>
      <c r="E356" s="82" t="s">
        <v>305</v>
      </c>
      <c r="F356" s="69">
        <v>12</v>
      </c>
    </row>
    <row r="357" spans="2:6" s="247" customFormat="1" x14ac:dyDescent="0.25">
      <c r="B357" s="249" t="s">
        <v>1576</v>
      </c>
      <c r="C357" s="69" t="s">
        <v>303</v>
      </c>
      <c r="D357" s="238" t="s">
        <v>597</v>
      </c>
      <c r="E357" s="82" t="s">
        <v>305</v>
      </c>
      <c r="F357" s="69">
        <v>12</v>
      </c>
    </row>
    <row r="358" spans="2:6" s="247" customFormat="1" x14ac:dyDescent="0.25">
      <c r="B358" s="249" t="s">
        <v>1577</v>
      </c>
      <c r="C358" s="69" t="s">
        <v>303</v>
      </c>
      <c r="D358" s="238" t="s">
        <v>597</v>
      </c>
      <c r="E358" s="82" t="s">
        <v>305</v>
      </c>
      <c r="F358" s="69">
        <v>12</v>
      </c>
    </row>
    <row r="359" spans="2:6" s="247" customFormat="1" x14ac:dyDescent="0.25">
      <c r="B359" s="249" t="s">
        <v>1578</v>
      </c>
      <c r="C359" s="69" t="s">
        <v>303</v>
      </c>
      <c r="D359" s="238" t="s">
        <v>599</v>
      </c>
      <c r="E359" s="82" t="s">
        <v>305</v>
      </c>
      <c r="F359" s="69">
        <v>12</v>
      </c>
    </row>
    <row r="360" spans="2:6" s="247" customFormat="1" x14ac:dyDescent="0.25">
      <c r="B360" s="249" t="s">
        <v>1579</v>
      </c>
      <c r="C360" s="69" t="s">
        <v>303</v>
      </c>
      <c r="D360" s="238" t="s">
        <v>601</v>
      </c>
      <c r="E360" s="82" t="s">
        <v>305</v>
      </c>
      <c r="F360" s="69">
        <v>12</v>
      </c>
    </row>
    <row r="361" spans="2:6" s="247" customFormat="1" x14ac:dyDescent="0.25">
      <c r="B361" s="249" t="s">
        <v>1580</v>
      </c>
      <c r="C361" s="69" t="s">
        <v>303</v>
      </c>
      <c r="D361" s="238" t="s">
        <v>532</v>
      </c>
      <c r="E361" s="82" t="s">
        <v>305</v>
      </c>
      <c r="F361" s="69">
        <v>12</v>
      </c>
    </row>
    <row r="362" spans="2:6" s="247" customFormat="1" x14ac:dyDescent="0.25">
      <c r="B362" s="249" t="s">
        <v>1581</v>
      </c>
      <c r="C362" s="69" t="s">
        <v>303</v>
      </c>
      <c r="D362" s="238" t="s">
        <v>605</v>
      </c>
      <c r="E362" s="82" t="s">
        <v>305</v>
      </c>
      <c r="F362" s="69">
        <v>12</v>
      </c>
    </row>
    <row r="363" spans="2:6" s="247" customFormat="1" x14ac:dyDescent="0.25">
      <c r="B363" s="249" t="s">
        <v>1582</v>
      </c>
      <c r="C363" s="69" t="s">
        <v>303</v>
      </c>
      <c r="D363" s="238" t="s">
        <v>339</v>
      </c>
      <c r="E363" s="82" t="s">
        <v>305</v>
      </c>
      <c r="F363" s="69">
        <v>12</v>
      </c>
    </row>
    <row r="364" spans="2:6" s="247" customFormat="1" x14ac:dyDescent="0.25">
      <c r="B364" s="249" t="s">
        <v>1583</v>
      </c>
      <c r="C364" s="69" t="s">
        <v>303</v>
      </c>
      <c r="D364" s="238" t="s">
        <v>379</v>
      </c>
      <c r="E364" s="82" t="s">
        <v>305</v>
      </c>
      <c r="F364" s="69">
        <v>12</v>
      </c>
    </row>
    <row r="365" spans="2:6" s="247" customFormat="1" x14ac:dyDescent="0.25">
      <c r="B365" s="249" t="s">
        <v>1584</v>
      </c>
      <c r="C365" s="69" t="s">
        <v>303</v>
      </c>
      <c r="D365" s="238" t="s">
        <v>590</v>
      </c>
      <c r="E365" s="82" t="s">
        <v>305</v>
      </c>
      <c r="F365" s="69">
        <v>12</v>
      </c>
    </row>
    <row r="366" spans="2:6" s="247" customFormat="1" x14ac:dyDescent="0.25">
      <c r="B366" s="249" t="s">
        <v>1585</v>
      </c>
      <c r="C366" s="69" t="s">
        <v>303</v>
      </c>
      <c r="D366" s="238" t="s">
        <v>693</v>
      </c>
      <c r="E366" s="82" t="s">
        <v>305</v>
      </c>
      <c r="F366" s="69">
        <v>12</v>
      </c>
    </row>
    <row r="367" spans="2:6" s="247" customFormat="1" x14ac:dyDescent="0.25">
      <c r="B367" s="249" t="s">
        <v>1586</v>
      </c>
      <c r="C367" s="69" t="s">
        <v>303</v>
      </c>
      <c r="D367" s="238" t="s">
        <v>599</v>
      </c>
      <c r="E367" s="82" t="s">
        <v>305</v>
      </c>
      <c r="F367" s="69">
        <v>12</v>
      </c>
    </row>
    <row r="368" spans="2:6" s="247" customFormat="1" x14ac:dyDescent="0.25">
      <c r="B368" s="249" t="s">
        <v>1587</v>
      </c>
      <c r="C368" s="69" t="s">
        <v>303</v>
      </c>
      <c r="D368" s="238" t="s">
        <v>615</v>
      </c>
      <c r="E368" s="82" t="s">
        <v>305</v>
      </c>
      <c r="F368" s="69">
        <v>12</v>
      </c>
    </row>
    <row r="369" spans="2:6" s="247" customFormat="1" x14ac:dyDescent="0.25">
      <c r="B369" s="249" t="s">
        <v>1588</v>
      </c>
      <c r="C369" s="69" t="s">
        <v>303</v>
      </c>
      <c r="D369" s="238" t="s">
        <v>697</v>
      </c>
      <c r="E369" s="82" t="s">
        <v>305</v>
      </c>
      <c r="F369" s="69">
        <v>12</v>
      </c>
    </row>
    <row r="370" spans="2:6" s="247" customFormat="1" x14ac:dyDescent="0.25">
      <c r="B370" s="249" t="s">
        <v>1589</v>
      </c>
      <c r="C370" s="69" t="s">
        <v>303</v>
      </c>
      <c r="D370" s="238" t="s">
        <v>699</v>
      </c>
      <c r="E370" s="82" t="s">
        <v>305</v>
      </c>
      <c r="F370" s="69">
        <v>12</v>
      </c>
    </row>
    <row r="371" spans="2:6" s="247" customFormat="1" x14ac:dyDescent="0.25">
      <c r="B371" s="249" t="s">
        <v>1590</v>
      </c>
      <c r="C371" s="69" t="s">
        <v>303</v>
      </c>
      <c r="D371" s="238" t="s">
        <v>701</v>
      </c>
      <c r="E371" s="82" t="s">
        <v>305</v>
      </c>
      <c r="F371" s="69">
        <v>12</v>
      </c>
    </row>
    <row r="372" spans="2:6" s="247" customFormat="1" x14ac:dyDescent="0.25">
      <c r="B372" s="249" t="s">
        <v>1591</v>
      </c>
      <c r="C372" s="69" t="s">
        <v>303</v>
      </c>
      <c r="D372" s="238" t="s">
        <v>703</v>
      </c>
      <c r="E372" s="82" t="s">
        <v>305</v>
      </c>
      <c r="F372" s="69">
        <v>12</v>
      </c>
    </row>
    <row r="373" spans="2:6" s="247" customFormat="1" x14ac:dyDescent="0.25">
      <c r="B373" s="249" t="s">
        <v>1592</v>
      </c>
      <c r="C373" s="69" t="s">
        <v>303</v>
      </c>
      <c r="D373" s="238" t="s">
        <v>550</v>
      </c>
      <c r="E373" s="82" t="s">
        <v>305</v>
      </c>
      <c r="F373" s="69">
        <v>12</v>
      </c>
    </row>
    <row r="374" spans="2:6" s="247" customFormat="1" x14ac:dyDescent="0.25">
      <c r="B374" s="249" t="s">
        <v>1593</v>
      </c>
      <c r="C374" s="69" t="s">
        <v>303</v>
      </c>
      <c r="D374" s="238" t="s">
        <v>706</v>
      </c>
      <c r="E374" s="82" t="s">
        <v>305</v>
      </c>
      <c r="F374" s="69">
        <v>12</v>
      </c>
    </row>
    <row r="375" spans="2:6" s="247" customFormat="1" x14ac:dyDescent="0.25">
      <c r="B375" s="249" t="s">
        <v>1594</v>
      </c>
      <c r="C375" s="69" t="s">
        <v>303</v>
      </c>
      <c r="D375" s="238" t="s">
        <v>708</v>
      </c>
      <c r="E375" s="82" t="s">
        <v>305</v>
      </c>
      <c r="F375" s="69">
        <v>12</v>
      </c>
    </row>
    <row r="376" spans="2:6" s="247" customFormat="1" x14ac:dyDescent="0.25">
      <c r="B376" s="249" t="s">
        <v>1595</v>
      </c>
      <c r="C376" s="69" t="s">
        <v>303</v>
      </c>
      <c r="D376" s="238" t="s">
        <v>710</v>
      </c>
      <c r="E376" s="82" t="s">
        <v>305</v>
      </c>
      <c r="F376" s="69">
        <v>12</v>
      </c>
    </row>
    <row r="377" spans="2:6" s="247" customFormat="1" x14ac:dyDescent="0.25">
      <c r="B377" s="249" t="s">
        <v>1596</v>
      </c>
      <c r="C377" s="69" t="s">
        <v>303</v>
      </c>
      <c r="D377" s="238" t="s">
        <v>712</v>
      </c>
      <c r="E377" s="82" t="s">
        <v>305</v>
      </c>
      <c r="F377" s="69">
        <v>12</v>
      </c>
    </row>
    <row r="378" spans="2:6" s="247" customFormat="1" x14ac:dyDescent="0.25">
      <c r="B378" s="249" t="s">
        <v>1597</v>
      </c>
      <c r="C378" s="69" t="s">
        <v>303</v>
      </c>
      <c r="D378" s="238" t="s">
        <v>714</v>
      </c>
      <c r="E378" s="82" t="s">
        <v>305</v>
      </c>
      <c r="F378" s="69">
        <v>12</v>
      </c>
    </row>
    <row r="379" spans="2:6" s="247" customFormat="1" x14ac:dyDescent="0.25">
      <c r="B379" s="249" t="s">
        <v>1598</v>
      </c>
      <c r="C379" s="69" t="s">
        <v>303</v>
      </c>
      <c r="D379" s="238" t="s">
        <v>417</v>
      </c>
      <c r="E379" s="82" t="s">
        <v>305</v>
      </c>
      <c r="F379" s="69">
        <v>12</v>
      </c>
    </row>
    <row r="380" spans="2:6" s="247" customFormat="1" x14ac:dyDescent="0.25">
      <c r="B380" s="249" t="s">
        <v>1599</v>
      </c>
      <c r="C380" s="69" t="s">
        <v>303</v>
      </c>
      <c r="D380" s="238" t="s">
        <v>638</v>
      </c>
      <c r="E380" s="82" t="s">
        <v>305</v>
      </c>
      <c r="F380" s="69">
        <v>12</v>
      </c>
    </row>
    <row r="381" spans="2:6" s="247" customFormat="1" x14ac:dyDescent="0.25">
      <c r="B381" s="249" t="s">
        <v>1600</v>
      </c>
      <c r="C381" s="69" t="s">
        <v>303</v>
      </c>
      <c r="D381" s="238" t="s">
        <v>718</v>
      </c>
      <c r="E381" s="82" t="s">
        <v>305</v>
      </c>
      <c r="F381" s="69">
        <v>12</v>
      </c>
    </row>
    <row r="382" spans="2:6" s="247" customFormat="1" x14ac:dyDescent="0.25">
      <c r="B382" s="249" t="s">
        <v>1601</v>
      </c>
      <c r="C382" s="69" t="s">
        <v>303</v>
      </c>
      <c r="D382" s="238" t="s">
        <v>720</v>
      </c>
      <c r="E382" s="82" t="s">
        <v>305</v>
      </c>
      <c r="F382" s="69">
        <v>12</v>
      </c>
    </row>
    <row r="383" spans="2:6" s="247" customFormat="1" x14ac:dyDescent="0.25">
      <c r="B383" s="249" t="s">
        <v>1602</v>
      </c>
      <c r="C383" s="69" t="s">
        <v>303</v>
      </c>
      <c r="D383" s="238" t="s">
        <v>722</v>
      </c>
      <c r="E383" s="82" t="s">
        <v>305</v>
      </c>
      <c r="F383" s="69">
        <v>12</v>
      </c>
    </row>
    <row r="384" spans="2:6" s="247" customFormat="1" x14ac:dyDescent="0.25">
      <c r="B384" s="249" t="s">
        <v>1603</v>
      </c>
      <c r="C384" s="69" t="s">
        <v>303</v>
      </c>
      <c r="D384" s="238" t="s">
        <v>645</v>
      </c>
      <c r="E384" s="82" t="s">
        <v>305</v>
      </c>
      <c r="F384" s="69">
        <v>12</v>
      </c>
    </row>
    <row r="385" spans="2:6" s="247" customFormat="1" x14ac:dyDescent="0.25">
      <c r="B385" s="248" t="s">
        <v>1604</v>
      </c>
      <c r="C385" s="66"/>
      <c r="D385" s="250" t="s">
        <v>725</v>
      </c>
      <c r="E385" s="67"/>
      <c r="F385" s="67"/>
    </row>
    <row r="386" spans="2:6" s="247" customFormat="1" x14ac:dyDescent="0.25">
      <c r="B386" s="249" t="s">
        <v>1605</v>
      </c>
      <c r="C386" s="69" t="s">
        <v>303</v>
      </c>
      <c r="D386" s="238" t="s">
        <v>727</v>
      </c>
      <c r="E386" s="69" t="s">
        <v>305</v>
      </c>
      <c r="F386" s="69">
        <v>12</v>
      </c>
    </row>
    <row r="387" spans="2:6" s="247" customFormat="1" x14ac:dyDescent="0.25">
      <c r="B387" s="249" t="s">
        <v>1606</v>
      </c>
      <c r="C387" s="69" t="s">
        <v>303</v>
      </c>
      <c r="D387" s="238" t="s">
        <v>651</v>
      </c>
      <c r="E387" s="69" t="s">
        <v>305</v>
      </c>
      <c r="F387" s="69">
        <v>12</v>
      </c>
    </row>
    <row r="388" spans="2:6" s="247" customFormat="1" x14ac:dyDescent="0.25">
      <c r="B388" s="249" t="s">
        <v>1607</v>
      </c>
      <c r="C388" s="69" t="s">
        <v>303</v>
      </c>
      <c r="D388" s="238" t="s">
        <v>653</v>
      </c>
      <c r="E388" s="69" t="s">
        <v>305</v>
      </c>
      <c r="F388" s="69">
        <v>12</v>
      </c>
    </row>
    <row r="389" spans="2:6" s="247" customFormat="1" x14ac:dyDescent="0.25">
      <c r="B389" s="249" t="s">
        <v>1608</v>
      </c>
      <c r="C389" s="69" t="s">
        <v>303</v>
      </c>
      <c r="D389" s="273" t="s">
        <v>731</v>
      </c>
      <c r="E389" s="69" t="s">
        <v>305</v>
      </c>
      <c r="F389" s="69">
        <v>12</v>
      </c>
    </row>
    <row r="390" spans="2:6" s="247" customFormat="1" x14ac:dyDescent="0.25">
      <c r="B390" s="249" t="s">
        <v>1609</v>
      </c>
      <c r="C390" s="69" t="s">
        <v>303</v>
      </c>
      <c r="D390" s="273" t="s">
        <v>657</v>
      </c>
      <c r="E390" s="82" t="s">
        <v>305</v>
      </c>
      <c r="F390" s="69">
        <v>12</v>
      </c>
    </row>
    <row r="391" spans="2:6" s="247" customFormat="1" x14ac:dyDescent="0.25">
      <c r="B391" s="249" t="s">
        <v>1610</v>
      </c>
      <c r="C391" s="69" t="s">
        <v>303</v>
      </c>
      <c r="D391" s="238" t="s">
        <v>734</v>
      </c>
      <c r="E391" s="82" t="s">
        <v>305</v>
      </c>
      <c r="F391" s="69">
        <v>12</v>
      </c>
    </row>
    <row r="392" spans="2:6" s="247" customFormat="1" x14ac:dyDescent="0.25">
      <c r="B392" s="249" t="s">
        <v>1611</v>
      </c>
      <c r="C392" s="69" t="s">
        <v>303</v>
      </c>
      <c r="D392" s="238" t="s">
        <v>736</v>
      </c>
      <c r="E392" s="82" t="s">
        <v>305</v>
      </c>
      <c r="F392" s="69">
        <v>12</v>
      </c>
    </row>
    <row r="393" spans="2:6" s="247" customFormat="1" x14ac:dyDescent="0.25">
      <c r="B393" s="249" t="s">
        <v>1612</v>
      </c>
      <c r="C393" s="69" t="s">
        <v>303</v>
      </c>
      <c r="D393" s="273" t="s">
        <v>663</v>
      </c>
      <c r="E393" s="82" t="s">
        <v>305</v>
      </c>
      <c r="F393" s="69">
        <v>12</v>
      </c>
    </row>
    <row r="394" spans="2:6" s="247" customFormat="1" x14ac:dyDescent="0.25">
      <c r="B394" s="249" t="s">
        <v>1613</v>
      </c>
      <c r="C394" s="69" t="s">
        <v>303</v>
      </c>
      <c r="D394" s="273" t="s">
        <v>665</v>
      </c>
      <c r="E394" s="82" t="s">
        <v>305</v>
      </c>
      <c r="F394" s="69">
        <v>12</v>
      </c>
    </row>
    <row r="395" spans="2:6" s="247" customFormat="1" x14ac:dyDescent="0.25">
      <c r="B395" s="249" t="s">
        <v>1614</v>
      </c>
      <c r="C395" s="69" t="s">
        <v>303</v>
      </c>
      <c r="D395" s="273" t="s">
        <v>740</v>
      </c>
      <c r="E395" s="82" t="s">
        <v>305</v>
      </c>
      <c r="F395" s="69">
        <v>12</v>
      </c>
    </row>
    <row r="396" spans="2:6" s="247" customFormat="1" x14ac:dyDescent="0.25">
      <c r="B396" s="249" t="s">
        <v>1615</v>
      </c>
      <c r="C396" s="69" t="s">
        <v>303</v>
      </c>
      <c r="D396" s="273" t="s">
        <v>479</v>
      </c>
      <c r="E396" s="82" t="s">
        <v>305</v>
      </c>
      <c r="F396" s="69">
        <v>12</v>
      </c>
    </row>
    <row r="397" spans="2:6" s="247" customFormat="1" x14ac:dyDescent="0.25">
      <c r="B397" s="249" t="s">
        <v>1616</v>
      </c>
      <c r="C397" s="69" t="s">
        <v>303</v>
      </c>
      <c r="D397" s="238" t="s">
        <v>743</v>
      </c>
      <c r="E397" s="82" t="s">
        <v>305</v>
      </c>
      <c r="F397" s="69">
        <v>12</v>
      </c>
    </row>
    <row r="398" spans="2:6" s="247" customFormat="1" x14ac:dyDescent="0.25">
      <c r="B398" s="249" t="s">
        <v>1617</v>
      </c>
      <c r="C398" s="69" t="s">
        <v>303</v>
      </c>
      <c r="D398" s="238" t="s">
        <v>745</v>
      </c>
      <c r="E398" s="82" t="s">
        <v>305</v>
      </c>
      <c r="F398" s="69">
        <v>12</v>
      </c>
    </row>
    <row r="399" spans="2:6" s="247" customFormat="1" x14ac:dyDescent="0.25">
      <c r="B399" s="249" t="s">
        <v>1618</v>
      </c>
      <c r="C399" s="69" t="s">
        <v>303</v>
      </c>
      <c r="D399" s="238" t="s">
        <v>673</v>
      </c>
      <c r="E399" s="82" t="s">
        <v>305</v>
      </c>
      <c r="F399" s="69">
        <v>12</v>
      </c>
    </row>
    <row r="400" spans="2:6" s="247" customFormat="1" x14ac:dyDescent="0.25">
      <c r="B400" s="249" t="s">
        <v>1619</v>
      </c>
      <c r="C400" s="69" t="s">
        <v>303</v>
      </c>
      <c r="D400" s="238" t="s">
        <v>748</v>
      </c>
      <c r="E400" s="82" t="s">
        <v>305</v>
      </c>
      <c r="F400" s="69">
        <v>12</v>
      </c>
    </row>
    <row r="401" spans="2:6" s="247" customFormat="1" x14ac:dyDescent="0.25">
      <c r="B401" s="248" t="s">
        <v>2037</v>
      </c>
      <c r="C401" s="66"/>
      <c r="D401" s="67" t="s">
        <v>817</v>
      </c>
      <c r="E401" s="67"/>
      <c r="F401" s="67"/>
    </row>
    <row r="402" spans="2:6" s="247" customFormat="1" x14ac:dyDescent="0.25">
      <c r="B402" s="249" t="s">
        <v>2038</v>
      </c>
      <c r="C402" s="69" t="s">
        <v>303</v>
      </c>
      <c r="D402" s="238" t="s">
        <v>819</v>
      </c>
      <c r="E402" s="82" t="s">
        <v>305</v>
      </c>
      <c r="F402" s="249">
        <v>21</v>
      </c>
    </row>
    <row r="403" spans="2:6" s="247" customFormat="1" x14ac:dyDescent="0.25">
      <c r="B403" s="249" t="s">
        <v>2039</v>
      </c>
      <c r="C403" s="69" t="s">
        <v>303</v>
      </c>
      <c r="D403" s="238" t="s">
        <v>821</v>
      </c>
      <c r="E403" s="82" t="s">
        <v>305</v>
      </c>
      <c r="F403" s="249">
        <v>21</v>
      </c>
    </row>
    <row r="404" spans="2:6" s="247" customFormat="1" x14ac:dyDescent="0.25">
      <c r="B404" s="249" t="s">
        <v>2040</v>
      </c>
      <c r="C404" s="69" t="s">
        <v>303</v>
      </c>
      <c r="D404" s="238" t="s">
        <v>823</v>
      </c>
      <c r="E404" s="82" t="s">
        <v>305</v>
      </c>
      <c r="F404" s="249">
        <v>21</v>
      </c>
    </row>
    <row r="405" spans="2:6" s="247" customFormat="1" x14ac:dyDescent="0.25">
      <c r="B405" s="249" t="s">
        <v>2041</v>
      </c>
      <c r="C405" s="69" t="s">
        <v>303</v>
      </c>
      <c r="D405" s="238" t="s">
        <v>825</v>
      </c>
      <c r="E405" s="82" t="s">
        <v>305</v>
      </c>
      <c r="F405" s="249">
        <v>21</v>
      </c>
    </row>
    <row r="406" spans="2:6" s="247" customFormat="1" x14ac:dyDescent="0.25">
      <c r="B406" s="249" t="s">
        <v>2042</v>
      </c>
      <c r="C406" s="69" t="s">
        <v>303</v>
      </c>
      <c r="D406" s="238" t="s">
        <v>638</v>
      </c>
      <c r="E406" s="82" t="s">
        <v>305</v>
      </c>
      <c r="F406" s="249">
        <v>21</v>
      </c>
    </row>
    <row r="407" spans="2:6" s="247" customFormat="1" x14ac:dyDescent="0.25">
      <c r="B407" s="249" t="s">
        <v>2043</v>
      </c>
      <c r="C407" s="69" t="s">
        <v>303</v>
      </c>
      <c r="D407" s="238" t="s">
        <v>479</v>
      </c>
      <c r="E407" s="82" t="s">
        <v>305</v>
      </c>
      <c r="F407" s="249">
        <v>21</v>
      </c>
    </row>
    <row r="408" spans="2:6" s="247" customFormat="1" x14ac:dyDescent="0.25">
      <c r="B408" s="249" t="s">
        <v>2044</v>
      </c>
      <c r="C408" s="69" t="s">
        <v>303</v>
      </c>
      <c r="D408" s="238" t="s">
        <v>829</v>
      </c>
      <c r="E408" s="82" t="s">
        <v>305</v>
      </c>
      <c r="F408" s="249">
        <v>21</v>
      </c>
    </row>
    <row r="409" spans="2:6" s="247" customFormat="1" x14ac:dyDescent="0.25">
      <c r="B409" s="249" t="s">
        <v>2045</v>
      </c>
      <c r="C409" s="69" t="s">
        <v>303</v>
      </c>
      <c r="D409" s="238" t="s">
        <v>831</v>
      </c>
      <c r="E409" s="82" t="s">
        <v>305</v>
      </c>
      <c r="F409" s="249">
        <v>21</v>
      </c>
    </row>
    <row r="410" spans="2:6" s="247" customFormat="1" x14ac:dyDescent="0.25">
      <c r="B410" s="249" t="s">
        <v>2046</v>
      </c>
      <c r="C410" s="69" t="s">
        <v>303</v>
      </c>
      <c r="D410" s="238" t="s">
        <v>638</v>
      </c>
      <c r="E410" s="82" t="s">
        <v>305</v>
      </c>
      <c r="F410" s="249">
        <v>21</v>
      </c>
    </row>
    <row r="411" spans="2:6" s="247" customFormat="1" x14ac:dyDescent="0.25">
      <c r="B411" s="249" t="s">
        <v>2047</v>
      </c>
      <c r="C411" s="69" t="s">
        <v>303</v>
      </c>
      <c r="D411" s="238" t="s">
        <v>834</v>
      </c>
      <c r="E411" s="82" t="s">
        <v>305</v>
      </c>
      <c r="F411" s="249">
        <v>21</v>
      </c>
    </row>
    <row r="412" spans="2:6" s="247" customFormat="1" x14ac:dyDescent="0.25">
      <c r="B412" s="249" t="s">
        <v>2048</v>
      </c>
      <c r="C412" s="69" t="s">
        <v>303</v>
      </c>
      <c r="D412" s="238" t="s">
        <v>836</v>
      </c>
      <c r="E412" s="82" t="s">
        <v>305</v>
      </c>
      <c r="F412" s="249">
        <v>21</v>
      </c>
    </row>
    <row r="413" spans="2:6" s="247" customFormat="1" x14ac:dyDescent="0.25">
      <c r="B413" s="249" t="s">
        <v>2049</v>
      </c>
      <c r="C413" s="69" t="s">
        <v>303</v>
      </c>
      <c r="D413" s="238" t="s">
        <v>838</v>
      </c>
      <c r="E413" s="82" t="s">
        <v>305</v>
      </c>
      <c r="F413" s="249">
        <v>21</v>
      </c>
    </row>
    <row r="414" spans="2:6" s="247" customFormat="1" x14ac:dyDescent="0.25">
      <c r="B414" s="249" t="s">
        <v>2050</v>
      </c>
      <c r="C414" s="69" t="s">
        <v>303</v>
      </c>
      <c r="D414" s="238" t="s">
        <v>840</v>
      </c>
      <c r="E414" s="82" t="s">
        <v>305</v>
      </c>
      <c r="F414" s="249">
        <v>21</v>
      </c>
    </row>
    <row r="415" spans="2:6" s="247" customFormat="1" x14ac:dyDescent="0.25">
      <c r="B415" s="249" t="s">
        <v>2051</v>
      </c>
      <c r="C415" s="69" t="s">
        <v>303</v>
      </c>
      <c r="D415" s="238" t="s">
        <v>842</v>
      </c>
      <c r="E415" s="82" t="s">
        <v>305</v>
      </c>
      <c r="F415" s="249">
        <v>21</v>
      </c>
    </row>
    <row r="416" spans="2:6" s="247" customFormat="1" x14ac:dyDescent="0.25">
      <c r="B416" s="249" t="s">
        <v>2052</v>
      </c>
      <c r="C416" s="69" t="s">
        <v>303</v>
      </c>
      <c r="D416" s="238" t="s">
        <v>844</v>
      </c>
      <c r="E416" s="82" t="s">
        <v>305</v>
      </c>
      <c r="F416" s="249">
        <v>21</v>
      </c>
    </row>
    <row r="417" spans="2:6" s="247" customFormat="1" x14ac:dyDescent="0.25">
      <c r="B417" s="249" t="s">
        <v>2053</v>
      </c>
      <c r="C417" s="69" t="s">
        <v>303</v>
      </c>
      <c r="D417" s="238" t="s">
        <v>846</v>
      </c>
      <c r="E417" s="82" t="s">
        <v>305</v>
      </c>
      <c r="F417" s="249">
        <v>21</v>
      </c>
    </row>
    <row r="418" spans="2:6" s="247" customFormat="1" x14ac:dyDescent="0.25">
      <c r="B418" s="249" t="s">
        <v>2054</v>
      </c>
      <c r="C418" s="69" t="s">
        <v>303</v>
      </c>
      <c r="D418" s="238" t="s">
        <v>848</v>
      </c>
      <c r="E418" s="82" t="s">
        <v>305</v>
      </c>
      <c r="F418" s="249">
        <v>21</v>
      </c>
    </row>
    <row r="419" spans="2:6" s="247" customFormat="1" x14ac:dyDescent="0.25">
      <c r="B419" s="249" t="s">
        <v>2055</v>
      </c>
      <c r="C419" s="69" t="s">
        <v>303</v>
      </c>
      <c r="D419" s="238" t="s">
        <v>850</v>
      </c>
      <c r="E419" s="82" t="s">
        <v>305</v>
      </c>
      <c r="F419" s="249">
        <v>21</v>
      </c>
    </row>
    <row r="420" spans="2:6" s="247" customFormat="1" x14ac:dyDescent="0.25">
      <c r="B420" s="249" t="s">
        <v>2056</v>
      </c>
      <c r="C420" s="69" t="s">
        <v>303</v>
      </c>
      <c r="D420" s="238" t="s">
        <v>852</v>
      </c>
      <c r="E420" s="82" t="s">
        <v>305</v>
      </c>
      <c r="F420" s="249">
        <v>21</v>
      </c>
    </row>
    <row r="421" spans="2:6" s="247" customFormat="1" x14ac:dyDescent="0.25">
      <c r="B421" s="249" t="s">
        <v>2057</v>
      </c>
      <c r="C421" s="69" t="s">
        <v>303</v>
      </c>
      <c r="D421" s="238" t="s">
        <v>854</v>
      </c>
      <c r="E421" s="82" t="s">
        <v>305</v>
      </c>
      <c r="F421" s="249">
        <v>21</v>
      </c>
    </row>
    <row r="422" spans="2:6" s="247" customFormat="1" x14ac:dyDescent="0.25">
      <c r="B422" s="249" t="s">
        <v>2058</v>
      </c>
      <c r="C422" s="69" t="s">
        <v>303</v>
      </c>
      <c r="D422" s="238" t="s">
        <v>856</v>
      </c>
      <c r="E422" s="82" t="s">
        <v>305</v>
      </c>
      <c r="F422" s="249">
        <v>21</v>
      </c>
    </row>
    <row r="423" spans="2:6" s="247" customFormat="1" x14ac:dyDescent="0.25">
      <c r="B423" s="66" t="s">
        <v>2060</v>
      </c>
      <c r="C423" s="66"/>
      <c r="D423" s="67" t="s">
        <v>858</v>
      </c>
      <c r="E423" s="67"/>
      <c r="F423" s="67"/>
    </row>
    <row r="424" spans="2:6" s="247" customFormat="1" x14ac:dyDescent="0.25">
      <c r="B424" s="69" t="s">
        <v>2059</v>
      </c>
      <c r="C424" s="69" t="s">
        <v>303</v>
      </c>
      <c r="D424" s="238" t="s">
        <v>651</v>
      </c>
      <c r="E424" s="82" t="s">
        <v>305</v>
      </c>
      <c r="F424" s="249">
        <v>21</v>
      </c>
    </row>
    <row r="425" spans="2:6" s="247" customFormat="1" x14ac:dyDescent="0.25">
      <c r="B425" s="69" t="s">
        <v>2061</v>
      </c>
      <c r="C425" s="69" t="s">
        <v>303</v>
      </c>
      <c r="D425" s="238" t="s">
        <v>861</v>
      </c>
      <c r="E425" s="82" t="s">
        <v>305</v>
      </c>
      <c r="F425" s="249">
        <v>21</v>
      </c>
    </row>
    <row r="426" spans="2:6" s="247" customFormat="1" x14ac:dyDescent="0.25">
      <c r="B426" s="69" t="s">
        <v>2062</v>
      </c>
      <c r="C426" s="69" t="s">
        <v>303</v>
      </c>
      <c r="D426" s="238" t="s">
        <v>863</v>
      </c>
      <c r="E426" s="82" t="s">
        <v>305</v>
      </c>
      <c r="F426" s="249">
        <v>21</v>
      </c>
    </row>
    <row r="427" spans="2:6" s="247" customFormat="1" x14ac:dyDescent="0.25">
      <c r="B427" s="69" t="s">
        <v>2063</v>
      </c>
      <c r="C427" s="69" t="s">
        <v>303</v>
      </c>
      <c r="D427" s="238" t="s">
        <v>865</v>
      </c>
      <c r="E427" s="82" t="s">
        <v>305</v>
      </c>
      <c r="F427" s="249">
        <v>21</v>
      </c>
    </row>
    <row r="428" spans="2:6" s="247" customFormat="1" x14ac:dyDescent="0.25">
      <c r="B428" s="69" t="s">
        <v>2064</v>
      </c>
      <c r="C428" s="69" t="s">
        <v>303</v>
      </c>
      <c r="D428" s="238" t="s">
        <v>867</v>
      </c>
      <c r="E428" s="82" t="s">
        <v>305</v>
      </c>
      <c r="F428" s="249">
        <v>21</v>
      </c>
    </row>
    <row r="429" spans="2:6" s="247" customFormat="1" x14ac:dyDescent="0.25">
      <c r="B429" s="69" t="s">
        <v>2065</v>
      </c>
      <c r="C429" s="69" t="s">
        <v>303</v>
      </c>
      <c r="D429" s="238" t="s">
        <v>869</v>
      </c>
      <c r="E429" s="82" t="s">
        <v>305</v>
      </c>
      <c r="F429" s="249">
        <v>21</v>
      </c>
    </row>
    <row r="430" spans="2:6" s="247" customFormat="1" x14ac:dyDescent="0.25">
      <c r="B430" s="69" t="s">
        <v>2066</v>
      </c>
      <c r="C430" s="69" t="s">
        <v>303</v>
      </c>
      <c r="D430" s="238" t="s">
        <v>871</v>
      </c>
      <c r="E430" s="82" t="s">
        <v>305</v>
      </c>
      <c r="F430" s="249">
        <v>21</v>
      </c>
    </row>
    <row r="431" spans="2:6" s="247" customFormat="1" x14ac:dyDescent="0.25">
      <c r="B431" s="63" t="s">
        <v>1007</v>
      </c>
      <c r="C431" s="63"/>
      <c r="D431" s="64" t="s">
        <v>5</v>
      </c>
      <c r="E431" s="64"/>
      <c r="F431" s="64"/>
    </row>
    <row r="432" spans="2:6" s="247" customFormat="1" x14ac:dyDescent="0.25">
      <c r="B432" s="69" t="s">
        <v>1390</v>
      </c>
      <c r="C432" s="69" t="s">
        <v>303</v>
      </c>
      <c r="D432" s="238" t="s">
        <v>1388</v>
      </c>
      <c r="E432" s="82" t="s">
        <v>305</v>
      </c>
      <c r="F432" s="249">
        <v>12</v>
      </c>
    </row>
    <row r="433" spans="2:6" s="247" customFormat="1" x14ac:dyDescent="0.25">
      <c r="B433" s="69" t="s">
        <v>1391</v>
      </c>
      <c r="C433" s="69" t="s">
        <v>303</v>
      </c>
      <c r="D433" s="238" t="s">
        <v>1389</v>
      </c>
      <c r="E433" s="82" t="s">
        <v>305</v>
      </c>
      <c r="F433" s="249">
        <v>12</v>
      </c>
    </row>
    <row r="434" spans="2:6" s="247" customFormat="1" x14ac:dyDescent="0.25">
      <c r="B434" s="267" t="s">
        <v>1011</v>
      </c>
      <c r="C434" s="267"/>
      <c r="D434" s="268" t="s">
        <v>1012</v>
      </c>
      <c r="E434" s="268"/>
      <c r="F434" s="268"/>
    </row>
    <row r="435" spans="2:6" s="247" customFormat="1" x14ac:dyDescent="0.25">
      <c r="B435" s="69" t="s">
        <v>1775</v>
      </c>
      <c r="C435" s="69" t="s">
        <v>303</v>
      </c>
      <c r="D435" s="238" t="s">
        <v>2430</v>
      </c>
      <c r="E435" s="82" t="s">
        <v>305</v>
      </c>
      <c r="F435" s="69">
        <v>31</v>
      </c>
    </row>
    <row r="436" spans="2:6" s="247" customFormat="1" x14ac:dyDescent="0.25">
      <c r="B436" s="69" t="s">
        <v>1776</v>
      </c>
      <c r="C436" s="69" t="s">
        <v>303</v>
      </c>
      <c r="D436" s="238" t="s">
        <v>1016</v>
      </c>
      <c r="E436" s="82" t="s">
        <v>305</v>
      </c>
      <c r="F436" s="69">
        <v>31</v>
      </c>
    </row>
    <row r="437" spans="2:6" s="247" customFormat="1" x14ac:dyDescent="0.25">
      <c r="B437" s="69" t="s">
        <v>1777</v>
      </c>
      <c r="C437" s="69" t="s">
        <v>303</v>
      </c>
      <c r="D437" s="238" t="s">
        <v>1018</v>
      </c>
      <c r="E437" s="82" t="s">
        <v>305</v>
      </c>
      <c r="F437" s="69">
        <v>31</v>
      </c>
    </row>
    <row r="438" spans="2:6" s="247" customFormat="1" x14ac:dyDescent="0.25">
      <c r="B438" s="69" t="s">
        <v>1778</v>
      </c>
      <c r="C438" s="69" t="s">
        <v>303</v>
      </c>
      <c r="D438" s="238" t="s">
        <v>1020</v>
      </c>
      <c r="E438" s="82" t="s">
        <v>305</v>
      </c>
      <c r="F438" s="69">
        <v>31</v>
      </c>
    </row>
    <row r="439" spans="2:6" s="247" customFormat="1" x14ac:dyDescent="0.25">
      <c r="B439" s="69" t="s">
        <v>1779</v>
      </c>
      <c r="C439" s="69" t="s">
        <v>303</v>
      </c>
      <c r="D439" s="238" t="s">
        <v>1564</v>
      </c>
      <c r="E439" s="82" t="s">
        <v>305</v>
      </c>
      <c r="F439" s="69">
        <v>31</v>
      </c>
    </row>
    <row r="440" spans="2:6" s="247" customFormat="1" x14ac:dyDescent="0.25">
      <c r="B440" s="69" t="s">
        <v>1780</v>
      </c>
      <c r="C440" s="69" t="s">
        <v>303</v>
      </c>
      <c r="D440" s="238" t="s">
        <v>2429</v>
      </c>
      <c r="E440" s="82" t="s">
        <v>305</v>
      </c>
      <c r="F440" s="69">
        <v>31</v>
      </c>
    </row>
    <row r="441" spans="2:6" s="247" customFormat="1" x14ac:dyDescent="0.25">
      <c r="B441" s="69" t="s">
        <v>1781</v>
      </c>
      <c r="C441" s="69" t="s">
        <v>303</v>
      </c>
      <c r="D441" s="238" t="s">
        <v>1565</v>
      </c>
      <c r="E441" s="82" t="s">
        <v>305</v>
      </c>
      <c r="F441" s="69">
        <v>31</v>
      </c>
    </row>
    <row r="442" spans="2:6" s="247" customFormat="1" x14ac:dyDescent="0.25">
      <c r="B442" s="69" t="s">
        <v>1782</v>
      </c>
      <c r="C442" s="69" t="s">
        <v>303</v>
      </c>
      <c r="D442" s="238" t="s">
        <v>1566</v>
      </c>
      <c r="E442" s="82" t="s">
        <v>305</v>
      </c>
      <c r="F442" s="69">
        <v>31</v>
      </c>
    </row>
    <row r="443" spans="2:6" s="247" customFormat="1" x14ac:dyDescent="0.25">
      <c r="B443" s="69" t="s">
        <v>1783</v>
      </c>
      <c r="C443" s="69" t="s">
        <v>303</v>
      </c>
      <c r="D443" s="238" t="s">
        <v>2033</v>
      </c>
      <c r="E443" s="82" t="s">
        <v>305</v>
      </c>
      <c r="F443" s="69">
        <v>31</v>
      </c>
    </row>
    <row r="444" spans="2:6" s="247" customFormat="1" x14ac:dyDescent="0.25">
      <c r="B444" s="69" t="s">
        <v>1784</v>
      </c>
      <c r="C444" s="69" t="s">
        <v>303</v>
      </c>
      <c r="D444" s="238" t="s">
        <v>2034</v>
      </c>
      <c r="E444" s="82" t="s">
        <v>305</v>
      </c>
      <c r="F444" s="69">
        <v>31</v>
      </c>
    </row>
    <row r="445" spans="2:6" s="247" customFormat="1" x14ac:dyDescent="0.25">
      <c r="B445" s="69" t="s">
        <v>1785</v>
      </c>
      <c r="C445" s="69" t="s">
        <v>303</v>
      </c>
      <c r="D445" s="238" t="s">
        <v>2035</v>
      </c>
      <c r="E445" s="82" t="s">
        <v>305</v>
      </c>
      <c r="F445" s="69">
        <v>31</v>
      </c>
    </row>
    <row r="446" spans="2:6" s="247" customFormat="1" x14ac:dyDescent="0.25">
      <c r="B446" s="69" t="s">
        <v>1786</v>
      </c>
      <c r="C446" s="69" t="s">
        <v>303</v>
      </c>
      <c r="D446" s="238" t="s">
        <v>1567</v>
      </c>
      <c r="E446" s="82" t="s">
        <v>305</v>
      </c>
      <c r="F446" s="69">
        <v>31</v>
      </c>
    </row>
    <row r="447" spans="2:6" s="247" customFormat="1" x14ac:dyDescent="0.25">
      <c r="B447" s="69" t="s">
        <v>1787</v>
      </c>
      <c r="C447" s="69" t="s">
        <v>303</v>
      </c>
      <c r="D447" s="238" t="s">
        <v>1038</v>
      </c>
      <c r="E447" s="82" t="s">
        <v>305</v>
      </c>
      <c r="F447" s="69">
        <v>31</v>
      </c>
    </row>
    <row r="448" spans="2:6" s="247" customFormat="1" x14ac:dyDescent="0.25">
      <c r="B448" s="69" t="s">
        <v>1788</v>
      </c>
      <c r="C448" s="69" t="s">
        <v>303</v>
      </c>
      <c r="D448" s="238" t="s">
        <v>2036</v>
      </c>
      <c r="E448" s="82" t="s">
        <v>305</v>
      </c>
      <c r="F448" s="69">
        <v>31</v>
      </c>
    </row>
    <row r="449" spans="2:6" s="247" customFormat="1" x14ac:dyDescent="0.25">
      <c r="B449" s="69" t="s">
        <v>1789</v>
      </c>
      <c r="C449" s="69" t="s">
        <v>303</v>
      </c>
      <c r="D449" s="238" t="s">
        <v>1568</v>
      </c>
      <c r="E449" s="82" t="s">
        <v>305</v>
      </c>
      <c r="F449" s="69">
        <v>31</v>
      </c>
    </row>
    <row r="450" spans="2:6" s="247" customFormat="1" x14ac:dyDescent="0.25">
      <c r="B450" s="267" t="s">
        <v>1039</v>
      </c>
      <c r="C450" s="267"/>
      <c r="D450" s="268" t="s">
        <v>6</v>
      </c>
      <c r="E450" s="268"/>
      <c r="F450" s="268"/>
    </row>
    <row r="451" spans="2:6" s="247" customFormat="1" x14ac:dyDescent="0.25">
      <c r="B451" s="249" t="s">
        <v>1790</v>
      </c>
      <c r="C451" s="69" t="s">
        <v>303</v>
      </c>
      <c r="D451" s="238" t="s">
        <v>2443</v>
      </c>
      <c r="E451" s="82" t="s">
        <v>305</v>
      </c>
      <c r="F451" s="69">
        <v>21</v>
      </c>
    </row>
    <row r="452" spans="2:6" s="247" customFormat="1" x14ac:dyDescent="0.25">
      <c r="B452" s="249" t="s">
        <v>1791</v>
      </c>
      <c r="C452" s="69" t="s">
        <v>303</v>
      </c>
      <c r="D452" s="238" t="s">
        <v>2440</v>
      </c>
      <c r="E452" s="82" t="s">
        <v>305</v>
      </c>
      <c r="F452" s="69">
        <v>21</v>
      </c>
    </row>
    <row r="453" spans="2:6" s="247" customFormat="1" x14ac:dyDescent="0.25">
      <c r="B453" s="249" t="s">
        <v>1792</v>
      </c>
      <c r="C453" s="69" t="s">
        <v>303</v>
      </c>
      <c r="D453" s="238" t="s">
        <v>2441</v>
      </c>
      <c r="E453" s="82" t="s">
        <v>305</v>
      </c>
      <c r="F453" s="69">
        <v>21</v>
      </c>
    </row>
    <row r="454" spans="2:6" s="247" customFormat="1" x14ac:dyDescent="0.25">
      <c r="B454" s="249" t="s">
        <v>1793</v>
      </c>
      <c r="C454" s="69" t="s">
        <v>303</v>
      </c>
      <c r="D454" s="238" t="s">
        <v>2442</v>
      </c>
      <c r="E454" s="82" t="s">
        <v>305</v>
      </c>
      <c r="F454" s="69">
        <v>21</v>
      </c>
    </row>
    <row r="455" spans="2:6" s="247" customFormat="1" x14ac:dyDescent="0.25">
      <c r="B455" s="249" t="s">
        <v>1794</v>
      </c>
      <c r="C455" s="69" t="s">
        <v>303</v>
      </c>
      <c r="D455" s="238" t="s">
        <v>1051</v>
      </c>
      <c r="E455" s="82" t="s">
        <v>305</v>
      </c>
      <c r="F455" s="69">
        <v>21</v>
      </c>
    </row>
    <row r="456" spans="2:6" s="247" customFormat="1" x14ac:dyDescent="0.25">
      <c r="B456" s="249" t="s">
        <v>1795</v>
      </c>
      <c r="C456" s="69" t="s">
        <v>303</v>
      </c>
      <c r="D456" s="238" t="s">
        <v>1053</v>
      </c>
      <c r="E456" s="82" t="s">
        <v>305</v>
      </c>
      <c r="F456" s="69">
        <v>21</v>
      </c>
    </row>
    <row r="457" spans="2:6" s="247" customFormat="1" x14ac:dyDescent="0.25">
      <c r="B457" s="249" t="s">
        <v>1796</v>
      </c>
      <c r="C457" s="69" t="s">
        <v>303</v>
      </c>
      <c r="D457" s="238" t="s">
        <v>1055</v>
      </c>
      <c r="E457" s="82" t="s">
        <v>305</v>
      </c>
      <c r="F457" s="69">
        <v>21</v>
      </c>
    </row>
    <row r="458" spans="2:6" s="247" customFormat="1" ht="25.5" x14ac:dyDescent="0.25">
      <c r="B458" s="249" t="s">
        <v>1797</v>
      </c>
      <c r="C458" s="69" t="s">
        <v>303</v>
      </c>
      <c r="D458" s="238" t="s">
        <v>1057</v>
      </c>
      <c r="E458" s="82" t="s">
        <v>305</v>
      </c>
      <c r="F458" s="69">
        <v>21</v>
      </c>
    </row>
    <row r="459" spans="2:6" s="247" customFormat="1" ht="25.5" x14ac:dyDescent="0.25">
      <c r="B459" s="249" t="s">
        <v>1798</v>
      </c>
      <c r="C459" s="69" t="s">
        <v>303</v>
      </c>
      <c r="D459" s="238" t="s">
        <v>1059</v>
      </c>
      <c r="E459" s="82" t="s">
        <v>305</v>
      </c>
      <c r="F459" s="69">
        <v>21</v>
      </c>
    </row>
    <row r="460" spans="2:6" s="247" customFormat="1" x14ac:dyDescent="0.25">
      <c r="B460" s="267" t="s">
        <v>1569</v>
      </c>
      <c r="C460" s="267"/>
      <c r="D460" s="268" t="s">
        <v>7</v>
      </c>
      <c r="E460" s="268"/>
      <c r="F460" s="268"/>
    </row>
    <row r="461" spans="2:6" s="247" customFormat="1" x14ac:dyDescent="0.25">
      <c r="B461" s="69" t="s">
        <v>1799</v>
      </c>
      <c r="C461" s="69" t="s">
        <v>303</v>
      </c>
      <c r="D461" s="70" t="s">
        <v>1061</v>
      </c>
      <c r="E461" s="69" t="s">
        <v>305</v>
      </c>
      <c r="F461" s="69">
        <v>21</v>
      </c>
    </row>
    <row r="462" spans="2:6" s="247" customFormat="1" ht="25.5" x14ac:dyDescent="0.25">
      <c r="B462" s="381" t="s">
        <v>1800</v>
      </c>
      <c r="C462" s="381" t="s">
        <v>303</v>
      </c>
      <c r="D462" s="477" t="s">
        <v>1063</v>
      </c>
      <c r="E462" s="381" t="s">
        <v>305</v>
      </c>
      <c r="F462" s="381">
        <v>21</v>
      </c>
    </row>
    <row r="463" spans="2:6" s="247" customFormat="1" x14ac:dyDescent="0.25">
      <c r="B463" s="267" t="s">
        <v>2139</v>
      </c>
      <c r="C463" s="267"/>
      <c r="D463" s="268" t="s">
        <v>2140</v>
      </c>
      <c r="E463" s="268"/>
      <c r="F463" s="268"/>
    </row>
    <row r="464" spans="2:6" s="247" customFormat="1" x14ac:dyDescent="0.25">
      <c r="B464" s="474" t="s">
        <v>2224</v>
      </c>
      <c r="C464" s="474"/>
      <c r="D464" s="475" t="s">
        <v>2141</v>
      </c>
      <c r="E464" s="475"/>
      <c r="F464" s="475"/>
    </row>
    <row r="465" spans="2:6" s="247" customFormat="1" x14ac:dyDescent="0.25">
      <c r="B465" s="454" t="s">
        <v>2225</v>
      </c>
      <c r="C465" s="454"/>
      <c r="D465" s="455" t="s">
        <v>2142</v>
      </c>
      <c r="E465" s="455"/>
      <c r="F465" s="455"/>
    </row>
    <row r="466" spans="2:6" s="247" customFormat="1" ht="38.25" x14ac:dyDescent="0.25">
      <c r="B466" s="381" t="s">
        <v>2280</v>
      </c>
      <c r="C466" s="381" t="s">
        <v>2226</v>
      </c>
      <c r="D466" s="451" t="s">
        <v>2143</v>
      </c>
      <c r="E466" s="452" t="s">
        <v>2144</v>
      </c>
      <c r="F466" s="452">
        <v>100</v>
      </c>
    </row>
    <row r="467" spans="2:6" s="247" customFormat="1" ht="25.5" x14ac:dyDescent="0.25">
      <c r="B467" s="381" t="s">
        <v>2281</v>
      </c>
      <c r="C467" s="381" t="s">
        <v>2227</v>
      </c>
      <c r="D467" s="451" t="s">
        <v>2145</v>
      </c>
      <c r="E467" s="452" t="s">
        <v>2146</v>
      </c>
      <c r="F467" s="452">
        <v>35</v>
      </c>
    </row>
    <row r="468" spans="2:6" s="247" customFormat="1" ht="38.25" x14ac:dyDescent="0.25">
      <c r="B468" s="381" t="s">
        <v>2282</v>
      </c>
      <c r="C468" s="381" t="s">
        <v>2228</v>
      </c>
      <c r="D468" s="451" t="s">
        <v>2147</v>
      </c>
      <c r="E468" s="452" t="s">
        <v>2146</v>
      </c>
      <c r="F468" s="452">
        <v>10.8</v>
      </c>
    </row>
    <row r="469" spans="2:6" s="247" customFormat="1" ht="25.5" x14ac:dyDescent="0.25">
      <c r="B469" s="381" t="s">
        <v>2283</v>
      </c>
      <c r="C469" s="381" t="s">
        <v>2229</v>
      </c>
      <c r="D469" s="451" t="s">
        <v>2148</v>
      </c>
      <c r="E469" s="452" t="s">
        <v>2144</v>
      </c>
      <c r="F469" s="452">
        <v>35</v>
      </c>
    </row>
    <row r="470" spans="2:6" s="247" customFormat="1" ht="25.5" x14ac:dyDescent="0.25">
      <c r="B470" s="381" t="s">
        <v>2284</v>
      </c>
      <c r="C470" s="381" t="s">
        <v>2230</v>
      </c>
      <c r="D470" s="451" t="s">
        <v>2149</v>
      </c>
      <c r="E470" s="452" t="s">
        <v>2144</v>
      </c>
      <c r="F470" s="452">
        <v>40</v>
      </c>
    </row>
    <row r="471" spans="2:6" s="247" customFormat="1" x14ac:dyDescent="0.25">
      <c r="B471" s="381" t="s">
        <v>2285</v>
      </c>
      <c r="C471" s="381" t="s">
        <v>2231</v>
      </c>
      <c r="D471" s="451" t="s">
        <v>2150</v>
      </c>
      <c r="E471" s="452" t="s">
        <v>1089</v>
      </c>
      <c r="F471" s="452">
        <v>40</v>
      </c>
    </row>
    <row r="472" spans="2:6" s="247" customFormat="1" x14ac:dyDescent="0.25">
      <c r="B472" s="454" t="s">
        <v>2286</v>
      </c>
      <c r="C472" s="454"/>
      <c r="D472" s="455" t="s">
        <v>2151</v>
      </c>
      <c r="E472" s="455"/>
      <c r="F472" s="455"/>
    </row>
    <row r="473" spans="2:6" s="247" customFormat="1" ht="51" x14ac:dyDescent="0.25">
      <c r="B473" s="381" t="s">
        <v>2287</v>
      </c>
      <c r="C473" s="381" t="s">
        <v>2232</v>
      </c>
      <c r="D473" s="451" t="s">
        <v>2152</v>
      </c>
      <c r="E473" s="452" t="s">
        <v>1940</v>
      </c>
      <c r="F473" s="452">
        <v>60</v>
      </c>
    </row>
    <row r="474" spans="2:6" s="247" customFormat="1" ht="38.25" x14ac:dyDescent="0.25">
      <c r="B474" s="381" t="s">
        <v>2288</v>
      </c>
      <c r="C474" s="381" t="s">
        <v>2233</v>
      </c>
      <c r="D474" s="451" t="s">
        <v>2153</v>
      </c>
      <c r="E474" s="452" t="s">
        <v>2146</v>
      </c>
      <c r="F474" s="452">
        <v>13.2</v>
      </c>
    </row>
    <row r="475" spans="2:6" s="247" customFormat="1" ht="38.25" x14ac:dyDescent="0.25">
      <c r="B475" s="381" t="s">
        <v>2289</v>
      </c>
      <c r="C475" s="381" t="s">
        <v>2234</v>
      </c>
      <c r="D475" s="451" t="s">
        <v>2154</v>
      </c>
      <c r="E475" s="452" t="s">
        <v>2144</v>
      </c>
      <c r="F475" s="452">
        <v>50</v>
      </c>
    </row>
    <row r="476" spans="2:6" s="247" customFormat="1" ht="38.25" x14ac:dyDescent="0.25">
      <c r="B476" s="381" t="s">
        <v>2290</v>
      </c>
      <c r="C476" s="381" t="s">
        <v>2235</v>
      </c>
      <c r="D476" s="451" t="s">
        <v>2155</v>
      </c>
      <c r="E476" s="452" t="s">
        <v>2146</v>
      </c>
      <c r="F476" s="452">
        <v>1</v>
      </c>
    </row>
    <row r="477" spans="2:6" s="247" customFormat="1" ht="38.25" x14ac:dyDescent="0.25">
      <c r="B477" s="381" t="s">
        <v>2291</v>
      </c>
      <c r="C477" s="381" t="s">
        <v>2236</v>
      </c>
      <c r="D477" s="451" t="s">
        <v>2156</v>
      </c>
      <c r="E477" s="452" t="s">
        <v>2144</v>
      </c>
      <c r="F477" s="452">
        <v>40</v>
      </c>
    </row>
    <row r="478" spans="2:6" s="247" customFormat="1" x14ac:dyDescent="0.25">
      <c r="B478" s="454" t="s">
        <v>2292</v>
      </c>
      <c r="C478" s="454"/>
      <c r="D478" s="455" t="s">
        <v>2157</v>
      </c>
      <c r="E478" s="455"/>
      <c r="F478" s="455"/>
    </row>
    <row r="479" spans="2:6" s="247" customFormat="1" ht="51" x14ac:dyDescent="0.25">
      <c r="B479" s="381" t="s">
        <v>2293</v>
      </c>
      <c r="C479" s="381" t="s">
        <v>2237</v>
      </c>
      <c r="D479" s="451" t="s">
        <v>2158</v>
      </c>
      <c r="E479" s="452" t="s">
        <v>2144</v>
      </c>
      <c r="F479" s="452">
        <v>19.5</v>
      </c>
    </row>
    <row r="480" spans="2:6" s="247" customFormat="1" ht="51" x14ac:dyDescent="0.25">
      <c r="B480" s="381" t="s">
        <v>2294</v>
      </c>
      <c r="C480" s="381" t="s">
        <v>2238</v>
      </c>
      <c r="D480" s="451" t="s">
        <v>2159</v>
      </c>
      <c r="E480" s="452" t="s">
        <v>2144</v>
      </c>
      <c r="F480" s="452">
        <v>39</v>
      </c>
    </row>
    <row r="481" spans="2:6" s="247" customFormat="1" ht="51" x14ac:dyDescent="0.25">
      <c r="B481" s="381" t="s">
        <v>2295</v>
      </c>
      <c r="C481" s="381" t="s">
        <v>2239</v>
      </c>
      <c r="D481" s="451" t="s">
        <v>2160</v>
      </c>
      <c r="E481" s="452" t="s">
        <v>2144</v>
      </c>
      <c r="F481" s="452">
        <v>39</v>
      </c>
    </row>
    <row r="482" spans="2:6" s="247" customFormat="1" x14ac:dyDescent="0.25">
      <c r="B482" s="454" t="s">
        <v>2296</v>
      </c>
      <c r="C482" s="454"/>
      <c r="D482" s="455" t="s">
        <v>2161</v>
      </c>
      <c r="E482" s="455"/>
      <c r="F482" s="455"/>
    </row>
    <row r="483" spans="2:6" s="247" customFormat="1" x14ac:dyDescent="0.25">
      <c r="B483" s="381" t="s">
        <v>2297</v>
      </c>
      <c r="C483" s="381" t="s">
        <v>2240</v>
      </c>
      <c r="D483" s="451" t="s">
        <v>2162</v>
      </c>
      <c r="E483" s="452" t="s">
        <v>1119</v>
      </c>
      <c r="F483" s="452">
        <v>25</v>
      </c>
    </row>
    <row r="484" spans="2:6" s="247" customFormat="1" ht="25.5" x14ac:dyDescent="0.25">
      <c r="B484" s="381" t="s">
        <v>2298</v>
      </c>
      <c r="C484" s="381" t="s">
        <v>2241</v>
      </c>
      <c r="D484" s="451" t="s">
        <v>2163</v>
      </c>
      <c r="E484" s="452" t="s">
        <v>1119</v>
      </c>
      <c r="F484" s="452">
        <v>25</v>
      </c>
    </row>
    <row r="485" spans="2:6" s="247" customFormat="1" ht="63.75" x14ac:dyDescent="0.25">
      <c r="B485" s="381" t="s">
        <v>2299</v>
      </c>
      <c r="C485" s="381" t="s">
        <v>2242</v>
      </c>
      <c r="D485" s="451" t="s">
        <v>2164</v>
      </c>
      <c r="E485" s="452" t="s">
        <v>1940</v>
      </c>
      <c r="F485" s="452">
        <v>20</v>
      </c>
    </row>
    <row r="486" spans="2:6" s="247" customFormat="1" ht="25.5" x14ac:dyDescent="0.25">
      <c r="B486" s="381" t="s">
        <v>2300</v>
      </c>
      <c r="C486" s="381" t="s">
        <v>2243</v>
      </c>
      <c r="D486" s="451" t="s">
        <v>2165</v>
      </c>
      <c r="E486" s="452" t="s">
        <v>2144</v>
      </c>
      <c r="F486" s="452">
        <v>14.84</v>
      </c>
    </row>
    <row r="487" spans="2:6" s="247" customFormat="1" ht="25.5" x14ac:dyDescent="0.25">
      <c r="B487" s="381" t="s">
        <v>2301</v>
      </c>
      <c r="C487" s="381" t="s">
        <v>2244</v>
      </c>
      <c r="D487" s="451" t="s">
        <v>2166</v>
      </c>
      <c r="E487" s="452" t="s">
        <v>1940</v>
      </c>
      <c r="F487" s="452">
        <v>28</v>
      </c>
    </row>
    <row r="488" spans="2:6" s="247" customFormat="1" x14ac:dyDescent="0.25">
      <c r="B488" s="454" t="s">
        <v>2302</v>
      </c>
      <c r="C488" s="454"/>
      <c r="D488" s="455" t="s">
        <v>2167</v>
      </c>
      <c r="E488" s="455"/>
      <c r="F488" s="455"/>
    </row>
    <row r="489" spans="2:6" s="247" customFormat="1" ht="25.5" x14ac:dyDescent="0.25">
      <c r="B489" s="381" t="s">
        <v>2303</v>
      </c>
      <c r="C489" s="381" t="s">
        <v>2245</v>
      </c>
      <c r="D489" s="451" t="s">
        <v>2169</v>
      </c>
      <c r="E489" s="452" t="s">
        <v>1119</v>
      </c>
      <c r="F489" s="452">
        <v>30</v>
      </c>
    </row>
    <row r="490" spans="2:6" s="247" customFormat="1" ht="25.5" x14ac:dyDescent="0.25">
      <c r="B490" s="381" t="s">
        <v>2304</v>
      </c>
      <c r="C490" s="381" t="s">
        <v>2246</v>
      </c>
      <c r="D490" s="451" t="s">
        <v>2170</v>
      </c>
      <c r="E490" s="452" t="s">
        <v>1940</v>
      </c>
      <c r="F490" s="452">
        <v>50</v>
      </c>
    </row>
    <row r="491" spans="2:6" s="247" customFormat="1" ht="25.5" x14ac:dyDescent="0.25">
      <c r="B491" s="381" t="s">
        <v>2305</v>
      </c>
      <c r="C491" s="381" t="s">
        <v>2247</v>
      </c>
      <c r="D491" s="451" t="s">
        <v>2171</v>
      </c>
      <c r="E491" s="452" t="s">
        <v>1940</v>
      </c>
      <c r="F491" s="452">
        <v>10</v>
      </c>
    </row>
    <row r="492" spans="2:6" s="247" customFormat="1" ht="25.5" x14ac:dyDescent="0.25">
      <c r="B492" s="381" t="s">
        <v>2306</v>
      </c>
      <c r="C492" s="381" t="s">
        <v>2248</v>
      </c>
      <c r="D492" s="451" t="s">
        <v>2172</v>
      </c>
      <c r="E492" s="452" t="s">
        <v>2173</v>
      </c>
      <c r="F492" s="452">
        <v>2</v>
      </c>
    </row>
    <row r="493" spans="2:6" s="247" customFormat="1" x14ac:dyDescent="0.25">
      <c r="B493" s="381" t="s">
        <v>2307</v>
      </c>
      <c r="C493" s="381" t="s">
        <v>2249</v>
      </c>
      <c r="D493" s="451" t="s">
        <v>2174</v>
      </c>
      <c r="E493" s="452" t="s">
        <v>2173</v>
      </c>
      <c r="F493" s="452">
        <v>6</v>
      </c>
    </row>
    <row r="494" spans="2:6" s="247" customFormat="1" ht="25.5" x14ac:dyDescent="0.25">
      <c r="B494" s="381" t="s">
        <v>2308</v>
      </c>
      <c r="C494" s="381" t="s">
        <v>2250</v>
      </c>
      <c r="D494" s="451" t="s">
        <v>2175</v>
      </c>
      <c r="E494" s="452" t="s">
        <v>2173</v>
      </c>
      <c r="F494" s="452">
        <v>10</v>
      </c>
    </row>
    <row r="495" spans="2:6" s="247" customFormat="1" ht="25.5" x14ac:dyDescent="0.25">
      <c r="B495" s="381" t="s">
        <v>2309</v>
      </c>
      <c r="C495" s="381" t="s">
        <v>2251</v>
      </c>
      <c r="D495" s="451" t="s">
        <v>2176</v>
      </c>
      <c r="E495" s="452" t="s">
        <v>2173</v>
      </c>
      <c r="F495" s="452">
        <v>10</v>
      </c>
    </row>
    <row r="496" spans="2:6" s="247" customFormat="1" ht="25.5" x14ac:dyDescent="0.25">
      <c r="B496" s="381" t="s">
        <v>2310</v>
      </c>
      <c r="C496" s="381" t="s">
        <v>2252</v>
      </c>
      <c r="D496" s="451" t="s">
        <v>2177</v>
      </c>
      <c r="E496" s="452" t="s">
        <v>2178</v>
      </c>
      <c r="F496" s="452">
        <v>40</v>
      </c>
    </row>
    <row r="497" spans="2:6" s="247" customFormat="1" ht="38.25" x14ac:dyDescent="0.25">
      <c r="B497" s="381" t="s">
        <v>2311</v>
      </c>
      <c r="C497" s="381" t="s">
        <v>2253</v>
      </c>
      <c r="D497" s="451" t="s">
        <v>2181</v>
      </c>
      <c r="E497" s="452" t="s">
        <v>1940</v>
      </c>
      <c r="F497" s="452">
        <v>40</v>
      </c>
    </row>
    <row r="498" spans="2:6" s="247" customFormat="1" x14ac:dyDescent="0.25">
      <c r="B498" s="454" t="s">
        <v>2312</v>
      </c>
      <c r="C498" s="454"/>
      <c r="D498" s="455" t="s">
        <v>2182</v>
      </c>
      <c r="E498" s="455"/>
      <c r="F498" s="455"/>
    </row>
    <row r="499" spans="2:6" s="247" customFormat="1" ht="51" x14ac:dyDescent="0.25">
      <c r="B499" s="381" t="s">
        <v>2313</v>
      </c>
      <c r="C499" s="381" t="s">
        <v>2254</v>
      </c>
      <c r="D499" s="451" t="s">
        <v>2183</v>
      </c>
      <c r="E499" s="452" t="s">
        <v>2144</v>
      </c>
      <c r="F499" s="452">
        <v>51.99</v>
      </c>
    </row>
    <row r="500" spans="2:6" s="247" customFormat="1" x14ac:dyDescent="0.25">
      <c r="B500" s="454" t="s">
        <v>2314</v>
      </c>
      <c r="C500" s="454"/>
      <c r="D500" s="455" t="s">
        <v>2184</v>
      </c>
      <c r="E500" s="455"/>
      <c r="F500" s="455"/>
    </row>
    <row r="501" spans="2:6" s="247" customFormat="1" ht="51" x14ac:dyDescent="0.25">
      <c r="B501" s="381" t="s">
        <v>2315</v>
      </c>
      <c r="C501" s="381" t="s">
        <v>2255</v>
      </c>
      <c r="D501" s="451" t="s">
        <v>2185</v>
      </c>
      <c r="E501" s="452" t="s">
        <v>2173</v>
      </c>
      <c r="F501" s="452">
        <v>5</v>
      </c>
    </row>
    <row r="502" spans="2:6" s="247" customFormat="1" x14ac:dyDescent="0.25">
      <c r="B502" s="474" t="s">
        <v>2316</v>
      </c>
      <c r="C502" s="474"/>
      <c r="D502" s="475" t="s">
        <v>2186</v>
      </c>
      <c r="E502" s="475"/>
      <c r="F502" s="475"/>
    </row>
    <row r="503" spans="2:6" s="247" customFormat="1" x14ac:dyDescent="0.25">
      <c r="B503" s="454" t="s">
        <v>2317</v>
      </c>
      <c r="C503" s="454"/>
      <c r="D503" s="455" t="s">
        <v>2187</v>
      </c>
      <c r="E503" s="455"/>
      <c r="F503" s="455"/>
    </row>
    <row r="504" spans="2:6" s="247" customFormat="1" ht="25.5" x14ac:dyDescent="0.25">
      <c r="B504" s="381" t="s">
        <v>2318</v>
      </c>
      <c r="C504" s="381" t="s">
        <v>2256</v>
      </c>
      <c r="D504" s="451" t="s">
        <v>2189</v>
      </c>
      <c r="E504" s="452" t="s">
        <v>1940</v>
      </c>
      <c r="F504" s="452">
        <v>15</v>
      </c>
    </row>
    <row r="505" spans="2:6" s="247" customFormat="1" ht="25.5" x14ac:dyDescent="0.25">
      <c r="B505" s="381" t="s">
        <v>2319</v>
      </c>
      <c r="C505" s="381" t="s">
        <v>2257</v>
      </c>
      <c r="D505" s="451" t="s">
        <v>2190</v>
      </c>
      <c r="E505" s="452" t="s">
        <v>2144</v>
      </c>
      <c r="F505" s="452">
        <v>28</v>
      </c>
    </row>
    <row r="506" spans="2:6" s="247" customFormat="1" x14ac:dyDescent="0.25">
      <c r="B506" s="454" t="s">
        <v>2320</v>
      </c>
      <c r="C506" s="454"/>
      <c r="D506" s="455" t="s">
        <v>2191</v>
      </c>
      <c r="E506" s="455"/>
      <c r="F506" s="455"/>
    </row>
    <row r="507" spans="2:6" s="247" customFormat="1" ht="25.5" x14ac:dyDescent="0.25">
      <c r="B507" s="381" t="s">
        <v>2321</v>
      </c>
      <c r="C507" s="381" t="s">
        <v>2258</v>
      </c>
      <c r="D507" s="451" t="s">
        <v>2193</v>
      </c>
      <c r="E507" s="452" t="s">
        <v>2144</v>
      </c>
      <c r="F507" s="452">
        <v>520.20000000000005</v>
      </c>
    </row>
    <row r="508" spans="2:6" s="247" customFormat="1" ht="25.5" x14ac:dyDescent="0.25">
      <c r="B508" s="381" t="s">
        <v>2322</v>
      </c>
      <c r="C508" s="381" t="s">
        <v>2259</v>
      </c>
      <c r="D508" s="451" t="s">
        <v>2195</v>
      </c>
      <c r="E508" s="452" t="s">
        <v>2144</v>
      </c>
      <c r="F508" s="452">
        <v>520.20000000000005</v>
      </c>
    </row>
    <row r="509" spans="2:6" s="247" customFormat="1" ht="25.5" x14ac:dyDescent="0.25">
      <c r="B509" s="381" t="s">
        <v>2323</v>
      </c>
      <c r="C509" s="381" t="s">
        <v>2259</v>
      </c>
      <c r="D509" s="451" t="s">
        <v>2195</v>
      </c>
      <c r="E509" s="452" t="s">
        <v>2144</v>
      </c>
      <c r="F509" s="452">
        <v>181</v>
      </c>
    </row>
    <row r="510" spans="2:6" s="247" customFormat="1" ht="25.5" x14ac:dyDescent="0.25">
      <c r="B510" s="381" t="s">
        <v>2324</v>
      </c>
      <c r="C510" s="381" t="s">
        <v>2258</v>
      </c>
      <c r="D510" s="451" t="s">
        <v>2193</v>
      </c>
      <c r="E510" s="452" t="s">
        <v>2144</v>
      </c>
      <c r="F510" s="452">
        <v>181</v>
      </c>
    </row>
    <row r="511" spans="2:6" s="247" customFormat="1" x14ac:dyDescent="0.25">
      <c r="B511" s="454" t="s">
        <v>2325</v>
      </c>
      <c r="C511" s="454"/>
      <c r="D511" s="455" t="s">
        <v>2196</v>
      </c>
      <c r="E511" s="455"/>
      <c r="F511" s="455"/>
    </row>
    <row r="512" spans="2:6" s="247" customFormat="1" ht="63.75" x14ac:dyDescent="0.25">
      <c r="B512" s="381" t="s">
        <v>2326</v>
      </c>
      <c r="C512" s="381" t="s">
        <v>2260</v>
      </c>
      <c r="D512" s="451" t="s">
        <v>2197</v>
      </c>
      <c r="E512" s="452" t="s">
        <v>2144</v>
      </c>
      <c r="F512" s="452">
        <v>20</v>
      </c>
    </row>
    <row r="513" spans="2:6" s="247" customFormat="1" x14ac:dyDescent="0.25">
      <c r="B513" s="454" t="s">
        <v>2327</v>
      </c>
      <c r="C513" s="454"/>
      <c r="D513" s="455" t="s">
        <v>2198</v>
      </c>
      <c r="E513" s="455"/>
      <c r="F513" s="455"/>
    </row>
    <row r="514" spans="2:6" s="247" customFormat="1" x14ac:dyDescent="0.25">
      <c r="B514" s="381" t="s">
        <v>2328</v>
      </c>
      <c r="C514" s="381" t="s">
        <v>2261</v>
      </c>
      <c r="D514" s="451" t="s">
        <v>2199</v>
      </c>
      <c r="E514" s="452" t="s">
        <v>2146</v>
      </c>
      <c r="F514" s="452">
        <v>6</v>
      </c>
    </row>
    <row r="515" spans="2:6" s="247" customFormat="1" x14ac:dyDescent="0.25">
      <c r="B515" s="474" t="s">
        <v>2329</v>
      </c>
      <c r="C515" s="474"/>
      <c r="D515" s="475" t="s">
        <v>2200</v>
      </c>
      <c r="E515" s="475"/>
      <c r="F515" s="475"/>
    </row>
    <row r="516" spans="2:6" s="247" customFormat="1" x14ac:dyDescent="0.25">
      <c r="B516" s="454" t="s">
        <v>2426</v>
      </c>
      <c r="C516" s="454"/>
      <c r="D516" s="455" t="s">
        <v>2201</v>
      </c>
      <c r="E516" s="455"/>
      <c r="F516" s="455"/>
    </row>
    <row r="517" spans="2:6" s="247" customFormat="1" ht="38.25" x14ac:dyDescent="0.25">
      <c r="B517" s="381" t="s">
        <v>2330</v>
      </c>
      <c r="C517" s="381" t="s">
        <v>2226</v>
      </c>
      <c r="D517" s="451" t="s">
        <v>2143</v>
      </c>
      <c r="E517" s="452" t="s">
        <v>2144</v>
      </c>
      <c r="F517" s="452">
        <v>75</v>
      </c>
    </row>
    <row r="518" spans="2:6" s="247" customFormat="1" ht="25.5" x14ac:dyDescent="0.25">
      <c r="B518" s="381" t="s">
        <v>2331</v>
      </c>
      <c r="C518" s="381" t="s">
        <v>2227</v>
      </c>
      <c r="D518" s="451" t="s">
        <v>2145</v>
      </c>
      <c r="E518" s="452" t="s">
        <v>2146</v>
      </c>
      <c r="F518" s="452">
        <v>11.25</v>
      </c>
    </row>
    <row r="519" spans="2:6" s="247" customFormat="1" ht="63.75" x14ac:dyDescent="0.25">
      <c r="B519" s="381" t="s">
        <v>2332</v>
      </c>
      <c r="C519" s="381" t="s">
        <v>2260</v>
      </c>
      <c r="D519" s="451" t="s">
        <v>2197</v>
      </c>
      <c r="E519" s="452" t="s">
        <v>2144</v>
      </c>
      <c r="F519" s="452">
        <v>75</v>
      </c>
    </row>
    <row r="520" spans="2:6" s="247" customFormat="1" x14ac:dyDescent="0.25">
      <c r="B520" s="454" t="s">
        <v>2333</v>
      </c>
      <c r="C520" s="454"/>
      <c r="D520" s="455" t="s">
        <v>2202</v>
      </c>
      <c r="E520" s="455"/>
      <c r="F520" s="455"/>
    </row>
    <row r="521" spans="2:6" s="247" customFormat="1" ht="25.5" x14ac:dyDescent="0.25">
      <c r="B521" s="381" t="s">
        <v>2334</v>
      </c>
      <c r="C521" s="381" t="s">
        <v>2262</v>
      </c>
      <c r="D521" s="451" t="s">
        <v>2203</v>
      </c>
      <c r="E521" s="452" t="s">
        <v>2146</v>
      </c>
      <c r="F521" s="452">
        <v>4.5</v>
      </c>
    </row>
    <row r="522" spans="2:6" s="247" customFormat="1" ht="51" x14ac:dyDescent="0.25">
      <c r="B522" s="381" t="s">
        <v>2335</v>
      </c>
      <c r="C522" s="381" t="s">
        <v>2237</v>
      </c>
      <c r="D522" s="451" t="s">
        <v>2158</v>
      </c>
      <c r="E522" s="452" t="s">
        <v>2144</v>
      </c>
      <c r="F522" s="452">
        <v>15</v>
      </c>
    </row>
    <row r="523" spans="2:6" s="247" customFormat="1" ht="51" x14ac:dyDescent="0.25">
      <c r="B523" s="381" t="s">
        <v>2336</v>
      </c>
      <c r="C523" s="381" t="s">
        <v>2238</v>
      </c>
      <c r="D523" s="451" t="s">
        <v>2159</v>
      </c>
      <c r="E523" s="452" t="s">
        <v>2144</v>
      </c>
      <c r="F523" s="452">
        <v>39</v>
      </c>
    </row>
    <row r="524" spans="2:6" s="247" customFormat="1" ht="51" x14ac:dyDescent="0.25">
      <c r="B524" s="381" t="s">
        <v>2337</v>
      </c>
      <c r="C524" s="381" t="s">
        <v>2239</v>
      </c>
      <c r="D524" s="451" t="s">
        <v>2160</v>
      </c>
      <c r="E524" s="452" t="s">
        <v>2144</v>
      </c>
      <c r="F524" s="452">
        <v>39</v>
      </c>
    </row>
    <row r="525" spans="2:6" s="247" customFormat="1" x14ac:dyDescent="0.25">
      <c r="B525" s="454" t="s">
        <v>2338</v>
      </c>
      <c r="C525" s="454"/>
      <c r="D525" s="455" t="s">
        <v>2204</v>
      </c>
      <c r="E525" s="455"/>
      <c r="F525" s="455"/>
    </row>
    <row r="526" spans="2:6" s="247" customFormat="1" ht="25.5" x14ac:dyDescent="0.25">
      <c r="B526" s="381" t="s">
        <v>2339</v>
      </c>
      <c r="C526" s="381" t="s">
        <v>2263</v>
      </c>
      <c r="D526" s="451" t="s">
        <v>2205</v>
      </c>
      <c r="E526" s="452" t="s">
        <v>1940</v>
      </c>
      <c r="F526" s="452">
        <v>50</v>
      </c>
    </row>
    <row r="527" spans="2:6" s="247" customFormat="1" ht="25.5" x14ac:dyDescent="0.25">
      <c r="B527" s="381" t="s">
        <v>2340</v>
      </c>
      <c r="C527" s="381" t="s">
        <v>2264</v>
      </c>
      <c r="D527" s="451" t="s">
        <v>2206</v>
      </c>
      <c r="E527" s="452" t="s">
        <v>1940</v>
      </c>
      <c r="F527" s="452">
        <v>50</v>
      </c>
    </row>
    <row r="528" spans="2:6" s="247" customFormat="1" ht="25.5" x14ac:dyDescent="0.25">
      <c r="B528" s="381" t="s">
        <v>2341</v>
      </c>
      <c r="C528" s="381" t="s">
        <v>2265</v>
      </c>
      <c r="D528" s="451" t="s">
        <v>2207</v>
      </c>
      <c r="E528" s="452" t="s">
        <v>1940</v>
      </c>
      <c r="F528" s="452">
        <v>150</v>
      </c>
    </row>
    <row r="529" spans="2:6" s="247" customFormat="1" ht="38.25" x14ac:dyDescent="0.25">
      <c r="B529" s="381" t="s">
        <v>2342</v>
      </c>
      <c r="C529" s="381" t="s">
        <v>2266</v>
      </c>
      <c r="D529" s="451" t="s">
        <v>2208</v>
      </c>
      <c r="E529" s="452" t="s">
        <v>2173</v>
      </c>
      <c r="F529" s="452">
        <v>5</v>
      </c>
    </row>
    <row r="530" spans="2:6" s="247" customFormat="1" ht="38.25" x14ac:dyDescent="0.25">
      <c r="B530" s="381" t="s">
        <v>2343</v>
      </c>
      <c r="C530" s="381" t="s">
        <v>2267</v>
      </c>
      <c r="D530" s="451" t="s">
        <v>2209</v>
      </c>
      <c r="E530" s="452" t="s">
        <v>2173</v>
      </c>
      <c r="F530" s="452">
        <v>5</v>
      </c>
    </row>
    <row r="531" spans="2:6" s="247" customFormat="1" ht="25.5" x14ac:dyDescent="0.25">
      <c r="B531" s="381" t="s">
        <v>2344</v>
      </c>
      <c r="C531" s="381" t="s">
        <v>2268</v>
      </c>
      <c r="D531" s="451" t="s">
        <v>2210</v>
      </c>
      <c r="E531" s="452" t="s">
        <v>1323</v>
      </c>
      <c r="F531" s="452">
        <v>10</v>
      </c>
    </row>
    <row r="532" spans="2:6" s="247" customFormat="1" ht="25.5" x14ac:dyDescent="0.25">
      <c r="B532" s="381" t="s">
        <v>2345</v>
      </c>
      <c r="C532" s="381" t="s">
        <v>2269</v>
      </c>
      <c r="D532" s="451" t="s">
        <v>2211</v>
      </c>
      <c r="E532" s="452" t="s">
        <v>1323</v>
      </c>
      <c r="F532" s="452">
        <v>5</v>
      </c>
    </row>
    <row r="533" spans="2:6" s="247" customFormat="1" ht="25.5" x14ac:dyDescent="0.25">
      <c r="B533" s="381" t="s">
        <v>2346</v>
      </c>
      <c r="C533" s="381" t="s">
        <v>2270</v>
      </c>
      <c r="D533" s="451" t="s">
        <v>2211</v>
      </c>
      <c r="E533" s="452" t="s">
        <v>1323</v>
      </c>
      <c r="F533" s="452">
        <v>5</v>
      </c>
    </row>
    <row r="534" spans="2:6" s="247" customFormat="1" ht="25.5" x14ac:dyDescent="0.25">
      <c r="B534" s="381" t="s">
        <v>2347</v>
      </c>
      <c r="C534" s="381" t="s">
        <v>2271</v>
      </c>
      <c r="D534" s="451" t="s">
        <v>2212</v>
      </c>
      <c r="E534" s="452" t="s">
        <v>1323</v>
      </c>
      <c r="F534" s="452">
        <v>10</v>
      </c>
    </row>
    <row r="535" spans="2:6" s="247" customFormat="1" ht="25.5" x14ac:dyDescent="0.25">
      <c r="B535" s="381" t="s">
        <v>2348</v>
      </c>
      <c r="C535" s="381" t="s">
        <v>2272</v>
      </c>
      <c r="D535" s="451" t="s">
        <v>2213</v>
      </c>
      <c r="E535" s="452" t="s">
        <v>1323</v>
      </c>
      <c r="F535" s="452">
        <v>15</v>
      </c>
    </row>
    <row r="536" spans="2:6" s="247" customFormat="1" ht="25.5" x14ac:dyDescent="0.25">
      <c r="B536" s="381" t="s">
        <v>2349</v>
      </c>
      <c r="C536" s="381" t="s">
        <v>2273</v>
      </c>
      <c r="D536" s="451" t="s">
        <v>2214</v>
      </c>
      <c r="E536" s="452" t="s">
        <v>1162</v>
      </c>
      <c r="F536" s="452">
        <v>1</v>
      </c>
    </row>
    <row r="537" spans="2:6" s="247" customFormat="1" ht="25.5" x14ac:dyDescent="0.25">
      <c r="B537" s="381" t="s">
        <v>2350</v>
      </c>
      <c r="C537" s="381" t="s">
        <v>2274</v>
      </c>
      <c r="D537" s="451" t="s">
        <v>2215</v>
      </c>
      <c r="E537" s="452" t="s">
        <v>2173</v>
      </c>
      <c r="F537" s="452">
        <v>15</v>
      </c>
    </row>
    <row r="538" spans="2:6" s="247" customFormat="1" ht="25.5" x14ac:dyDescent="0.25">
      <c r="B538" s="381" t="s">
        <v>2351</v>
      </c>
      <c r="C538" s="381" t="s">
        <v>2275</v>
      </c>
      <c r="D538" s="451" t="s">
        <v>2216</v>
      </c>
      <c r="E538" s="452" t="s">
        <v>2173</v>
      </c>
      <c r="F538" s="452">
        <v>3</v>
      </c>
    </row>
    <row r="539" spans="2:6" s="247" customFormat="1" ht="25.5" x14ac:dyDescent="0.25">
      <c r="B539" s="381" t="s">
        <v>2352</v>
      </c>
      <c r="C539" s="381" t="s">
        <v>2276</v>
      </c>
      <c r="D539" s="451" t="s">
        <v>2217</v>
      </c>
      <c r="E539" s="452" t="s">
        <v>2173</v>
      </c>
      <c r="F539" s="452">
        <v>3</v>
      </c>
    </row>
    <row r="540" spans="2:6" s="247" customFormat="1" x14ac:dyDescent="0.25">
      <c r="B540" s="381" t="s">
        <v>2353</v>
      </c>
      <c r="C540" s="381" t="s">
        <v>2277</v>
      </c>
      <c r="D540" s="451" t="s">
        <v>2218</v>
      </c>
      <c r="E540" s="452" t="s">
        <v>1119</v>
      </c>
      <c r="F540" s="452">
        <v>40</v>
      </c>
    </row>
    <row r="541" spans="2:6" s="247" customFormat="1" ht="25.5" x14ac:dyDescent="0.25">
      <c r="B541" s="381" t="s">
        <v>2354</v>
      </c>
      <c r="C541" s="381" t="s">
        <v>2245</v>
      </c>
      <c r="D541" s="451" t="s">
        <v>2169</v>
      </c>
      <c r="E541" s="452" t="s">
        <v>1119</v>
      </c>
      <c r="F541" s="452">
        <v>40</v>
      </c>
    </row>
    <row r="542" spans="2:6" s="247" customFormat="1" ht="51" x14ac:dyDescent="0.25">
      <c r="B542" s="381" t="s">
        <v>2355</v>
      </c>
      <c r="C542" s="381" t="s">
        <v>2278</v>
      </c>
      <c r="D542" s="451" t="s">
        <v>2220</v>
      </c>
      <c r="E542" s="452" t="s">
        <v>1323</v>
      </c>
      <c r="F542" s="452">
        <v>2</v>
      </c>
    </row>
    <row r="543" spans="2:6" s="247" customFormat="1" ht="38.25" x14ac:dyDescent="0.25">
      <c r="B543" s="381" t="s">
        <v>2356</v>
      </c>
      <c r="C543" s="381" t="s">
        <v>2279</v>
      </c>
      <c r="D543" s="451" t="s">
        <v>2221</v>
      </c>
      <c r="E543" s="452" t="s">
        <v>2173</v>
      </c>
      <c r="F543" s="452">
        <v>2</v>
      </c>
    </row>
    <row r="544" spans="2:6" s="247" customFormat="1" x14ac:dyDescent="0.25">
      <c r="B544" s="454" t="s">
        <v>2357</v>
      </c>
      <c r="C544" s="454"/>
      <c r="D544" s="455" t="s">
        <v>2198</v>
      </c>
      <c r="E544" s="455"/>
      <c r="F544" s="455"/>
    </row>
    <row r="545" spans="2:6" s="247" customFormat="1" x14ac:dyDescent="0.25">
      <c r="B545" s="69" t="s">
        <v>2358</v>
      </c>
      <c r="C545" s="69" t="s">
        <v>2261</v>
      </c>
      <c r="D545" s="715" t="s">
        <v>2199</v>
      </c>
      <c r="E545" s="716" t="s">
        <v>2146</v>
      </c>
      <c r="F545" s="716">
        <v>5</v>
      </c>
    </row>
  </sheetData>
  <mergeCells count="2">
    <mergeCell ref="B1:F2"/>
    <mergeCell ref="B3:F3"/>
  </mergeCells>
  <pageMargins left="0.511811024" right="0.511811024" top="0.78740157499999996" bottom="0.78740157499999996" header="0.31496062000000002" footer="0.31496062000000002"/>
  <pageSetup paperSize="9" scale="84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6"/>
  <sheetViews>
    <sheetView view="pageBreakPreview" zoomScale="80" zoomScaleNormal="85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67" customWidth="1"/>
    <col min="3" max="4" width="8.42578125" customWidth="1"/>
    <col min="5" max="5" width="7.7109375" customWidth="1"/>
    <col min="6" max="7" width="10.85546875" customWidth="1"/>
    <col min="8" max="8" width="10.28515625" customWidth="1"/>
    <col min="9" max="9" width="8.7109375" customWidth="1"/>
    <col min="10" max="10" width="13.140625" customWidth="1"/>
    <col min="11" max="11" width="16.42578125" bestFit="1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1</v>
      </c>
      <c r="B2" s="629" t="s">
        <v>10</v>
      </c>
      <c r="C2" s="629"/>
      <c r="D2" s="629"/>
      <c r="E2" s="629"/>
      <c r="F2" s="629"/>
      <c r="G2" s="629"/>
      <c r="H2" s="629"/>
      <c r="I2" s="629"/>
      <c r="J2" s="629"/>
      <c r="K2" s="629"/>
    </row>
    <row r="3" spans="1:11" x14ac:dyDescent="0.25">
      <c r="A3" s="146" t="s">
        <v>30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48"/>
    </row>
    <row r="4" spans="1:11" x14ac:dyDescent="0.25">
      <c r="A4" s="611" t="s">
        <v>1196</v>
      </c>
      <c r="B4" s="612" t="s">
        <v>1067</v>
      </c>
      <c r="C4" s="620" t="s">
        <v>1197</v>
      </c>
      <c r="D4" s="620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5" t="s">
        <v>1079</v>
      </c>
      <c r="C6" s="242">
        <v>20</v>
      </c>
      <c r="D6" s="242">
        <v>16</v>
      </c>
      <c r="E6" s="242"/>
      <c r="F6" s="243">
        <f>C6*D6</f>
        <v>320</v>
      </c>
      <c r="G6" s="243">
        <f>C6*D6</f>
        <v>320</v>
      </c>
      <c r="H6" s="244" t="s">
        <v>1076</v>
      </c>
      <c r="I6" s="244">
        <v>0.9</v>
      </c>
      <c r="J6" s="254">
        <f>Insumos!D5</f>
        <v>0</v>
      </c>
      <c r="K6" s="254">
        <f>TRUNC(G6*I6*J6,2)</f>
        <v>0</v>
      </c>
    </row>
    <row r="7" spans="1:11" s="247" customFormat="1" x14ac:dyDescent="0.25">
      <c r="A7" s="34" t="s">
        <v>1203</v>
      </c>
      <c r="B7" s="255" t="s">
        <v>1974</v>
      </c>
      <c r="C7" s="242">
        <v>20</v>
      </c>
      <c r="D7" s="242">
        <v>16</v>
      </c>
      <c r="E7" s="242"/>
      <c r="F7" s="243">
        <f>C7*D7</f>
        <v>320</v>
      </c>
      <c r="G7" s="243">
        <f t="shared" ref="G7:G25" si="0">F7</f>
        <v>320</v>
      </c>
      <c r="H7" s="244" t="s">
        <v>1076</v>
      </c>
      <c r="I7" s="244">
        <v>0.9</v>
      </c>
      <c r="J7" s="254">
        <f>Insumos!D6</f>
        <v>0</v>
      </c>
      <c r="K7" s="254">
        <f t="shared" ref="K7:K30" si="1">TRUNC(G7*I7*J7,2)</f>
        <v>0</v>
      </c>
    </row>
    <row r="8" spans="1:11" s="247" customFormat="1" x14ac:dyDescent="0.25">
      <c r="A8" s="34" t="s">
        <v>1204</v>
      </c>
      <c r="B8" s="256" t="s">
        <v>1975</v>
      </c>
      <c r="C8" s="242">
        <v>16</v>
      </c>
      <c r="D8" s="242">
        <f>8+4</f>
        <v>12</v>
      </c>
      <c r="E8" s="242"/>
      <c r="F8" s="243">
        <f>C8*D8</f>
        <v>192</v>
      </c>
      <c r="G8" s="243">
        <f t="shared" si="0"/>
        <v>192</v>
      </c>
      <c r="H8" s="244" t="s">
        <v>1076</v>
      </c>
      <c r="I8" s="244">
        <v>0.9</v>
      </c>
      <c r="J8" s="254">
        <f>Insumos!D6</f>
        <v>0</v>
      </c>
      <c r="K8" s="254">
        <f t="shared" si="1"/>
        <v>0</v>
      </c>
    </row>
    <row r="9" spans="1:11" s="247" customFormat="1" x14ac:dyDescent="0.25">
      <c r="A9" s="34" t="s">
        <v>1205</v>
      </c>
      <c r="B9" s="256" t="s">
        <v>1976</v>
      </c>
      <c r="C9" s="242">
        <v>20</v>
      </c>
      <c r="D9" s="242">
        <v>4</v>
      </c>
      <c r="E9" s="242"/>
      <c r="F9" s="243">
        <f>C9*D9</f>
        <v>80</v>
      </c>
      <c r="G9" s="243">
        <f t="shared" ref="G9" si="2">F9</f>
        <v>80</v>
      </c>
      <c r="H9" s="244" t="s">
        <v>1076</v>
      </c>
      <c r="I9" s="244">
        <v>0.9</v>
      </c>
      <c r="J9" s="254">
        <f>Insumos!D6</f>
        <v>0</v>
      </c>
      <c r="K9" s="254">
        <f t="shared" ref="K9" si="3">TRUNC(G9*I9*J9,2)</f>
        <v>0</v>
      </c>
    </row>
    <row r="10" spans="1:11" s="247" customFormat="1" x14ac:dyDescent="0.25">
      <c r="A10" s="34" t="s">
        <v>1206</v>
      </c>
      <c r="B10" s="255" t="s">
        <v>1085</v>
      </c>
      <c r="C10" s="242"/>
      <c r="D10" s="242"/>
      <c r="E10" s="242"/>
      <c r="F10" s="243">
        <f>F7+F8+F9</f>
        <v>592</v>
      </c>
      <c r="G10" s="243">
        <f t="shared" si="0"/>
        <v>592</v>
      </c>
      <c r="H10" s="244" t="s">
        <v>1076</v>
      </c>
      <c r="I10" s="244">
        <v>0.9</v>
      </c>
      <c r="J10" s="254">
        <f>Insumos!D7</f>
        <v>0</v>
      </c>
      <c r="K10" s="254">
        <f t="shared" si="1"/>
        <v>0</v>
      </c>
    </row>
    <row r="11" spans="1:11" s="247" customFormat="1" x14ac:dyDescent="0.25">
      <c r="A11" s="34" t="s">
        <v>1207</v>
      </c>
      <c r="B11" s="255" t="s">
        <v>1087</v>
      </c>
      <c r="C11" s="242"/>
      <c r="D11" s="242"/>
      <c r="E11" s="242"/>
      <c r="F11" s="243">
        <v>650</v>
      </c>
      <c r="G11" s="243">
        <f>F11</f>
        <v>650</v>
      </c>
      <c r="H11" s="244" t="s">
        <v>1076</v>
      </c>
      <c r="I11" s="244">
        <v>0.9</v>
      </c>
      <c r="J11" s="254">
        <f>Insumos!D8</f>
        <v>0</v>
      </c>
      <c r="K11" s="254">
        <f t="shared" si="1"/>
        <v>0</v>
      </c>
    </row>
    <row r="12" spans="1:11" s="247" customFormat="1" x14ac:dyDescent="0.25">
      <c r="A12" s="34" t="s">
        <v>1208</v>
      </c>
      <c r="B12" s="255" t="s">
        <v>1101</v>
      </c>
      <c r="C12" s="242">
        <v>2</v>
      </c>
      <c r="D12" s="242">
        <f>28+8.33</f>
        <v>36.33</v>
      </c>
      <c r="E12" s="242"/>
      <c r="F12" s="243">
        <f>D12*C12</f>
        <v>72.66</v>
      </c>
      <c r="G12" s="243">
        <f>F12</f>
        <v>72.66</v>
      </c>
      <c r="H12" s="244" t="s">
        <v>1076</v>
      </c>
      <c r="I12" s="244">
        <v>0.9</v>
      </c>
      <c r="J12" s="254">
        <f>Insumos!D14</f>
        <v>0</v>
      </c>
      <c r="K12" s="254">
        <f>TRUNC(G12*I12*J12,2)</f>
        <v>0</v>
      </c>
    </row>
    <row r="13" spans="1:11" s="247" customFormat="1" x14ac:dyDescent="0.25">
      <c r="A13" s="34" t="s">
        <v>1209</v>
      </c>
      <c r="B13" s="255" t="s">
        <v>1104</v>
      </c>
      <c r="C13" s="242">
        <v>1.6</v>
      </c>
      <c r="D13" s="242">
        <f>13.2+13.2+10+10</f>
        <v>46.4</v>
      </c>
      <c r="E13" s="242"/>
      <c r="F13" s="243">
        <f>C13*D13</f>
        <v>74.239999999999995</v>
      </c>
      <c r="G13" s="243">
        <f>F13</f>
        <v>74.239999999999995</v>
      </c>
      <c r="H13" s="244" t="s">
        <v>1076</v>
      </c>
      <c r="I13" s="244">
        <v>0.9</v>
      </c>
      <c r="J13" s="254">
        <f>Insumos!D15</f>
        <v>0</v>
      </c>
      <c r="K13" s="254">
        <f>TRUNC(G13*I13*J13,2)</f>
        <v>0</v>
      </c>
    </row>
    <row r="14" spans="1:11" s="247" customFormat="1" x14ac:dyDescent="0.25">
      <c r="A14" s="34" t="s">
        <v>1210</v>
      </c>
      <c r="B14" s="255" t="s">
        <v>2096</v>
      </c>
      <c r="C14" s="242">
        <v>2</v>
      </c>
      <c r="D14" s="242">
        <v>9.8000000000000007</v>
      </c>
      <c r="E14" s="242"/>
      <c r="F14" s="243">
        <f t="shared" ref="F14:F16" si="4">C14*D14</f>
        <v>19.600000000000001</v>
      </c>
      <c r="G14" s="243">
        <f t="shared" ref="G14" si="5">F14</f>
        <v>19.600000000000001</v>
      </c>
      <c r="H14" s="244" t="s">
        <v>1076</v>
      </c>
      <c r="I14" s="244">
        <v>0.9</v>
      </c>
      <c r="J14" s="254">
        <f>Insumos!D9</f>
        <v>0</v>
      </c>
      <c r="K14" s="254">
        <f t="shared" ref="K14" si="6">TRUNC(G14*I14*J14,2)</f>
        <v>0</v>
      </c>
    </row>
    <row r="15" spans="1:11" s="247" customFormat="1" x14ac:dyDescent="0.25">
      <c r="A15" s="34" t="s">
        <v>1211</v>
      </c>
      <c r="B15" s="255" t="s">
        <v>2097</v>
      </c>
      <c r="C15" s="242">
        <v>2</v>
      </c>
      <c r="D15" s="242">
        <v>3.3</v>
      </c>
      <c r="E15" s="242"/>
      <c r="F15" s="243">
        <f t="shared" si="4"/>
        <v>6.6</v>
      </c>
      <c r="G15" s="243">
        <f t="shared" ref="G15" si="7">F15</f>
        <v>6.6</v>
      </c>
      <c r="H15" s="244" t="s">
        <v>1076</v>
      </c>
      <c r="I15" s="244">
        <v>0.9</v>
      </c>
      <c r="J15" s="254">
        <f>Insumos!D9</f>
        <v>0</v>
      </c>
      <c r="K15" s="254">
        <f t="shared" ref="K15" si="8">TRUNC(G15*I15*J15,2)</f>
        <v>0</v>
      </c>
    </row>
    <row r="16" spans="1:11" s="247" customFormat="1" x14ac:dyDescent="0.25">
      <c r="A16" s="34" t="s">
        <v>1212</v>
      </c>
      <c r="B16" s="255" t="s">
        <v>2098</v>
      </c>
      <c r="C16" s="242">
        <v>2</v>
      </c>
      <c r="D16" s="242">
        <v>1.8</v>
      </c>
      <c r="E16" s="242"/>
      <c r="F16" s="243">
        <f t="shared" si="4"/>
        <v>3.6</v>
      </c>
      <c r="G16" s="243">
        <f t="shared" si="0"/>
        <v>3.6</v>
      </c>
      <c r="H16" s="244" t="s">
        <v>1076</v>
      </c>
      <c r="I16" s="244">
        <v>0.9</v>
      </c>
      <c r="J16" s="254">
        <f>Insumos!D9</f>
        <v>0</v>
      </c>
      <c r="K16" s="254">
        <f t="shared" si="1"/>
        <v>0</v>
      </c>
    </row>
    <row r="17" spans="1:11" s="247" customFormat="1" x14ac:dyDescent="0.25">
      <c r="A17" s="34" t="s">
        <v>1213</v>
      </c>
      <c r="B17" s="255" t="s">
        <v>1092</v>
      </c>
      <c r="C17" s="242">
        <v>1.5</v>
      </c>
      <c r="D17" s="242">
        <v>42</v>
      </c>
      <c r="E17" s="242"/>
      <c r="F17" s="243">
        <f>D17*C17</f>
        <v>63</v>
      </c>
      <c r="G17" s="243">
        <f t="shared" si="0"/>
        <v>63</v>
      </c>
      <c r="H17" s="244" t="s">
        <v>1076</v>
      </c>
      <c r="I17" s="244">
        <v>0.9</v>
      </c>
      <c r="J17" s="254">
        <f>Insumos!D10</f>
        <v>0</v>
      </c>
      <c r="K17" s="254">
        <f t="shared" si="1"/>
        <v>0</v>
      </c>
    </row>
    <row r="18" spans="1:11" s="247" customFormat="1" x14ac:dyDescent="0.25">
      <c r="A18" s="34" t="s">
        <v>1214</v>
      </c>
      <c r="B18" s="255" t="s">
        <v>2099</v>
      </c>
      <c r="C18" s="372"/>
      <c r="D18" s="242">
        <f>D17*2</f>
        <v>84</v>
      </c>
      <c r="E18" s="242">
        <v>1.1000000000000001</v>
      </c>
      <c r="F18" s="243">
        <f>E18*D18</f>
        <v>92.4</v>
      </c>
      <c r="G18" s="243">
        <f t="shared" si="0"/>
        <v>92.4</v>
      </c>
      <c r="H18" s="244" t="s">
        <v>1076</v>
      </c>
      <c r="I18" s="244">
        <v>0.9</v>
      </c>
      <c r="J18" s="254">
        <f>Insumos!D16</f>
        <v>0</v>
      </c>
      <c r="K18" s="254">
        <f t="shared" si="1"/>
        <v>0</v>
      </c>
    </row>
    <row r="19" spans="1:11" s="247" customFormat="1" x14ac:dyDescent="0.25">
      <c r="A19" s="34" t="s">
        <v>1215</v>
      </c>
      <c r="B19" s="255" t="s">
        <v>2100</v>
      </c>
      <c r="C19" s="372"/>
      <c r="D19" s="242">
        <f>D14*2</f>
        <v>19.600000000000001</v>
      </c>
      <c r="E19" s="242">
        <v>1.1000000000000001</v>
      </c>
      <c r="F19" s="243">
        <f>E19*D19</f>
        <v>21.560000000000002</v>
      </c>
      <c r="G19" s="243">
        <f t="shared" ref="G19" si="9">F19</f>
        <v>21.560000000000002</v>
      </c>
      <c r="H19" s="244" t="s">
        <v>1076</v>
      </c>
      <c r="I19" s="244">
        <v>0.9</v>
      </c>
      <c r="J19" s="254">
        <f>Insumos!D16</f>
        <v>0</v>
      </c>
      <c r="K19" s="254">
        <f t="shared" ref="K19" si="10">TRUNC(G19*I19*J19,2)</f>
        <v>0</v>
      </c>
    </row>
    <row r="20" spans="1:11" s="247" customFormat="1" x14ac:dyDescent="0.25">
      <c r="A20" s="34" t="s">
        <v>1216</v>
      </c>
      <c r="B20" s="255" t="s">
        <v>2018</v>
      </c>
      <c r="C20" s="372"/>
      <c r="D20" s="242"/>
      <c r="E20" s="242"/>
      <c r="F20" s="243">
        <v>130</v>
      </c>
      <c r="G20" s="243">
        <f t="shared" si="0"/>
        <v>130</v>
      </c>
      <c r="H20" s="244" t="s">
        <v>1076</v>
      </c>
      <c r="I20" s="244">
        <v>0.9</v>
      </c>
      <c r="J20" s="254">
        <f>Insumos!D11</f>
        <v>0</v>
      </c>
      <c r="K20" s="254">
        <f t="shared" si="1"/>
        <v>0</v>
      </c>
    </row>
    <row r="21" spans="1:11" s="247" customFormat="1" x14ac:dyDescent="0.25">
      <c r="A21" s="34" t="s">
        <v>1217</v>
      </c>
      <c r="B21" s="255" t="s">
        <v>2019</v>
      </c>
      <c r="C21" s="372"/>
      <c r="D21" s="242"/>
      <c r="E21" s="242"/>
      <c r="F21" s="243">
        <v>60</v>
      </c>
      <c r="G21" s="243">
        <f t="shared" si="0"/>
        <v>60</v>
      </c>
      <c r="H21" s="244" t="s">
        <v>1076</v>
      </c>
      <c r="I21" s="244">
        <v>0.9</v>
      </c>
      <c r="J21" s="254">
        <f>Insumos!D11</f>
        <v>0</v>
      </c>
      <c r="K21" s="254">
        <f t="shared" si="1"/>
        <v>0</v>
      </c>
    </row>
    <row r="22" spans="1:11" s="247" customFormat="1" x14ac:dyDescent="0.25">
      <c r="A22" s="34" t="s">
        <v>1220</v>
      </c>
      <c r="B22" s="255" t="s">
        <v>2131</v>
      </c>
      <c r="C22" s="372"/>
      <c r="D22" s="242"/>
      <c r="E22" s="242"/>
      <c r="F22" s="243">
        <v>20</v>
      </c>
      <c r="G22" s="243">
        <f t="shared" ref="G22" si="11">F22</f>
        <v>20</v>
      </c>
      <c r="H22" s="244" t="s">
        <v>1076</v>
      </c>
      <c r="I22" s="244">
        <v>0.9</v>
      </c>
      <c r="J22" s="254">
        <f>Insumos!D11</f>
        <v>0</v>
      </c>
      <c r="K22" s="254">
        <f t="shared" ref="K22" si="12">TRUNC(G22*I22*J22,2)</f>
        <v>0</v>
      </c>
    </row>
    <row r="23" spans="1:11" s="247" customFormat="1" x14ac:dyDescent="0.25">
      <c r="A23" s="34" t="s">
        <v>1222</v>
      </c>
      <c r="B23" s="255" t="s">
        <v>1099</v>
      </c>
      <c r="C23" s="372"/>
      <c r="D23" s="242">
        <v>10</v>
      </c>
      <c r="E23" s="242">
        <v>8</v>
      </c>
      <c r="F23" s="243">
        <f>D23*E23</f>
        <v>80</v>
      </c>
      <c r="G23" s="243">
        <f t="shared" si="0"/>
        <v>80</v>
      </c>
      <c r="H23" s="244" t="s">
        <v>1076</v>
      </c>
      <c r="I23" s="244">
        <v>0.9</v>
      </c>
      <c r="J23" s="254">
        <f>Insumos!D5</f>
        <v>0</v>
      </c>
      <c r="K23" s="254">
        <f t="shared" si="1"/>
        <v>0</v>
      </c>
    </row>
    <row r="24" spans="1:11" s="247" customFormat="1" x14ac:dyDescent="0.25">
      <c r="A24" s="34" t="s">
        <v>1223</v>
      </c>
      <c r="B24" s="255" t="s">
        <v>1977</v>
      </c>
      <c r="C24" s="242">
        <v>30</v>
      </c>
      <c r="D24" s="242">
        <v>19</v>
      </c>
      <c r="E24" s="242"/>
      <c r="F24" s="243">
        <f>C24*D24</f>
        <v>570</v>
      </c>
      <c r="G24" s="243">
        <f t="shared" ref="G24" si="13">F24</f>
        <v>570</v>
      </c>
      <c r="H24" s="244" t="s">
        <v>1076</v>
      </c>
      <c r="I24" s="244">
        <v>0.9</v>
      </c>
      <c r="J24" s="254">
        <f>Insumos!D19</f>
        <v>0</v>
      </c>
      <c r="K24" s="254">
        <f t="shared" ref="K24" si="14">TRUNC(G24*I24*J24,2)</f>
        <v>0</v>
      </c>
    </row>
    <row r="25" spans="1:11" s="247" customFormat="1" x14ac:dyDescent="0.25">
      <c r="A25" s="34" t="s">
        <v>1224</v>
      </c>
      <c r="B25" s="255" t="s">
        <v>1085</v>
      </c>
      <c r="C25" s="242">
        <v>30</v>
      </c>
      <c r="D25" s="242">
        <v>19</v>
      </c>
      <c r="E25" s="242"/>
      <c r="F25" s="243">
        <f>C25*D25</f>
        <v>570</v>
      </c>
      <c r="G25" s="243">
        <f t="shared" si="0"/>
        <v>570</v>
      </c>
      <c r="H25" s="244" t="s">
        <v>1076</v>
      </c>
      <c r="I25" s="244">
        <v>0.9</v>
      </c>
      <c r="J25" s="254">
        <f>Insumos!D7</f>
        <v>0</v>
      </c>
      <c r="K25" s="254">
        <f t="shared" si="1"/>
        <v>0</v>
      </c>
    </row>
    <row r="26" spans="1:11" s="247" customFormat="1" x14ac:dyDescent="0.25">
      <c r="A26" s="34" t="s">
        <v>1225</v>
      </c>
      <c r="B26" s="251" t="s">
        <v>1122</v>
      </c>
      <c r="C26" s="242">
        <v>30</v>
      </c>
      <c r="D26" s="242">
        <v>19</v>
      </c>
      <c r="E26" s="242"/>
      <c r="F26" s="243">
        <f>C26*D26</f>
        <v>570</v>
      </c>
      <c r="G26" s="243">
        <f>F26</f>
        <v>570</v>
      </c>
      <c r="H26" s="244" t="s">
        <v>1076</v>
      </c>
      <c r="I26" s="244">
        <v>0.9</v>
      </c>
      <c r="J26" s="254">
        <f>Insumos!D24</f>
        <v>0</v>
      </c>
      <c r="K26" s="254">
        <f>TRUNC(G26*I26*J26,2)</f>
        <v>0</v>
      </c>
    </row>
    <row r="27" spans="1:11" s="247" customFormat="1" x14ac:dyDescent="0.25">
      <c r="A27" s="34" t="s">
        <v>1226</v>
      </c>
      <c r="B27" s="251" t="s">
        <v>1133</v>
      </c>
      <c r="C27" s="372"/>
      <c r="D27" s="372"/>
      <c r="E27" s="372"/>
      <c r="F27" s="313"/>
      <c r="G27" s="243">
        <v>20</v>
      </c>
      <c r="H27" s="244" t="s">
        <v>1124</v>
      </c>
      <c r="I27" s="244">
        <v>0.9</v>
      </c>
      <c r="J27" s="254">
        <f>Insumos!D34</f>
        <v>0</v>
      </c>
      <c r="K27" s="254">
        <f t="shared" si="1"/>
        <v>0</v>
      </c>
    </row>
    <row r="28" spans="1:11" s="247" customFormat="1" x14ac:dyDescent="0.25">
      <c r="A28" s="34" t="s">
        <v>1227</v>
      </c>
      <c r="B28" s="255" t="s">
        <v>1108</v>
      </c>
      <c r="C28" s="242">
        <v>6</v>
      </c>
      <c r="D28" s="242">
        <v>6</v>
      </c>
      <c r="E28" s="242">
        <v>2</v>
      </c>
      <c r="F28" s="243">
        <f>C28*D28*E28</f>
        <v>72</v>
      </c>
      <c r="G28" s="243">
        <f>F28</f>
        <v>72</v>
      </c>
      <c r="H28" s="244" t="s">
        <v>1076</v>
      </c>
      <c r="I28" s="244">
        <v>0.9</v>
      </c>
      <c r="J28" s="254">
        <f>Insumos!D18</f>
        <v>0</v>
      </c>
      <c r="K28" s="254">
        <f t="shared" si="1"/>
        <v>0</v>
      </c>
    </row>
    <row r="29" spans="1:11" s="247" customFormat="1" ht="17.25" customHeight="1" x14ac:dyDescent="0.25">
      <c r="A29" s="34" t="s">
        <v>1229</v>
      </c>
      <c r="B29" s="255" t="s">
        <v>1461</v>
      </c>
      <c r="C29" s="372"/>
      <c r="D29" s="242"/>
      <c r="E29" s="242"/>
      <c r="F29" s="243">
        <v>320</v>
      </c>
      <c r="G29" s="243">
        <f>F29</f>
        <v>320</v>
      </c>
      <c r="H29" s="244" t="s">
        <v>1076</v>
      </c>
      <c r="I29" s="244">
        <v>0.9</v>
      </c>
      <c r="J29" s="254">
        <f>Insumos!D26</f>
        <v>0</v>
      </c>
      <c r="K29" s="254">
        <f t="shared" si="1"/>
        <v>0</v>
      </c>
    </row>
    <row r="30" spans="1:11" s="247" customFormat="1" ht="30" x14ac:dyDescent="0.25">
      <c r="A30" s="34" t="s">
        <v>1231</v>
      </c>
      <c r="B30" s="255" t="s">
        <v>1929</v>
      </c>
      <c r="C30" s="242"/>
      <c r="D30" s="242"/>
      <c r="E30" s="251"/>
      <c r="F30" s="243">
        <f>F10</f>
        <v>592</v>
      </c>
      <c r="G30" s="243">
        <f>F30</f>
        <v>592</v>
      </c>
      <c r="H30" s="244" t="s">
        <v>1076</v>
      </c>
      <c r="I30" s="244">
        <v>0.9</v>
      </c>
      <c r="J30" s="254">
        <f>Insumos!D27</f>
        <v>0</v>
      </c>
      <c r="K30" s="254">
        <f t="shared" si="1"/>
        <v>0</v>
      </c>
    </row>
    <row r="31" spans="1:11" s="247" customFormat="1" ht="30" x14ac:dyDescent="0.25">
      <c r="A31" s="34" t="s">
        <v>1232</v>
      </c>
      <c r="B31" s="255" t="s">
        <v>1930</v>
      </c>
      <c r="C31" s="242"/>
      <c r="D31" s="242"/>
      <c r="E31" s="251"/>
      <c r="F31" s="243">
        <f>F24</f>
        <v>570</v>
      </c>
      <c r="G31" s="243">
        <f>F31</f>
        <v>570</v>
      </c>
      <c r="H31" s="244" t="s">
        <v>1076</v>
      </c>
      <c r="I31" s="244">
        <v>0.9</v>
      </c>
      <c r="J31" s="254">
        <f>Insumos!D27</f>
        <v>0</v>
      </c>
      <c r="K31" s="254">
        <f t="shared" ref="K31" si="15">TRUNC(G31*I31*J31,2)</f>
        <v>0</v>
      </c>
    </row>
    <row r="32" spans="1:11" s="247" customFormat="1" ht="30" x14ac:dyDescent="0.25">
      <c r="A32" s="34" t="s">
        <v>1233</v>
      </c>
      <c r="B32" s="255" t="s">
        <v>1931</v>
      </c>
      <c r="C32" s="242">
        <v>6</v>
      </c>
      <c r="D32" s="242">
        <v>6</v>
      </c>
      <c r="E32" s="251"/>
      <c r="F32" s="243">
        <f>D32*C32</f>
        <v>36</v>
      </c>
      <c r="G32" s="243">
        <f>F32</f>
        <v>36</v>
      </c>
      <c r="H32" s="244" t="s">
        <v>1076</v>
      </c>
      <c r="I32" s="244">
        <v>0.9</v>
      </c>
      <c r="J32" s="254">
        <f>Insumos!D27</f>
        <v>0</v>
      </c>
      <c r="K32" s="254">
        <f t="shared" ref="K32" si="16">TRUNC(G32*I32*J32,2)</f>
        <v>0</v>
      </c>
    </row>
    <row r="33" spans="1:11" x14ac:dyDescent="0.25">
      <c r="A33" s="152"/>
      <c r="B33" s="153"/>
      <c r="C33" s="168"/>
      <c r="D33" s="169"/>
      <c r="E33" s="159"/>
      <c r="F33" s="159"/>
      <c r="G33" s="159"/>
      <c r="H33" s="159"/>
      <c r="I33" s="159"/>
      <c r="J33" s="170" t="s">
        <v>1064</v>
      </c>
      <c r="K33" s="171">
        <f>SUM(K6:K32)</f>
        <v>0</v>
      </c>
    </row>
    <row r="34" spans="1:11" x14ac:dyDescent="0.25">
      <c r="A34" s="146" t="s">
        <v>33</v>
      </c>
      <c r="B34" s="621" t="s">
        <v>1219</v>
      </c>
      <c r="C34" s="621"/>
      <c r="D34" s="621"/>
      <c r="E34" s="621"/>
      <c r="F34" s="621"/>
      <c r="G34" s="621"/>
      <c r="H34" s="621"/>
      <c r="I34" s="147"/>
      <c r="J34" s="148"/>
      <c r="K34" s="148"/>
    </row>
    <row r="35" spans="1:11" x14ac:dyDescent="0.25">
      <c r="A35" s="611" t="s">
        <v>1196</v>
      </c>
      <c r="B35" s="612" t="s">
        <v>1067</v>
      </c>
      <c r="C35" s="624" t="s">
        <v>1197</v>
      </c>
      <c r="D35" s="625"/>
      <c r="E35" s="614"/>
      <c r="F35" s="615"/>
      <c r="G35" s="626" t="s">
        <v>14</v>
      </c>
      <c r="H35" s="610" t="s">
        <v>1068</v>
      </c>
      <c r="I35" s="608" t="s">
        <v>35</v>
      </c>
      <c r="J35" s="610" t="s">
        <v>1069</v>
      </c>
      <c r="K35" s="610" t="s">
        <v>16</v>
      </c>
    </row>
    <row r="36" spans="1:11" x14ac:dyDescent="0.25">
      <c r="A36" s="611"/>
      <c r="B36" s="612"/>
      <c r="C36" s="616"/>
      <c r="D36" s="617"/>
      <c r="E36" s="617"/>
      <c r="F36" s="618"/>
      <c r="G36" s="627"/>
      <c r="H36" s="610"/>
      <c r="I36" s="609"/>
      <c r="J36" s="610"/>
      <c r="K36" s="610"/>
    </row>
    <row r="37" spans="1:11" x14ac:dyDescent="0.25">
      <c r="A37" s="124" t="s">
        <v>1234</v>
      </c>
      <c r="B37" s="104" t="s">
        <v>1147</v>
      </c>
      <c r="C37" s="605"/>
      <c r="D37" s="606"/>
      <c r="E37" s="606"/>
      <c r="F37" s="607"/>
      <c r="G37" s="143">
        <v>10</v>
      </c>
      <c r="H37" s="140" t="s">
        <v>1221</v>
      </c>
      <c r="I37" s="150">
        <f t="shared" ref="I37:I42" si="17">G37/SUM($G$37:$G$42)</f>
        <v>4.2735042735042736E-2</v>
      </c>
      <c r="J37" s="167">
        <f>Insumos!D49</f>
        <v>0</v>
      </c>
      <c r="K37" s="167">
        <f t="shared" ref="K37:K42" si="18">TRUNC(G37*I37*J37,2)</f>
        <v>0</v>
      </c>
    </row>
    <row r="38" spans="1:11" x14ac:dyDescent="0.25">
      <c r="A38" s="124" t="s">
        <v>1235</v>
      </c>
      <c r="B38" s="104" t="s">
        <v>1148</v>
      </c>
      <c r="C38" s="605"/>
      <c r="D38" s="606"/>
      <c r="E38" s="606"/>
      <c r="F38" s="607"/>
      <c r="G38" s="143">
        <v>10</v>
      </c>
      <c r="H38" s="140" t="s">
        <v>1221</v>
      </c>
      <c r="I38" s="150">
        <f t="shared" si="17"/>
        <v>4.2735042735042736E-2</v>
      </c>
      <c r="J38" s="167">
        <f>Insumos!D50</f>
        <v>0</v>
      </c>
      <c r="K38" s="167">
        <f t="shared" si="18"/>
        <v>0</v>
      </c>
    </row>
    <row r="39" spans="1:11" x14ac:dyDescent="0.25">
      <c r="A39" s="124" t="s">
        <v>1236</v>
      </c>
      <c r="B39" s="104" t="s">
        <v>1149</v>
      </c>
      <c r="C39" s="605"/>
      <c r="D39" s="606"/>
      <c r="E39" s="606"/>
      <c r="F39" s="607"/>
      <c r="G39" s="143">
        <v>10</v>
      </c>
      <c r="H39" s="140" t="s">
        <v>1221</v>
      </c>
      <c r="I39" s="150">
        <f t="shared" si="17"/>
        <v>4.2735042735042736E-2</v>
      </c>
      <c r="J39" s="167">
        <f>Insumos!D51</f>
        <v>0</v>
      </c>
      <c r="K39" s="167">
        <f t="shared" si="18"/>
        <v>0</v>
      </c>
    </row>
    <row r="40" spans="1:11" x14ac:dyDescent="0.25">
      <c r="A40" s="124" t="s">
        <v>1237</v>
      </c>
      <c r="B40" s="104" t="s">
        <v>1150</v>
      </c>
      <c r="C40" s="605"/>
      <c r="D40" s="606"/>
      <c r="E40" s="606"/>
      <c r="F40" s="607"/>
      <c r="G40" s="143">
        <v>100</v>
      </c>
      <c r="H40" s="140" t="s">
        <v>1151</v>
      </c>
      <c r="I40" s="150">
        <f t="shared" si="17"/>
        <v>0.42735042735042733</v>
      </c>
      <c r="J40" s="167">
        <f>Insumos!D52</f>
        <v>0</v>
      </c>
      <c r="K40" s="167">
        <f t="shared" si="18"/>
        <v>0</v>
      </c>
    </row>
    <row r="41" spans="1:11" x14ac:dyDescent="0.25">
      <c r="A41" s="124" t="s">
        <v>1238</v>
      </c>
      <c r="B41" s="104" t="s">
        <v>1152</v>
      </c>
      <c r="C41" s="605"/>
      <c r="D41" s="606"/>
      <c r="E41" s="606"/>
      <c r="F41" s="607"/>
      <c r="G41" s="143">
        <v>4</v>
      </c>
      <c r="H41" s="140" t="s">
        <v>1124</v>
      </c>
      <c r="I41" s="150">
        <f t="shared" si="17"/>
        <v>1.7094017094017096E-2</v>
      </c>
      <c r="J41" s="167">
        <f>Insumos!D53</f>
        <v>0</v>
      </c>
      <c r="K41" s="167">
        <f t="shared" si="18"/>
        <v>0</v>
      </c>
    </row>
    <row r="42" spans="1:11" x14ac:dyDescent="0.25">
      <c r="A42" s="124" t="s">
        <v>1239</v>
      </c>
      <c r="B42" s="104" t="s">
        <v>1153</v>
      </c>
      <c r="C42" s="622"/>
      <c r="D42" s="623"/>
      <c r="E42" s="606"/>
      <c r="F42" s="607"/>
      <c r="G42" s="143">
        <v>100</v>
      </c>
      <c r="H42" s="140" t="s">
        <v>1154</v>
      </c>
      <c r="I42" s="150">
        <f t="shared" si="17"/>
        <v>0.42735042735042733</v>
      </c>
      <c r="J42" s="167">
        <f>Insumos!D54</f>
        <v>0</v>
      </c>
      <c r="K42" s="167">
        <f t="shared" si="18"/>
        <v>0</v>
      </c>
    </row>
    <row r="43" spans="1:11" x14ac:dyDescent="0.25">
      <c r="A43" s="152"/>
      <c r="B43" s="153"/>
      <c r="C43" s="168"/>
      <c r="D43" s="169"/>
      <c r="E43" s="159"/>
      <c r="F43" s="159"/>
      <c r="G43" s="159"/>
      <c r="H43" s="159"/>
      <c r="I43" s="159"/>
      <c r="J43" s="170" t="s">
        <v>1064</v>
      </c>
      <c r="K43" s="171">
        <f>SUM(K35:K42)</f>
        <v>0</v>
      </c>
    </row>
    <row r="44" spans="1:11" x14ac:dyDescent="0.25">
      <c r="A44" s="146" t="s">
        <v>36</v>
      </c>
      <c r="B44" s="621" t="s">
        <v>1155</v>
      </c>
      <c r="C44" s="621"/>
      <c r="D44" s="621"/>
      <c r="E44" s="621"/>
      <c r="F44" s="621"/>
      <c r="G44" s="621"/>
      <c r="H44" s="621"/>
      <c r="I44" s="147"/>
      <c r="J44" s="148"/>
      <c r="K44" s="148"/>
    </row>
    <row r="45" spans="1:11" x14ac:dyDescent="0.25">
      <c r="A45" s="611" t="s">
        <v>1196</v>
      </c>
      <c r="B45" s="612" t="s">
        <v>1067</v>
      </c>
      <c r="C45" s="613" t="s">
        <v>1197</v>
      </c>
      <c r="D45" s="614"/>
      <c r="E45" s="614"/>
      <c r="F45" s="615"/>
      <c r="G45" s="162" t="s">
        <v>14</v>
      </c>
      <c r="H45" s="610" t="s">
        <v>1068</v>
      </c>
      <c r="I45" s="163" t="s">
        <v>35</v>
      </c>
      <c r="J45" s="610" t="s">
        <v>1069</v>
      </c>
      <c r="K45" s="610" t="s">
        <v>16</v>
      </c>
    </row>
    <row r="46" spans="1:11" x14ac:dyDescent="0.25">
      <c r="A46" s="611"/>
      <c r="B46" s="612"/>
      <c r="C46" s="616"/>
      <c r="D46" s="617"/>
      <c r="E46" s="617"/>
      <c r="F46" s="618"/>
      <c r="G46" s="164"/>
      <c r="H46" s="610"/>
      <c r="I46" s="165"/>
      <c r="J46" s="610"/>
      <c r="K46" s="610"/>
    </row>
    <row r="47" spans="1:11" x14ac:dyDescent="0.25">
      <c r="A47" s="124" t="s">
        <v>1241</v>
      </c>
      <c r="B47" s="104" t="s">
        <v>1156</v>
      </c>
      <c r="C47" s="143"/>
      <c r="D47" s="143"/>
      <c r="E47" s="143"/>
      <c r="F47" s="143"/>
      <c r="G47" s="143">
        <f>(G30+G31+G32)/20</f>
        <v>59.9</v>
      </c>
      <c r="H47" s="140" t="s">
        <v>1228</v>
      </c>
      <c r="I47" s="150">
        <f>G47/SUM($G$47:$G$58)</f>
        <v>2.2782669602310776E-2</v>
      </c>
      <c r="J47" s="167">
        <f>Insumos!D58</f>
        <v>0</v>
      </c>
      <c r="K47" s="167">
        <f t="shared" ref="K47:K58" si="19">TRUNC(G47*I47*J47,2)</f>
        <v>0</v>
      </c>
    </row>
    <row r="48" spans="1:11" x14ac:dyDescent="0.25">
      <c r="A48" s="124" t="s">
        <v>1243</v>
      </c>
      <c r="B48" s="104" t="s">
        <v>1171</v>
      </c>
      <c r="C48" s="143"/>
      <c r="D48" s="143"/>
      <c r="E48" s="143"/>
      <c r="F48" s="143"/>
      <c r="G48" s="143">
        <f>G10+G25</f>
        <v>1162</v>
      </c>
      <c r="H48" s="140" t="s">
        <v>1089</v>
      </c>
      <c r="I48" s="150">
        <f>G48/SUM($G$47:$G$58)</f>
        <v>0.4419609695807199</v>
      </c>
      <c r="J48" s="167">
        <f>Insumos!D69</f>
        <v>0</v>
      </c>
      <c r="K48" s="151">
        <f t="shared" si="19"/>
        <v>0</v>
      </c>
    </row>
    <row r="49" spans="1:11" x14ac:dyDescent="0.25">
      <c r="A49" s="124" t="s">
        <v>1245</v>
      </c>
      <c r="B49" s="104" t="s">
        <v>1230</v>
      </c>
      <c r="C49" s="143"/>
      <c r="D49" s="143"/>
      <c r="E49" s="143"/>
      <c r="F49" s="143"/>
      <c r="G49" s="141">
        <f>G10+G25</f>
        <v>1162</v>
      </c>
      <c r="H49" s="140" t="s">
        <v>1089</v>
      </c>
      <c r="I49" s="150">
        <f t="shared" ref="I49:I58" si="20">G49/SUM($G$47:$G$58)</f>
        <v>0.4419609695807199</v>
      </c>
      <c r="J49" s="167">
        <f>Insumos!D59</f>
        <v>0</v>
      </c>
      <c r="K49" s="167">
        <f t="shared" si="19"/>
        <v>0</v>
      </c>
    </row>
    <row r="50" spans="1:11" x14ac:dyDescent="0.25">
      <c r="A50" s="124" t="s">
        <v>1246</v>
      </c>
      <c r="B50" s="104" t="s">
        <v>1158</v>
      </c>
      <c r="C50" s="143"/>
      <c r="D50" s="143"/>
      <c r="E50" s="143"/>
      <c r="F50" s="143"/>
      <c r="G50" s="143">
        <f>G48*0.2105/3.6</f>
        <v>67.944722222222225</v>
      </c>
      <c r="H50" s="140" t="s">
        <v>1159</v>
      </c>
      <c r="I50" s="150">
        <f t="shared" si="20"/>
        <v>2.5842440026872651E-2</v>
      </c>
      <c r="J50" s="167">
        <f>Insumos!D60</f>
        <v>0</v>
      </c>
      <c r="K50" s="167">
        <f t="shared" si="19"/>
        <v>0</v>
      </c>
    </row>
    <row r="51" spans="1:11" x14ac:dyDescent="0.25">
      <c r="A51" s="124" t="s">
        <v>1247</v>
      </c>
      <c r="B51" s="104" t="s">
        <v>1160</v>
      </c>
      <c r="C51" s="143"/>
      <c r="D51" s="143"/>
      <c r="E51" s="143"/>
      <c r="F51" s="143"/>
      <c r="G51" s="143">
        <f>G50</f>
        <v>67.944722222222225</v>
      </c>
      <c r="H51" s="140" t="s">
        <v>1159</v>
      </c>
      <c r="I51" s="150">
        <f t="shared" si="20"/>
        <v>2.5842440026872651E-2</v>
      </c>
      <c r="J51" s="167">
        <f>Insumos!D61</f>
        <v>0</v>
      </c>
      <c r="K51" s="167">
        <f t="shared" si="19"/>
        <v>0</v>
      </c>
    </row>
    <row r="52" spans="1:11" x14ac:dyDescent="0.25">
      <c r="A52" s="124" t="s">
        <v>1462</v>
      </c>
      <c r="B52" s="104" t="s">
        <v>1161</v>
      </c>
      <c r="C52" s="143"/>
      <c r="D52" s="143"/>
      <c r="E52" s="143"/>
      <c r="F52" s="143"/>
      <c r="G52" s="143">
        <f>G48*0.021</f>
        <v>24.402000000000001</v>
      </c>
      <c r="H52" s="140" t="s">
        <v>1162</v>
      </c>
      <c r="I52" s="150">
        <f t="shared" si="20"/>
        <v>9.2811803611951189E-3</v>
      </c>
      <c r="J52" s="167">
        <f>Insumos!D62</f>
        <v>0</v>
      </c>
      <c r="K52" s="167">
        <f t="shared" si="19"/>
        <v>0</v>
      </c>
    </row>
    <row r="53" spans="1:11" x14ac:dyDescent="0.25">
      <c r="A53" s="124" t="s">
        <v>1463</v>
      </c>
      <c r="B53" s="104" t="s">
        <v>1163</v>
      </c>
      <c r="C53" s="143"/>
      <c r="D53" s="143"/>
      <c r="E53" s="143"/>
      <c r="F53" s="143"/>
      <c r="G53" s="143">
        <v>10</v>
      </c>
      <c r="H53" s="140" t="s">
        <v>1068</v>
      </c>
      <c r="I53" s="150">
        <f t="shared" si="20"/>
        <v>3.8034506848598957E-3</v>
      </c>
      <c r="J53" s="167">
        <f>Insumos!D63</f>
        <v>0</v>
      </c>
      <c r="K53" s="167">
        <f t="shared" si="19"/>
        <v>0</v>
      </c>
    </row>
    <row r="54" spans="1:11" x14ac:dyDescent="0.25">
      <c r="A54" s="124" t="s">
        <v>1928</v>
      </c>
      <c r="B54" s="104" t="s">
        <v>1164</v>
      </c>
      <c r="C54" s="143"/>
      <c r="D54" s="143"/>
      <c r="E54" s="143"/>
      <c r="F54" s="143"/>
      <c r="G54" s="143">
        <v>10</v>
      </c>
      <c r="H54" s="140" t="s">
        <v>1068</v>
      </c>
      <c r="I54" s="150">
        <f t="shared" si="20"/>
        <v>3.8034506848598957E-3</v>
      </c>
      <c r="J54" s="167">
        <f>Insumos!D64</f>
        <v>0</v>
      </c>
      <c r="K54" s="167">
        <f t="shared" si="19"/>
        <v>0</v>
      </c>
    </row>
    <row r="55" spans="1:11" x14ac:dyDescent="0.25">
      <c r="A55" s="124" t="s">
        <v>1932</v>
      </c>
      <c r="B55" s="104" t="s">
        <v>1165</v>
      </c>
      <c r="C55" s="143"/>
      <c r="D55" s="143"/>
      <c r="E55" s="143"/>
      <c r="F55" s="143"/>
      <c r="G55" s="143">
        <v>10</v>
      </c>
      <c r="H55" s="140" t="s">
        <v>1068</v>
      </c>
      <c r="I55" s="150">
        <f t="shared" si="20"/>
        <v>3.8034506848598957E-3</v>
      </c>
      <c r="J55" s="167">
        <f>Insumos!D65</f>
        <v>0</v>
      </c>
      <c r="K55" s="167">
        <f t="shared" si="19"/>
        <v>0</v>
      </c>
    </row>
    <row r="56" spans="1:11" x14ac:dyDescent="0.25">
      <c r="A56" s="124" t="s">
        <v>1933</v>
      </c>
      <c r="B56" s="104" t="s">
        <v>1166</v>
      </c>
      <c r="C56" s="143"/>
      <c r="D56" s="143"/>
      <c r="E56" s="143"/>
      <c r="F56" s="143"/>
      <c r="G56" s="143">
        <v>15</v>
      </c>
      <c r="H56" s="140" t="s">
        <v>1096</v>
      </c>
      <c r="I56" s="150">
        <f t="shared" si="20"/>
        <v>5.7051760272898442E-3</v>
      </c>
      <c r="J56" s="167">
        <f>Insumos!D66</f>
        <v>0</v>
      </c>
      <c r="K56" s="167">
        <f t="shared" si="19"/>
        <v>0</v>
      </c>
    </row>
    <row r="57" spans="1:11" x14ac:dyDescent="0.25">
      <c r="A57" s="124" t="s">
        <v>1934</v>
      </c>
      <c r="B57" s="104" t="s">
        <v>1167</v>
      </c>
      <c r="C57" s="143"/>
      <c r="D57" s="143"/>
      <c r="E57" s="143"/>
      <c r="F57" s="143"/>
      <c r="G57" s="143">
        <v>10</v>
      </c>
      <c r="H57" s="140" t="s">
        <v>1168</v>
      </c>
      <c r="I57" s="150">
        <f t="shared" si="20"/>
        <v>3.8034506848598957E-3</v>
      </c>
      <c r="J57" s="167">
        <f>Insumos!D67</f>
        <v>0</v>
      </c>
      <c r="K57" s="167">
        <f t="shared" si="19"/>
        <v>0</v>
      </c>
    </row>
    <row r="58" spans="1:11" x14ac:dyDescent="0.25">
      <c r="A58" s="124" t="s">
        <v>1935</v>
      </c>
      <c r="B58" s="104" t="s">
        <v>1240</v>
      </c>
      <c r="C58" s="143"/>
      <c r="D58" s="143"/>
      <c r="E58" s="143"/>
      <c r="F58" s="143"/>
      <c r="G58" s="143">
        <v>30</v>
      </c>
      <c r="H58" s="140" t="s">
        <v>1170</v>
      </c>
      <c r="I58" s="150">
        <f t="shared" si="20"/>
        <v>1.1410352054579688E-2</v>
      </c>
      <c r="J58" s="167">
        <f>Insumos!D68</f>
        <v>0</v>
      </c>
      <c r="K58" s="167">
        <f t="shared" si="19"/>
        <v>0</v>
      </c>
    </row>
    <row r="59" spans="1:11" x14ac:dyDescent="0.25">
      <c r="A59" s="152"/>
      <c r="B59" s="153"/>
      <c r="C59" s="172"/>
      <c r="D59" s="173"/>
      <c r="E59" s="159"/>
      <c r="F59" s="159"/>
      <c r="G59" s="159"/>
      <c r="H59" s="159"/>
      <c r="I59" s="159"/>
      <c r="J59" s="170" t="s">
        <v>1064</v>
      </c>
      <c r="K59" s="171">
        <f>SUM(K45:K58)</f>
        <v>0</v>
      </c>
    </row>
    <row r="60" spans="1:11" x14ac:dyDescent="0.25">
      <c r="A60" s="146" t="s">
        <v>39</v>
      </c>
      <c r="B60" s="621" t="s">
        <v>1176</v>
      </c>
      <c r="C60" s="621"/>
      <c r="D60" s="621"/>
      <c r="E60" s="621"/>
      <c r="F60" s="621"/>
      <c r="G60" s="621"/>
      <c r="H60" s="621"/>
      <c r="I60" s="147"/>
      <c r="J60" s="148"/>
      <c r="K60" s="148"/>
    </row>
    <row r="61" spans="1:11" x14ac:dyDescent="0.25">
      <c r="A61" s="611" t="s">
        <v>1196</v>
      </c>
      <c r="B61" s="612" t="s">
        <v>1067</v>
      </c>
      <c r="C61" s="613" t="s">
        <v>1197</v>
      </c>
      <c r="D61" s="614"/>
      <c r="E61" s="614"/>
      <c r="F61" s="615"/>
      <c r="G61" s="619" t="s">
        <v>14</v>
      </c>
      <c r="H61" s="610" t="s">
        <v>1068</v>
      </c>
      <c r="I61" s="608" t="s">
        <v>35</v>
      </c>
      <c r="J61" s="610" t="s">
        <v>1069</v>
      </c>
      <c r="K61" s="610" t="s">
        <v>16</v>
      </c>
    </row>
    <row r="62" spans="1:11" x14ac:dyDescent="0.25">
      <c r="A62" s="611"/>
      <c r="B62" s="612"/>
      <c r="C62" s="616"/>
      <c r="D62" s="617"/>
      <c r="E62" s="617"/>
      <c r="F62" s="618"/>
      <c r="G62" s="620"/>
      <c r="H62" s="610"/>
      <c r="I62" s="609"/>
      <c r="J62" s="610"/>
      <c r="K62" s="610"/>
    </row>
    <row r="63" spans="1:11" x14ac:dyDescent="0.25">
      <c r="A63" s="124" t="s">
        <v>1936</v>
      </c>
      <c r="B63" s="104" t="s">
        <v>1242</v>
      </c>
      <c r="C63" s="605"/>
      <c r="D63" s="606"/>
      <c r="E63" s="606"/>
      <c r="F63" s="607"/>
      <c r="G63" s="143">
        <v>10</v>
      </c>
      <c r="H63" s="140" t="s">
        <v>1140</v>
      </c>
      <c r="I63" s="150">
        <v>5</v>
      </c>
      <c r="J63" s="167">
        <f>Insumos!D75</f>
        <v>0</v>
      </c>
      <c r="K63" s="167">
        <f>TRUNC(G63*I63*J63,2)</f>
        <v>0</v>
      </c>
    </row>
    <row r="64" spans="1:11" x14ac:dyDescent="0.25">
      <c r="A64" s="152"/>
      <c r="B64" s="153"/>
      <c r="C64" s="172"/>
      <c r="D64" s="174"/>
      <c r="E64" s="159"/>
      <c r="F64" s="159"/>
      <c r="G64" s="159"/>
      <c r="H64" s="159"/>
      <c r="I64" s="159"/>
      <c r="J64" s="170" t="s">
        <v>1064</v>
      </c>
      <c r="K64" s="171">
        <f>SUM(K61:K63)</f>
        <v>0</v>
      </c>
    </row>
    <row r="65" spans="1:11" x14ac:dyDescent="0.25">
      <c r="A65" s="146" t="s">
        <v>41</v>
      </c>
      <c r="B65" s="621" t="s">
        <v>1178</v>
      </c>
      <c r="C65" s="621"/>
      <c r="D65" s="621"/>
      <c r="E65" s="621"/>
      <c r="F65" s="621"/>
      <c r="G65" s="621"/>
      <c r="H65" s="621"/>
      <c r="I65" s="147"/>
      <c r="J65" s="148"/>
      <c r="K65" s="148"/>
    </row>
    <row r="66" spans="1:11" x14ac:dyDescent="0.25">
      <c r="A66" s="611" t="s">
        <v>1196</v>
      </c>
      <c r="B66" s="612" t="s">
        <v>1067</v>
      </c>
      <c r="C66" s="613" t="s">
        <v>1197</v>
      </c>
      <c r="D66" s="614"/>
      <c r="E66" s="614"/>
      <c r="F66" s="615"/>
      <c r="G66" s="619" t="s">
        <v>14</v>
      </c>
      <c r="H66" s="610" t="s">
        <v>1068</v>
      </c>
      <c r="I66" s="608" t="s">
        <v>35</v>
      </c>
      <c r="J66" s="610" t="s">
        <v>1069</v>
      </c>
      <c r="K66" s="610" t="s">
        <v>16</v>
      </c>
    </row>
    <row r="67" spans="1:11" x14ac:dyDescent="0.25">
      <c r="A67" s="611"/>
      <c r="B67" s="612"/>
      <c r="C67" s="616"/>
      <c r="D67" s="617"/>
      <c r="E67" s="617"/>
      <c r="F67" s="618"/>
      <c r="G67" s="620"/>
      <c r="H67" s="610"/>
      <c r="I67" s="609"/>
      <c r="J67" s="610"/>
      <c r="K67" s="610"/>
    </row>
    <row r="68" spans="1:11" x14ac:dyDescent="0.25">
      <c r="A68" s="124" t="s">
        <v>1937</v>
      </c>
      <c r="B68" s="104" t="s">
        <v>1244</v>
      </c>
      <c r="C68" s="605"/>
      <c r="D68" s="606"/>
      <c r="E68" s="606"/>
      <c r="F68" s="607"/>
      <c r="G68" s="143">
        <v>10</v>
      </c>
      <c r="H68" s="140" t="s">
        <v>1140</v>
      </c>
      <c r="I68" s="150">
        <v>5</v>
      </c>
      <c r="J68" s="167">
        <f>Insumos!D78</f>
        <v>0</v>
      </c>
      <c r="K68" s="167">
        <f>TRUNC(G68*I68*J68,2)</f>
        <v>0</v>
      </c>
    </row>
    <row r="69" spans="1:11" x14ac:dyDescent="0.25">
      <c r="A69" s="152"/>
      <c r="B69" s="153"/>
      <c r="C69" s="172"/>
      <c r="D69" s="174"/>
      <c r="E69" s="159"/>
      <c r="F69" s="159"/>
      <c r="G69" s="159"/>
      <c r="H69" s="159"/>
      <c r="I69" s="159"/>
      <c r="J69" s="170" t="s">
        <v>1064</v>
      </c>
      <c r="K69" s="175">
        <f>SUM(K68)</f>
        <v>0</v>
      </c>
    </row>
    <row r="70" spans="1:11" x14ac:dyDescent="0.25">
      <c r="A70" s="146" t="s">
        <v>43</v>
      </c>
      <c r="B70" s="621" t="s">
        <v>1180</v>
      </c>
      <c r="C70" s="621"/>
      <c r="D70" s="621"/>
      <c r="E70" s="621"/>
      <c r="F70" s="621"/>
      <c r="G70" s="621"/>
      <c r="H70" s="621"/>
      <c r="I70" s="147"/>
      <c r="J70" s="148"/>
      <c r="K70" s="148"/>
    </row>
    <row r="71" spans="1:11" x14ac:dyDescent="0.25">
      <c r="A71" s="611" t="s">
        <v>1196</v>
      </c>
      <c r="B71" s="612" t="s">
        <v>1067</v>
      </c>
      <c r="C71" s="613" t="s">
        <v>1197</v>
      </c>
      <c r="D71" s="614"/>
      <c r="E71" s="614"/>
      <c r="F71" s="615"/>
      <c r="G71" s="619" t="s">
        <v>14</v>
      </c>
      <c r="H71" s="610" t="s">
        <v>1068</v>
      </c>
      <c r="I71" s="608" t="s">
        <v>35</v>
      </c>
      <c r="J71" s="610" t="s">
        <v>1069</v>
      </c>
      <c r="K71" s="610" t="s">
        <v>16</v>
      </c>
    </row>
    <row r="72" spans="1:11" x14ac:dyDescent="0.25">
      <c r="A72" s="611"/>
      <c r="B72" s="612"/>
      <c r="C72" s="616"/>
      <c r="D72" s="617"/>
      <c r="E72" s="617"/>
      <c r="F72" s="618"/>
      <c r="G72" s="620"/>
      <c r="H72" s="610"/>
      <c r="I72" s="609"/>
      <c r="J72" s="610"/>
      <c r="K72" s="610"/>
    </row>
    <row r="73" spans="1:11" x14ac:dyDescent="0.25">
      <c r="A73" s="124" t="s">
        <v>1981</v>
      </c>
      <c r="B73" s="104" t="s">
        <v>1181</v>
      </c>
      <c r="C73" s="605"/>
      <c r="D73" s="606"/>
      <c r="E73" s="606"/>
      <c r="F73" s="607"/>
      <c r="G73" s="143">
        <v>10</v>
      </c>
      <c r="H73" s="140" t="s">
        <v>1140</v>
      </c>
      <c r="I73" s="150">
        <f>G73/SUM($G$73:$G$75)</f>
        <v>0.33333333333333331</v>
      </c>
      <c r="J73" s="167">
        <f>Insumos!D81</f>
        <v>0</v>
      </c>
      <c r="K73" s="167">
        <f>TRUNC(G73*I73*J73,2)</f>
        <v>0</v>
      </c>
    </row>
    <row r="74" spans="1:11" x14ac:dyDescent="0.25">
      <c r="A74" s="124" t="s">
        <v>2017</v>
      </c>
      <c r="B74" s="104" t="s">
        <v>1182</v>
      </c>
      <c r="C74" s="605"/>
      <c r="D74" s="606"/>
      <c r="E74" s="606"/>
      <c r="F74" s="607"/>
      <c r="G74" s="143">
        <v>10</v>
      </c>
      <c r="H74" s="140" t="s">
        <v>1140</v>
      </c>
      <c r="I74" s="150">
        <f>G74/SUM($G$73:$G$75)</f>
        <v>0.33333333333333331</v>
      </c>
      <c r="J74" s="167">
        <f>Insumos!D82</f>
        <v>0</v>
      </c>
      <c r="K74" s="167">
        <f>TRUNC(G74*I74*J74,2)</f>
        <v>0</v>
      </c>
    </row>
    <row r="75" spans="1:11" x14ac:dyDescent="0.25">
      <c r="A75" s="124" t="s">
        <v>2132</v>
      </c>
      <c r="B75" s="104" t="s">
        <v>1183</v>
      </c>
      <c r="C75" s="605"/>
      <c r="D75" s="606"/>
      <c r="E75" s="606"/>
      <c r="F75" s="607"/>
      <c r="G75" s="143">
        <v>10</v>
      </c>
      <c r="H75" s="140" t="s">
        <v>1140</v>
      </c>
      <c r="I75" s="150">
        <f>G75/SUM($G$73:$G$75)</f>
        <v>0.33333333333333331</v>
      </c>
      <c r="J75" s="167">
        <f>Insumos!D83</f>
        <v>0</v>
      </c>
      <c r="K75" s="167">
        <f>TRUNC(G75*I75*J75,2)</f>
        <v>0</v>
      </c>
    </row>
    <row r="76" spans="1:11" x14ac:dyDescent="0.25">
      <c r="A76" s="152"/>
      <c r="B76" s="153"/>
      <c r="C76" s="168"/>
      <c r="D76" s="176"/>
      <c r="E76" s="159"/>
      <c r="F76" s="159"/>
      <c r="G76" s="159"/>
      <c r="H76" s="159"/>
      <c r="I76" s="159"/>
      <c r="J76" s="170" t="s">
        <v>1064</v>
      </c>
      <c r="K76" s="175">
        <f>SUM(K73:K75)</f>
        <v>0</v>
      </c>
    </row>
  </sheetData>
  <mergeCells count="65">
    <mergeCell ref="A1:K1"/>
    <mergeCell ref="B2:K2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K35:K36"/>
    <mergeCell ref="C37:F37"/>
    <mergeCell ref="C38:F38"/>
    <mergeCell ref="A35:A36"/>
    <mergeCell ref="B35:B36"/>
    <mergeCell ref="C35:F36"/>
    <mergeCell ref="G35:G36"/>
    <mergeCell ref="H35:H36"/>
    <mergeCell ref="C39:F39"/>
    <mergeCell ref="C40:F40"/>
    <mergeCell ref="C41:F41"/>
    <mergeCell ref="B34:H34"/>
    <mergeCell ref="J45:J46"/>
    <mergeCell ref="I35:I36"/>
    <mergeCell ref="J35:J36"/>
    <mergeCell ref="B44:H44"/>
    <mergeCell ref="C42:F42"/>
    <mergeCell ref="K45:K46"/>
    <mergeCell ref="A61:A62"/>
    <mergeCell ref="B61:B62"/>
    <mergeCell ref="C61:F62"/>
    <mergeCell ref="G61:G62"/>
    <mergeCell ref="H61:H62"/>
    <mergeCell ref="I61:I62"/>
    <mergeCell ref="J61:J62"/>
    <mergeCell ref="K61:K62"/>
    <mergeCell ref="A45:A46"/>
    <mergeCell ref="B45:B46"/>
    <mergeCell ref="C45:F46"/>
    <mergeCell ref="H45:H46"/>
    <mergeCell ref="B60:H60"/>
    <mergeCell ref="C63:F63"/>
    <mergeCell ref="A66:A67"/>
    <mergeCell ref="B66:B67"/>
    <mergeCell ref="C66:F67"/>
    <mergeCell ref="G66:G67"/>
    <mergeCell ref="B65:H65"/>
    <mergeCell ref="K66:K67"/>
    <mergeCell ref="C68:F68"/>
    <mergeCell ref="A71:A72"/>
    <mergeCell ref="B71:B72"/>
    <mergeCell ref="C71:F72"/>
    <mergeCell ref="G71:G72"/>
    <mergeCell ref="H71:H72"/>
    <mergeCell ref="I71:I72"/>
    <mergeCell ref="H66:H67"/>
    <mergeCell ref="J71:J72"/>
    <mergeCell ref="K71:K72"/>
    <mergeCell ref="B70:H70"/>
    <mergeCell ref="C73:F73"/>
    <mergeCell ref="C74:F74"/>
    <mergeCell ref="C75:F75"/>
    <mergeCell ref="I66:I67"/>
    <mergeCell ref="J66:J67"/>
  </mergeCells>
  <pageMargins left="0.511811024" right="0.511811024" top="0.78740157499999996" bottom="0.78740157499999996" header="0.31496062000000002" footer="0.31496062000000002"/>
  <pageSetup paperSize="9" scale="53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4"/>
  <sheetViews>
    <sheetView view="pageBreakPreview" topLeftCell="A42" zoomScale="80" zoomScaleNormal="80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65.7109375" customWidth="1"/>
    <col min="3" max="4" width="8.42578125" customWidth="1"/>
    <col min="5" max="5" width="7.7109375" customWidth="1"/>
    <col min="6" max="7" width="10.85546875" customWidth="1"/>
    <col min="8" max="8" width="9.5703125" customWidth="1"/>
    <col min="10" max="10" width="16" bestFit="1" customWidth="1"/>
    <col min="11" max="11" width="18.42578125" bestFit="1" customWidth="1"/>
  </cols>
  <sheetData>
    <row r="1" spans="1:11" ht="18.75" x14ac:dyDescent="0.25">
      <c r="A1" s="628"/>
      <c r="B1" s="628"/>
      <c r="C1" s="628"/>
      <c r="D1" s="628"/>
      <c r="E1" s="628"/>
      <c r="F1" s="628"/>
      <c r="G1" s="628"/>
      <c r="H1" s="628"/>
      <c r="I1" s="628"/>
      <c r="J1" s="628"/>
    </row>
    <row r="2" spans="1:11" ht="15.75" x14ac:dyDescent="0.25">
      <c r="A2" s="145">
        <v>2</v>
      </c>
      <c r="B2" s="631" t="s">
        <v>1334</v>
      </c>
      <c r="C2" s="632"/>
      <c r="D2" s="632"/>
      <c r="E2" s="632"/>
      <c r="F2" s="632"/>
      <c r="G2" s="632"/>
      <c r="H2" s="632"/>
      <c r="I2" s="632"/>
      <c r="J2" s="632"/>
      <c r="K2" s="633"/>
    </row>
    <row r="3" spans="1:11" x14ac:dyDescent="0.25">
      <c r="A3" s="146" t="s">
        <v>1833</v>
      </c>
      <c r="B3" s="621" t="s">
        <v>1252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5" t="s">
        <v>1923</v>
      </c>
      <c r="C6" s="243">
        <v>15</v>
      </c>
      <c r="D6" s="243">
        <v>50</v>
      </c>
      <c r="E6" s="243"/>
      <c r="F6" s="243">
        <f t="shared" ref="F6:F17" si="0">C6*D6</f>
        <v>750</v>
      </c>
      <c r="G6" s="243">
        <f t="shared" ref="G6:G25" si="1">F6</f>
        <v>750</v>
      </c>
      <c r="H6" s="244" t="s">
        <v>1076</v>
      </c>
      <c r="I6" s="253">
        <v>0.45</v>
      </c>
      <c r="J6" s="254">
        <f>Insumos!D19</f>
        <v>0</v>
      </c>
      <c r="K6" s="254">
        <f>TRUNC(G6*I6*J6,2)</f>
        <v>0</v>
      </c>
    </row>
    <row r="7" spans="1:11" s="247" customFormat="1" x14ac:dyDescent="0.25">
      <c r="A7" s="34" t="s">
        <v>1203</v>
      </c>
      <c r="B7" s="255" t="s">
        <v>2101</v>
      </c>
      <c r="C7" s="243">
        <v>3</v>
      </c>
      <c r="D7" s="243">
        <v>20</v>
      </c>
      <c r="E7" s="243"/>
      <c r="F7" s="243">
        <f t="shared" si="0"/>
        <v>60</v>
      </c>
      <c r="G7" s="243">
        <f t="shared" ref="G7:G8" si="2">F7</f>
        <v>60</v>
      </c>
      <c r="H7" s="244" t="s">
        <v>1076</v>
      </c>
      <c r="I7" s="253">
        <f>$I$6</f>
        <v>0.45</v>
      </c>
      <c r="J7" s="254">
        <f>Insumos!D19</f>
        <v>0</v>
      </c>
      <c r="K7" s="254">
        <f>TRUNC(G7*I7*J7,2)</f>
        <v>0</v>
      </c>
    </row>
    <row r="8" spans="1:11" s="247" customFormat="1" x14ac:dyDescent="0.25">
      <c r="A8" s="34" t="s">
        <v>1204</v>
      </c>
      <c r="B8" s="255" t="s">
        <v>2103</v>
      </c>
      <c r="C8" s="243">
        <v>10</v>
      </c>
      <c r="D8" s="243">
        <v>10</v>
      </c>
      <c r="E8" s="243"/>
      <c r="F8" s="243">
        <f t="shared" ref="F8" si="3">C8*D8</f>
        <v>100</v>
      </c>
      <c r="G8" s="243">
        <f t="shared" si="2"/>
        <v>100</v>
      </c>
      <c r="H8" s="244" t="s">
        <v>1076</v>
      </c>
      <c r="I8" s="253">
        <f t="shared" ref="I8:I29" si="4">$I$6</f>
        <v>0.45</v>
      </c>
      <c r="J8" s="254">
        <f>Insumos!D19</f>
        <v>0</v>
      </c>
      <c r="K8" s="254">
        <f t="shared" ref="K8" si="5">TRUNC(G8*I8*J8,2)</f>
        <v>0</v>
      </c>
    </row>
    <row r="9" spans="1:11" s="247" customFormat="1" x14ac:dyDescent="0.25">
      <c r="A9" s="34" t="s">
        <v>1205</v>
      </c>
      <c r="B9" s="251" t="s">
        <v>2104</v>
      </c>
      <c r="C9" s="243">
        <v>3</v>
      </c>
      <c r="D9" s="243">
        <f>53+6+2</f>
        <v>61</v>
      </c>
      <c r="E9" s="243"/>
      <c r="F9" s="243">
        <f t="shared" ref="F9" si="6">C9*D9</f>
        <v>183</v>
      </c>
      <c r="G9" s="243">
        <f t="shared" si="1"/>
        <v>183</v>
      </c>
      <c r="H9" s="244" t="s">
        <v>1076</v>
      </c>
      <c r="I9" s="253">
        <f t="shared" si="4"/>
        <v>0.45</v>
      </c>
      <c r="J9" s="254">
        <f>Insumos!D6</f>
        <v>0</v>
      </c>
      <c r="K9" s="254">
        <f t="shared" ref="K9:K25" si="7">TRUNC(G9*I9*J9,2)</f>
        <v>0</v>
      </c>
    </row>
    <row r="10" spans="1:11" s="247" customFormat="1" x14ac:dyDescent="0.25">
      <c r="A10" s="34" t="s">
        <v>1206</v>
      </c>
      <c r="B10" s="251" t="s">
        <v>1963</v>
      </c>
      <c r="C10" s="243">
        <v>10</v>
      </c>
      <c r="D10" s="243">
        <v>50</v>
      </c>
      <c r="E10" s="243"/>
      <c r="F10" s="243">
        <f t="shared" ref="F10" si="8">C10*D10</f>
        <v>500</v>
      </c>
      <c r="G10" s="243">
        <f t="shared" ref="G10" si="9">F10</f>
        <v>500</v>
      </c>
      <c r="H10" s="244" t="s">
        <v>1076</v>
      </c>
      <c r="I10" s="253">
        <f t="shared" si="4"/>
        <v>0.45</v>
      </c>
      <c r="J10" s="254">
        <f>Insumos!D7</f>
        <v>0</v>
      </c>
      <c r="K10" s="254">
        <f t="shared" ref="K10" si="10">TRUNC(G10*I10*J10,2)</f>
        <v>0</v>
      </c>
    </row>
    <row r="11" spans="1:11" s="247" customFormat="1" x14ac:dyDescent="0.25">
      <c r="A11" s="34" t="s">
        <v>1207</v>
      </c>
      <c r="B11" s="251" t="s">
        <v>1961</v>
      </c>
      <c r="C11" s="243">
        <v>7</v>
      </c>
      <c r="D11" s="243">
        <v>50</v>
      </c>
      <c r="E11" s="243"/>
      <c r="F11" s="243">
        <f t="shared" si="0"/>
        <v>350</v>
      </c>
      <c r="G11" s="243">
        <f t="shared" si="1"/>
        <v>350</v>
      </c>
      <c r="H11" s="244" t="s">
        <v>1076</v>
      </c>
      <c r="I11" s="253">
        <f t="shared" si="4"/>
        <v>0.45</v>
      </c>
      <c r="J11" s="254">
        <f>Insumos!D7</f>
        <v>0</v>
      </c>
      <c r="K11" s="254">
        <f t="shared" si="7"/>
        <v>0</v>
      </c>
    </row>
    <row r="12" spans="1:11" s="247" customFormat="1" x14ac:dyDescent="0.25">
      <c r="A12" s="34" t="s">
        <v>1208</v>
      </c>
      <c r="B12" s="251" t="s">
        <v>1921</v>
      </c>
      <c r="C12" s="243">
        <v>5</v>
      </c>
      <c r="D12" s="243">
        <v>50</v>
      </c>
      <c r="E12" s="243"/>
      <c r="F12" s="243">
        <f t="shared" si="0"/>
        <v>250</v>
      </c>
      <c r="G12" s="243">
        <f t="shared" ref="G12" si="11">F12</f>
        <v>250</v>
      </c>
      <c r="H12" s="244" t="s">
        <v>1076</v>
      </c>
      <c r="I12" s="253">
        <f t="shared" si="4"/>
        <v>0.45</v>
      </c>
      <c r="J12" s="254">
        <f>Insumos!D7</f>
        <v>0</v>
      </c>
      <c r="K12" s="254">
        <f t="shared" ref="K12" si="12">TRUNC(G12*I12*J12,2)</f>
        <v>0</v>
      </c>
    </row>
    <row r="13" spans="1:11" s="247" customFormat="1" x14ac:dyDescent="0.25">
      <c r="A13" s="34" t="s">
        <v>1209</v>
      </c>
      <c r="B13" s="251" t="s">
        <v>1925</v>
      </c>
      <c r="C13" s="243">
        <v>3</v>
      </c>
      <c r="D13" s="243">
        <f>16+6+2</f>
        <v>24</v>
      </c>
      <c r="E13" s="243"/>
      <c r="F13" s="243">
        <f t="shared" si="0"/>
        <v>72</v>
      </c>
      <c r="G13" s="243">
        <f t="shared" ref="G13" si="13">F13</f>
        <v>72</v>
      </c>
      <c r="H13" s="244" t="s">
        <v>1076</v>
      </c>
      <c r="I13" s="253">
        <f t="shared" si="4"/>
        <v>0.45</v>
      </c>
      <c r="J13" s="254">
        <f>Insumos!D7</f>
        <v>0</v>
      </c>
      <c r="K13" s="254">
        <f t="shared" ref="K13" si="14">TRUNC(G13*I13*J13,2)</f>
        <v>0</v>
      </c>
    </row>
    <row r="14" spans="1:11" s="247" customFormat="1" x14ac:dyDescent="0.25">
      <c r="A14" s="34" t="s">
        <v>1210</v>
      </c>
      <c r="B14" s="251" t="s">
        <v>1926</v>
      </c>
      <c r="C14" s="243">
        <v>2</v>
      </c>
      <c r="D14" s="243">
        <v>35</v>
      </c>
      <c r="E14" s="243"/>
      <c r="F14" s="243">
        <f t="shared" si="0"/>
        <v>70</v>
      </c>
      <c r="G14" s="243">
        <f t="shared" ref="G14" si="15">F14</f>
        <v>70</v>
      </c>
      <c r="H14" s="244" t="s">
        <v>1076</v>
      </c>
      <c r="I14" s="253">
        <f t="shared" si="4"/>
        <v>0.45</v>
      </c>
      <c r="J14" s="254">
        <f>Insumos!D7</f>
        <v>0</v>
      </c>
      <c r="K14" s="254">
        <f t="shared" ref="K14" si="16">TRUNC(G14*I14*J14,2)</f>
        <v>0</v>
      </c>
    </row>
    <row r="15" spans="1:11" s="247" customFormat="1" x14ac:dyDescent="0.25">
      <c r="A15" s="34" t="s">
        <v>1211</v>
      </c>
      <c r="B15" s="251" t="s">
        <v>2102</v>
      </c>
      <c r="C15" s="243">
        <f>C7</f>
        <v>3</v>
      </c>
      <c r="D15" s="243">
        <f>D7</f>
        <v>20</v>
      </c>
      <c r="E15" s="243"/>
      <c r="F15" s="243">
        <f t="shared" ref="F15" si="17">C15*D15</f>
        <v>60</v>
      </c>
      <c r="G15" s="243">
        <f t="shared" ref="G15" si="18">F15</f>
        <v>60</v>
      </c>
      <c r="H15" s="244" t="s">
        <v>1076</v>
      </c>
      <c r="I15" s="253">
        <f t="shared" si="4"/>
        <v>0.45</v>
      </c>
      <c r="J15" s="254">
        <f>Insumos!D7</f>
        <v>0</v>
      </c>
      <c r="K15" s="254">
        <f t="shared" ref="K15" si="19">TRUNC(G15*I15*J15,2)</f>
        <v>0</v>
      </c>
    </row>
    <row r="16" spans="1:11" s="247" customFormat="1" x14ac:dyDescent="0.25">
      <c r="A16" s="34" t="s">
        <v>1212</v>
      </c>
      <c r="B16" s="251" t="s">
        <v>1094</v>
      </c>
      <c r="C16" s="243">
        <v>50</v>
      </c>
      <c r="D16" s="243"/>
      <c r="E16" s="243">
        <v>1.3</v>
      </c>
      <c r="F16" s="243">
        <f>E16*C16</f>
        <v>65</v>
      </c>
      <c r="G16" s="243">
        <f t="shared" ref="G16" si="20">F16</f>
        <v>65</v>
      </c>
      <c r="H16" s="244" t="s">
        <v>1076</v>
      </c>
      <c r="I16" s="253">
        <f t="shared" si="4"/>
        <v>0.45</v>
      </c>
      <c r="J16" s="254">
        <f>Insumos!D11</f>
        <v>0</v>
      </c>
      <c r="K16" s="254">
        <f t="shared" ref="K16" si="21">TRUNC(G16*I16*J16,2)</f>
        <v>0</v>
      </c>
    </row>
    <row r="17" spans="1:11" s="247" customFormat="1" x14ac:dyDescent="0.25">
      <c r="A17" s="34" t="s">
        <v>1213</v>
      </c>
      <c r="B17" s="251" t="s">
        <v>1969</v>
      </c>
      <c r="C17" s="243">
        <v>8</v>
      </c>
      <c r="D17" s="243">
        <v>50</v>
      </c>
      <c r="E17" s="243"/>
      <c r="F17" s="243">
        <f t="shared" si="0"/>
        <v>400</v>
      </c>
      <c r="G17" s="243">
        <f t="shared" ref="G17" si="22">F17</f>
        <v>400</v>
      </c>
      <c r="H17" s="244" t="s">
        <v>1076</v>
      </c>
      <c r="I17" s="253">
        <f t="shared" si="4"/>
        <v>0.45</v>
      </c>
      <c r="J17" s="254">
        <f>Insumos!D4</f>
        <v>0</v>
      </c>
      <c r="K17" s="254">
        <f t="shared" ref="K17" si="23">TRUNC(G17*I17*J17,2)</f>
        <v>0</v>
      </c>
    </row>
    <row r="18" spans="1:11" s="247" customFormat="1" x14ac:dyDescent="0.25">
      <c r="A18" s="34" t="s">
        <v>1214</v>
      </c>
      <c r="B18" s="251" t="s">
        <v>1970</v>
      </c>
      <c r="C18" s="243">
        <f>C11</f>
        <v>7</v>
      </c>
      <c r="D18" s="243">
        <v>50</v>
      </c>
      <c r="E18" s="243"/>
      <c r="F18" s="243">
        <f t="shared" ref="F18" si="24">C18*D18</f>
        <v>350</v>
      </c>
      <c r="G18" s="243">
        <f t="shared" ref="G18" si="25">F18</f>
        <v>350</v>
      </c>
      <c r="H18" s="244" t="s">
        <v>1076</v>
      </c>
      <c r="I18" s="253">
        <f t="shared" si="4"/>
        <v>0.45</v>
      </c>
      <c r="J18" s="254">
        <f>Insumos!D4</f>
        <v>0</v>
      </c>
      <c r="K18" s="254">
        <f t="shared" ref="K18" si="26">TRUNC(G18*I18*J18,2)</f>
        <v>0</v>
      </c>
    </row>
    <row r="19" spans="1:11" s="247" customFormat="1" x14ac:dyDescent="0.25">
      <c r="A19" s="34" t="s">
        <v>1215</v>
      </c>
      <c r="B19" s="255" t="s">
        <v>1965</v>
      </c>
      <c r="C19" s="242">
        <f>C17</f>
        <v>8</v>
      </c>
      <c r="D19" s="242">
        <v>50</v>
      </c>
      <c r="E19" s="242"/>
      <c r="F19" s="243">
        <f>D19*C19</f>
        <v>400</v>
      </c>
      <c r="G19" s="243">
        <f>F19</f>
        <v>400</v>
      </c>
      <c r="H19" s="244" t="s">
        <v>1076</v>
      </c>
      <c r="I19" s="253">
        <f t="shared" si="4"/>
        <v>0.45</v>
      </c>
      <c r="J19" s="254">
        <f>Insumos!D24</f>
        <v>0</v>
      </c>
      <c r="K19" s="254">
        <f>TRUNC(G19*I19*J19,2)</f>
        <v>0</v>
      </c>
    </row>
    <row r="20" spans="1:11" s="247" customFormat="1" x14ac:dyDescent="0.25">
      <c r="A20" s="34" t="s">
        <v>1216</v>
      </c>
      <c r="B20" s="255" t="s">
        <v>1966</v>
      </c>
      <c r="C20" s="242">
        <v>6.3</v>
      </c>
      <c r="D20" s="242">
        <v>50</v>
      </c>
      <c r="E20" s="242"/>
      <c r="F20" s="243">
        <f>D20*C20</f>
        <v>315</v>
      </c>
      <c r="G20" s="243">
        <f>F20</f>
        <v>315</v>
      </c>
      <c r="H20" s="244" t="s">
        <v>1076</v>
      </c>
      <c r="I20" s="253">
        <f t="shared" si="4"/>
        <v>0.45</v>
      </c>
      <c r="J20" s="254">
        <f>Insumos!D24</f>
        <v>0</v>
      </c>
      <c r="K20" s="254">
        <f>TRUNC(G20*I20*J20,2)</f>
        <v>0</v>
      </c>
    </row>
    <row r="21" spans="1:11" s="247" customFormat="1" x14ac:dyDescent="0.25">
      <c r="A21" s="34" t="s">
        <v>1217</v>
      </c>
      <c r="B21" s="251" t="s">
        <v>1971</v>
      </c>
      <c r="C21" s="242">
        <v>2</v>
      </c>
      <c r="D21" s="242">
        <f>13+6.5+6.5</f>
        <v>26</v>
      </c>
      <c r="E21" s="242"/>
      <c r="F21" s="243">
        <f>D21*C21</f>
        <v>52</v>
      </c>
      <c r="G21" s="243">
        <f t="shared" si="1"/>
        <v>52</v>
      </c>
      <c r="H21" s="244" t="s">
        <v>1076</v>
      </c>
      <c r="I21" s="253">
        <f t="shared" si="4"/>
        <v>0.45</v>
      </c>
      <c r="J21" s="254">
        <f>Insumos!D9</f>
        <v>0</v>
      </c>
      <c r="K21" s="254">
        <f t="shared" si="7"/>
        <v>0</v>
      </c>
    </row>
    <row r="22" spans="1:11" s="247" customFormat="1" x14ac:dyDescent="0.25">
      <c r="A22" s="34" t="s">
        <v>1220</v>
      </c>
      <c r="B22" s="251" t="s">
        <v>1924</v>
      </c>
      <c r="C22" s="242">
        <v>2</v>
      </c>
      <c r="D22" s="242">
        <v>8.4</v>
      </c>
      <c r="E22" s="242">
        <v>1</v>
      </c>
      <c r="F22" s="243">
        <f>C22*D22*E22</f>
        <v>16.8</v>
      </c>
      <c r="G22" s="243">
        <f t="shared" ref="G22" si="27">F22</f>
        <v>16.8</v>
      </c>
      <c r="H22" s="244" t="s">
        <v>1076</v>
      </c>
      <c r="I22" s="253">
        <f t="shared" si="4"/>
        <v>0.45</v>
      </c>
      <c r="J22" s="254">
        <f>Insumos!D9</f>
        <v>0</v>
      </c>
      <c r="K22" s="254">
        <f t="shared" ref="K22" si="28">TRUNC(G22*I22*J22,2)</f>
        <v>0</v>
      </c>
    </row>
    <row r="23" spans="1:11" s="247" customFormat="1" x14ac:dyDescent="0.25">
      <c r="A23" s="34" t="s">
        <v>1222</v>
      </c>
      <c r="B23" s="251" t="s">
        <v>1972</v>
      </c>
      <c r="C23" s="242">
        <v>2</v>
      </c>
      <c r="D23" s="242">
        <v>16</v>
      </c>
      <c r="E23" s="242"/>
      <c r="F23" s="243">
        <f>C23*D23</f>
        <v>32</v>
      </c>
      <c r="G23" s="243">
        <f>F23</f>
        <v>32</v>
      </c>
      <c r="H23" s="244" t="s">
        <v>1076</v>
      </c>
      <c r="I23" s="253">
        <f t="shared" si="4"/>
        <v>0.45</v>
      </c>
      <c r="J23" s="254">
        <f>Insumos!D10</f>
        <v>0</v>
      </c>
      <c r="K23" s="254">
        <f>TRUNC(G23*I23*J23,2)</f>
        <v>0</v>
      </c>
    </row>
    <row r="24" spans="1:11" s="247" customFormat="1" x14ac:dyDescent="0.25">
      <c r="A24" s="34" t="s">
        <v>1223</v>
      </c>
      <c r="B24" s="251" t="s">
        <v>1922</v>
      </c>
      <c r="C24" s="242">
        <v>2</v>
      </c>
      <c r="D24" s="242">
        <v>8</v>
      </c>
      <c r="E24" s="242"/>
      <c r="F24" s="243">
        <f>C24*D24</f>
        <v>16</v>
      </c>
      <c r="G24" s="243">
        <f>F24</f>
        <v>16</v>
      </c>
      <c r="H24" s="244" t="s">
        <v>1076</v>
      </c>
      <c r="I24" s="253">
        <f t="shared" si="4"/>
        <v>0.45</v>
      </c>
      <c r="J24" s="254">
        <f>Insumos!D10</f>
        <v>0</v>
      </c>
      <c r="K24" s="254">
        <f>TRUNC(G24*I24*J24,2)</f>
        <v>0</v>
      </c>
    </row>
    <row r="25" spans="1:11" s="247" customFormat="1" x14ac:dyDescent="0.25">
      <c r="A25" s="34" t="s">
        <v>1224</v>
      </c>
      <c r="B25" s="251" t="s">
        <v>1973</v>
      </c>
      <c r="C25" s="242">
        <v>2</v>
      </c>
      <c r="D25" s="242">
        <f>D21+D23</f>
        <v>42</v>
      </c>
      <c r="E25" s="242">
        <v>1.1000000000000001</v>
      </c>
      <c r="F25" s="243">
        <f>E25*D25*C25</f>
        <v>92.4</v>
      </c>
      <c r="G25" s="243">
        <f t="shared" si="1"/>
        <v>92.4</v>
      </c>
      <c r="H25" s="244" t="s">
        <v>1076</v>
      </c>
      <c r="I25" s="253">
        <f t="shared" si="4"/>
        <v>0.45</v>
      </c>
      <c r="J25" s="254">
        <f>Insumos!D31</f>
        <v>0</v>
      </c>
      <c r="K25" s="254">
        <f t="shared" si="7"/>
        <v>0</v>
      </c>
    </row>
    <row r="26" spans="1:11" s="247" customFormat="1" x14ac:dyDescent="0.25">
      <c r="A26" s="34" t="s">
        <v>1225</v>
      </c>
      <c r="B26" s="251" t="s">
        <v>1927</v>
      </c>
      <c r="C26" s="242"/>
      <c r="D26" s="242">
        <f>28.15+12.2</f>
        <v>40.349999999999994</v>
      </c>
      <c r="E26" s="242">
        <v>1.1000000000000001</v>
      </c>
      <c r="F26" s="243">
        <f>E26*D26</f>
        <v>44.384999999999998</v>
      </c>
      <c r="G26" s="243">
        <f t="shared" ref="G26" si="29">F26</f>
        <v>44.384999999999998</v>
      </c>
      <c r="H26" s="244" t="s">
        <v>1076</v>
      </c>
      <c r="I26" s="253">
        <f t="shared" si="4"/>
        <v>0.45</v>
      </c>
      <c r="J26" s="254">
        <f>Insumos!D31</f>
        <v>0</v>
      </c>
      <c r="K26" s="254">
        <f t="shared" ref="K26" si="30">TRUNC(G26*I26*J26,2)</f>
        <v>0</v>
      </c>
    </row>
    <row r="27" spans="1:11" s="247" customFormat="1" x14ac:dyDescent="0.25">
      <c r="A27" s="34" t="s">
        <v>1226</v>
      </c>
      <c r="B27" s="251" t="s">
        <v>1132</v>
      </c>
      <c r="C27" s="242"/>
      <c r="D27" s="242"/>
      <c r="E27" s="242"/>
      <c r="F27" s="243">
        <f>F25+F26</f>
        <v>136.785</v>
      </c>
      <c r="G27" s="243">
        <f>F27</f>
        <v>136.785</v>
      </c>
      <c r="H27" s="244" t="s">
        <v>1076</v>
      </c>
      <c r="I27" s="253">
        <f t="shared" si="4"/>
        <v>0.45</v>
      </c>
      <c r="J27" s="254">
        <f>Insumos!D33</f>
        <v>0</v>
      </c>
      <c r="K27" s="254">
        <f>TRUNC(G27*I27*J27,2)</f>
        <v>0</v>
      </c>
    </row>
    <row r="28" spans="1:11" s="247" customFormat="1" x14ac:dyDescent="0.25">
      <c r="A28" s="34" t="s">
        <v>1227</v>
      </c>
      <c r="B28" s="251" t="s">
        <v>2105</v>
      </c>
      <c r="C28" s="242">
        <f>61.65+19.85</f>
        <v>81.5</v>
      </c>
      <c r="D28" s="242"/>
      <c r="E28" s="242">
        <v>3</v>
      </c>
      <c r="F28" s="243">
        <f>E28*C28</f>
        <v>244.5</v>
      </c>
      <c r="G28" s="243">
        <f>F28</f>
        <v>244.5</v>
      </c>
      <c r="H28" s="244" t="s">
        <v>1076</v>
      </c>
      <c r="I28" s="253">
        <f t="shared" si="4"/>
        <v>0.45</v>
      </c>
      <c r="J28" s="254">
        <f>Insumos!D30</f>
        <v>0</v>
      </c>
      <c r="K28" s="254">
        <f>TRUNC(G28*I28*J28,2)</f>
        <v>0</v>
      </c>
    </row>
    <row r="29" spans="1:11" s="247" customFormat="1" ht="30" x14ac:dyDescent="0.25">
      <c r="A29" s="34" t="s">
        <v>1229</v>
      </c>
      <c r="B29" s="255" t="s">
        <v>2135</v>
      </c>
      <c r="C29" s="242"/>
      <c r="D29" s="242"/>
      <c r="E29" s="251"/>
      <c r="F29" s="243">
        <f>F6+F7+F8</f>
        <v>910</v>
      </c>
      <c r="G29" s="243">
        <f>F29</f>
        <v>910</v>
      </c>
      <c r="H29" s="244" t="s">
        <v>1076</v>
      </c>
      <c r="I29" s="253">
        <f t="shared" si="4"/>
        <v>0.45</v>
      </c>
      <c r="J29" s="254">
        <f>Insumos!D28</f>
        <v>0</v>
      </c>
      <c r="K29" s="254">
        <f>TRUNC(G29*I29*J29,2)</f>
        <v>0</v>
      </c>
    </row>
    <row r="30" spans="1:11" x14ac:dyDescent="0.25">
      <c r="A30" s="152"/>
      <c r="B30" s="159"/>
      <c r="C30" s="154"/>
      <c r="D30" s="154"/>
      <c r="E30" s="154"/>
      <c r="F30" s="154"/>
      <c r="G30" s="154"/>
      <c r="H30" s="154"/>
      <c r="I30" s="154"/>
      <c r="J30" s="155" t="s">
        <v>1064</v>
      </c>
      <c r="K30" s="190">
        <f>SUM(K6:K29)</f>
        <v>0</v>
      </c>
    </row>
    <row r="31" spans="1:11" x14ac:dyDescent="0.25">
      <c r="A31" s="146" t="s">
        <v>1834</v>
      </c>
      <c r="B31" s="179" t="s">
        <v>1219</v>
      </c>
      <c r="C31" s="148"/>
      <c r="D31" s="148"/>
      <c r="E31" s="148"/>
      <c r="F31" s="148"/>
      <c r="G31" s="148"/>
      <c r="H31" s="148"/>
      <c r="I31" s="148"/>
      <c r="J31" s="156"/>
      <c r="K31" s="187"/>
    </row>
    <row r="32" spans="1:11" x14ac:dyDescent="0.25">
      <c r="A32" s="611" t="s">
        <v>1196</v>
      </c>
      <c r="B32" s="612" t="s">
        <v>1067</v>
      </c>
      <c r="C32" s="613" t="s">
        <v>1197</v>
      </c>
      <c r="D32" s="614"/>
      <c r="E32" s="614"/>
      <c r="F32" s="615"/>
      <c r="G32" s="626" t="s">
        <v>14</v>
      </c>
      <c r="H32" s="610" t="s">
        <v>1068</v>
      </c>
      <c r="I32" s="608" t="s">
        <v>35</v>
      </c>
      <c r="J32" s="630" t="s">
        <v>1255</v>
      </c>
      <c r="K32" s="630" t="s">
        <v>16</v>
      </c>
    </row>
    <row r="33" spans="1:11" x14ac:dyDescent="0.25">
      <c r="A33" s="611"/>
      <c r="B33" s="612"/>
      <c r="C33" s="616"/>
      <c r="D33" s="617"/>
      <c r="E33" s="617"/>
      <c r="F33" s="618"/>
      <c r="G33" s="627"/>
      <c r="H33" s="610"/>
      <c r="I33" s="609"/>
      <c r="J33" s="630"/>
      <c r="K33" s="630"/>
    </row>
    <row r="34" spans="1:11" x14ac:dyDescent="0.25">
      <c r="A34" s="124" t="s">
        <v>1231</v>
      </c>
      <c r="B34" s="6" t="s">
        <v>1147</v>
      </c>
      <c r="C34" s="143"/>
      <c r="D34" s="143"/>
      <c r="E34" s="143"/>
      <c r="F34" s="143"/>
      <c r="G34" s="143">
        <v>10</v>
      </c>
      <c r="H34" s="140" t="s">
        <v>1221</v>
      </c>
      <c r="I34" s="150">
        <f>G34/SUM($G$34:$G$40)</f>
        <v>4.7393364928909949E-2</v>
      </c>
      <c r="J34" s="167">
        <f>Insumos!D49</f>
        <v>0</v>
      </c>
      <c r="K34" s="151">
        <f t="shared" ref="K34:K39" si="31">TRUNC(G34*I34*J34,2)</f>
        <v>0</v>
      </c>
    </row>
    <row r="35" spans="1:11" x14ac:dyDescent="0.25">
      <c r="A35" s="124" t="s">
        <v>1232</v>
      </c>
      <c r="B35" s="6" t="s">
        <v>1148</v>
      </c>
      <c r="C35" s="143"/>
      <c r="D35" s="143"/>
      <c r="E35" s="143"/>
      <c r="F35" s="143"/>
      <c r="G35" s="143">
        <v>10</v>
      </c>
      <c r="H35" s="140" t="s">
        <v>1221</v>
      </c>
      <c r="I35" s="150">
        <f t="shared" ref="I35:I39" si="32">G35/SUM($G$34:$G$40)</f>
        <v>4.7393364928909949E-2</v>
      </c>
      <c r="J35" s="167">
        <f>Insumos!D50</f>
        <v>0</v>
      </c>
      <c r="K35" s="151">
        <f t="shared" si="31"/>
        <v>0</v>
      </c>
    </row>
    <row r="36" spans="1:11" x14ac:dyDescent="0.25">
      <c r="A36" s="124" t="s">
        <v>1233</v>
      </c>
      <c r="B36" s="6" t="s">
        <v>1149</v>
      </c>
      <c r="C36" s="143"/>
      <c r="D36" s="143"/>
      <c r="E36" s="143"/>
      <c r="F36" s="143"/>
      <c r="G36" s="143">
        <v>10</v>
      </c>
      <c r="H36" s="140" t="s">
        <v>1221</v>
      </c>
      <c r="I36" s="150">
        <f t="shared" si="32"/>
        <v>4.7393364928909949E-2</v>
      </c>
      <c r="J36" s="167">
        <f>Insumos!D51</f>
        <v>0</v>
      </c>
      <c r="K36" s="151">
        <f t="shared" si="31"/>
        <v>0</v>
      </c>
    </row>
    <row r="37" spans="1:11" x14ac:dyDescent="0.25">
      <c r="A37" s="124" t="s">
        <v>1234</v>
      </c>
      <c r="B37" s="6" t="s">
        <v>1150</v>
      </c>
      <c r="C37" s="143"/>
      <c r="D37" s="143"/>
      <c r="E37" s="143"/>
      <c r="F37" s="143"/>
      <c r="G37" s="143">
        <v>120</v>
      </c>
      <c r="H37" s="140" t="s">
        <v>1151</v>
      </c>
      <c r="I37" s="150">
        <f t="shared" si="32"/>
        <v>0.56872037914691942</v>
      </c>
      <c r="J37" s="167">
        <f>Insumos!D52</f>
        <v>0</v>
      </c>
      <c r="K37" s="151">
        <f t="shared" si="31"/>
        <v>0</v>
      </c>
    </row>
    <row r="38" spans="1:11" x14ac:dyDescent="0.25">
      <c r="A38" s="124" t="s">
        <v>1235</v>
      </c>
      <c r="B38" s="6" t="s">
        <v>1152</v>
      </c>
      <c r="C38" s="143"/>
      <c r="D38" s="143"/>
      <c r="E38" s="143"/>
      <c r="F38" s="143"/>
      <c r="G38" s="143">
        <v>10</v>
      </c>
      <c r="H38" s="140" t="s">
        <v>1124</v>
      </c>
      <c r="I38" s="150">
        <f t="shared" si="32"/>
        <v>4.7393364928909949E-2</v>
      </c>
      <c r="J38" s="167">
        <f>Insumos!D53</f>
        <v>0</v>
      </c>
      <c r="K38" s="151">
        <f t="shared" si="31"/>
        <v>0</v>
      </c>
    </row>
    <row r="39" spans="1:11" x14ac:dyDescent="0.25">
      <c r="A39" s="124" t="s">
        <v>1236</v>
      </c>
      <c r="B39" s="6" t="s">
        <v>1248</v>
      </c>
      <c r="C39" s="143"/>
      <c r="D39" s="143"/>
      <c r="E39" s="143"/>
      <c r="F39" s="143"/>
      <c r="G39" s="143">
        <v>50</v>
      </c>
      <c r="H39" s="140" t="s">
        <v>1154</v>
      </c>
      <c r="I39" s="150">
        <f t="shared" si="32"/>
        <v>0.23696682464454977</v>
      </c>
      <c r="J39" s="167">
        <f>Insumos!D54</f>
        <v>0</v>
      </c>
      <c r="K39" s="151">
        <f t="shared" si="31"/>
        <v>0</v>
      </c>
    </row>
    <row r="40" spans="1:11" x14ac:dyDescent="0.25">
      <c r="A40" s="124" t="s">
        <v>1237</v>
      </c>
      <c r="B40" s="6" t="s">
        <v>2014</v>
      </c>
      <c r="C40" s="143"/>
      <c r="D40" s="143"/>
      <c r="E40" s="143"/>
      <c r="F40" s="143"/>
      <c r="G40" s="143">
        <v>1</v>
      </c>
      <c r="H40" s="140" t="s">
        <v>1124</v>
      </c>
      <c r="I40" s="150">
        <v>1</v>
      </c>
      <c r="J40" s="167">
        <f>Insumos!D55</f>
        <v>0</v>
      </c>
      <c r="K40" s="151">
        <f t="shared" ref="K40" si="33">TRUNC(G40*I40*J40,2)</f>
        <v>0</v>
      </c>
    </row>
    <row r="41" spans="1:11" x14ac:dyDescent="0.25">
      <c r="A41" s="152"/>
      <c r="B41" s="159"/>
      <c r="C41" s="154"/>
      <c r="D41" s="154"/>
      <c r="E41" s="154"/>
      <c r="F41" s="154"/>
      <c r="G41" s="154"/>
      <c r="H41" s="157"/>
      <c r="I41" s="157"/>
      <c r="J41" s="158" t="s">
        <v>1064</v>
      </c>
      <c r="K41" s="180">
        <f>SUM(K34:K40)</f>
        <v>0</v>
      </c>
    </row>
    <row r="42" spans="1:11" x14ac:dyDescent="0.25">
      <c r="A42" s="146" t="s">
        <v>1835</v>
      </c>
      <c r="B42" s="179" t="s">
        <v>1155</v>
      </c>
      <c r="C42" s="148"/>
      <c r="D42" s="148"/>
      <c r="E42" s="148"/>
      <c r="F42" s="148"/>
      <c r="G42" s="148"/>
      <c r="H42" s="148"/>
      <c r="I42" s="148"/>
      <c r="J42" s="156"/>
      <c r="K42" s="187"/>
    </row>
    <row r="43" spans="1:11" x14ac:dyDescent="0.25">
      <c r="A43" s="611" t="s">
        <v>1196</v>
      </c>
      <c r="B43" s="612" t="s">
        <v>1067</v>
      </c>
      <c r="C43" s="613" t="s">
        <v>1197</v>
      </c>
      <c r="D43" s="614"/>
      <c r="E43" s="614"/>
      <c r="F43" s="615"/>
      <c r="G43" s="619" t="s">
        <v>14</v>
      </c>
      <c r="H43" s="610" t="s">
        <v>1068</v>
      </c>
      <c r="I43" s="608" t="s">
        <v>35</v>
      </c>
      <c r="J43" s="634" t="s">
        <v>1256</v>
      </c>
      <c r="K43" s="630" t="s">
        <v>16</v>
      </c>
    </row>
    <row r="44" spans="1:11" x14ac:dyDescent="0.25">
      <c r="A44" s="611"/>
      <c r="B44" s="612"/>
      <c r="C44" s="616"/>
      <c r="D44" s="617"/>
      <c r="E44" s="617"/>
      <c r="F44" s="618"/>
      <c r="G44" s="620"/>
      <c r="H44" s="610"/>
      <c r="I44" s="609"/>
      <c r="J44" s="635"/>
      <c r="K44" s="630"/>
    </row>
    <row r="45" spans="1:11" x14ac:dyDescent="0.25">
      <c r="A45" s="124" t="s">
        <v>1238</v>
      </c>
      <c r="B45" s="104" t="s">
        <v>1156</v>
      </c>
      <c r="C45" s="143"/>
      <c r="D45" s="143"/>
      <c r="E45" s="143"/>
      <c r="F45" s="143"/>
      <c r="G45" s="143">
        <f>G29/60</f>
        <v>15.166666666666666</v>
      </c>
      <c r="H45" s="140" t="s">
        <v>1228</v>
      </c>
      <c r="I45" s="150">
        <f>G45/SUM($G$45:$G$56)</f>
        <v>5.5123278669617229E-3</v>
      </c>
      <c r="J45" s="167">
        <f>Insumos!D58</f>
        <v>0</v>
      </c>
      <c r="K45" s="151">
        <f t="shared" ref="K45:K56" si="34">TRUNC(G45*I45*J45,2)</f>
        <v>0</v>
      </c>
    </row>
    <row r="46" spans="1:11" x14ac:dyDescent="0.25">
      <c r="A46" s="124" t="s">
        <v>1239</v>
      </c>
      <c r="B46" s="104" t="s">
        <v>1171</v>
      </c>
      <c r="C46" s="143"/>
      <c r="D46" s="143"/>
      <c r="E46" s="143"/>
      <c r="F46" s="143"/>
      <c r="G46" s="143">
        <f>G10+G11+G12+G13+G14+G15</f>
        <v>1302</v>
      </c>
      <c r="H46" s="140" t="s">
        <v>1089</v>
      </c>
      <c r="I46" s="150">
        <f t="shared" ref="I46:I56" si="35">G46/SUM($G$45:$G$56)</f>
        <v>0.47321214611763718</v>
      </c>
      <c r="J46" s="167">
        <f>Insumos!D69</f>
        <v>0</v>
      </c>
      <c r="K46" s="151">
        <f t="shared" si="34"/>
        <v>0</v>
      </c>
    </row>
    <row r="47" spans="1:11" x14ac:dyDescent="0.25">
      <c r="A47" s="124" t="s">
        <v>1241</v>
      </c>
      <c r="B47" s="104" t="s">
        <v>1230</v>
      </c>
      <c r="C47" s="143"/>
      <c r="D47" s="143"/>
      <c r="E47" s="143"/>
      <c r="F47" s="143"/>
      <c r="G47" s="143">
        <f>G10+G11+G12</f>
        <v>1100</v>
      </c>
      <c r="H47" s="140" t="s">
        <v>1089</v>
      </c>
      <c r="I47" s="150">
        <f t="shared" si="35"/>
        <v>0.39979520793348766</v>
      </c>
      <c r="J47" s="167">
        <f>Insumos!D59</f>
        <v>0</v>
      </c>
      <c r="K47" s="151">
        <f t="shared" si="34"/>
        <v>0</v>
      </c>
    </row>
    <row r="48" spans="1:11" x14ac:dyDescent="0.25">
      <c r="A48" s="124" t="s">
        <v>1243</v>
      </c>
      <c r="B48" s="104" t="s">
        <v>1158</v>
      </c>
      <c r="C48" s="143"/>
      <c r="D48" s="143"/>
      <c r="E48" s="143"/>
      <c r="F48" s="143"/>
      <c r="G48" s="143">
        <f>G46*0.21/3.6</f>
        <v>75.95</v>
      </c>
      <c r="H48" s="140" t="s">
        <v>1159</v>
      </c>
      <c r="I48" s="150">
        <f t="shared" si="35"/>
        <v>2.7604041856862171E-2</v>
      </c>
      <c r="J48" s="167">
        <f>Insumos!D60</f>
        <v>0</v>
      </c>
      <c r="K48" s="151">
        <f t="shared" si="34"/>
        <v>0</v>
      </c>
    </row>
    <row r="49" spans="1:11" x14ac:dyDescent="0.25">
      <c r="A49" s="124" t="s">
        <v>1245</v>
      </c>
      <c r="B49" s="104" t="s">
        <v>1160</v>
      </c>
      <c r="C49" s="143"/>
      <c r="D49" s="143"/>
      <c r="E49" s="143"/>
      <c r="F49" s="143"/>
      <c r="G49" s="143">
        <f>G48</f>
        <v>75.95</v>
      </c>
      <c r="H49" s="140" t="s">
        <v>1159</v>
      </c>
      <c r="I49" s="150">
        <f t="shared" si="35"/>
        <v>2.7604041856862171E-2</v>
      </c>
      <c r="J49" s="167">
        <f>Insumos!D61</f>
        <v>0</v>
      </c>
      <c r="K49" s="151">
        <f t="shared" si="34"/>
        <v>0</v>
      </c>
    </row>
    <row r="50" spans="1:11" x14ac:dyDescent="0.25">
      <c r="A50" s="124" t="s">
        <v>1246</v>
      </c>
      <c r="B50" s="104" t="s">
        <v>1161</v>
      </c>
      <c r="C50" s="143"/>
      <c r="D50" s="143"/>
      <c r="E50" s="143"/>
      <c r="F50" s="143"/>
      <c r="G50" s="143">
        <f>G46*0.021</f>
        <v>27.342000000000002</v>
      </c>
      <c r="H50" s="140" t="s">
        <v>1162</v>
      </c>
      <c r="I50" s="150">
        <f t="shared" si="35"/>
        <v>9.9374550684703817E-3</v>
      </c>
      <c r="J50" s="167">
        <f>Insumos!D62</f>
        <v>0</v>
      </c>
      <c r="K50" s="151">
        <f t="shared" si="34"/>
        <v>0</v>
      </c>
    </row>
    <row r="51" spans="1:11" x14ac:dyDescent="0.25">
      <c r="A51" s="124" t="s">
        <v>1247</v>
      </c>
      <c r="B51" s="104" t="s">
        <v>1163</v>
      </c>
      <c r="C51" s="143"/>
      <c r="D51" s="143"/>
      <c r="E51" s="143"/>
      <c r="F51" s="143"/>
      <c r="G51" s="143">
        <v>10</v>
      </c>
      <c r="H51" s="140" t="s">
        <v>1068</v>
      </c>
      <c r="I51" s="150">
        <f t="shared" si="35"/>
        <v>3.6345018903044331E-3</v>
      </c>
      <c r="J51" s="167">
        <f>Insumos!D63</f>
        <v>0</v>
      </c>
      <c r="K51" s="151">
        <f t="shared" si="34"/>
        <v>0</v>
      </c>
    </row>
    <row r="52" spans="1:11" x14ac:dyDescent="0.25">
      <c r="A52" s="124" t="s">
        <v>1462</v>
      </c>
      <c r="B52" s="104" t="s">
        <v>1164</v>
      </c>
      <c r="C52" s="143"/>
      <c r="D52" s="143"/>
      <c r="E52" s="143"/>
      <c r="F52" s="143"/>
      <c r="G52" s="143">
        <v>10</v>
      </c>
      <c r="H52" s="140" t="s">
        <v>1068</v>
      </c>
      <c r="I52" s="150">
        <f t="shared" si="35"/>
        <v>3.6345018903044331E-3</v>
      </c>
      <c r="J52" s="167">
        <f>Insumos!D64</f>
        <v>0</v>
      </c>
      <c r="K52" s="151">
        <f t="shared" si="34"/>
        <v>0</v>
      </c>
    </row>
    <row r="53" spans="1:11" x14ac:dyDescent="0.25">
      <c r="A53" s="124" t="s">
        <v>1463</v>
      </c>
      <c r="B53" s="104" t="s">
        <v>1165</v>
      </c>
      <c r="C53" s="143"/>
      <c r="D53" s="143"/>
      <c r="E53" s="143"/>
      <c r="F53" s="143"/>
      <c r="G53" s="143">
        <v>10</v>
      </c>
      <c r="H53" s="140" t="s">
        <v>1068</v>
      </c>
      <c r="I53" s="150">
        <f t="shared" si="35"/>
        <v>3.6345018903044331E-3</v>
      </c>
      <c r="J53" s="167">
        <f>Insumos!D65</f>
        <v>0</v>
      </c>
      <c r="K53" s="151">
        <f t="shared" si="34"/>
        <v>0</v>
      </c>
    </row>
    <row r="54" spans="1:11" x14ac:dyDescent="0.25">
      <c r="A54" s="124" t="s">
        <v>1928</v>
      </c>
      <c r="B54" s="104" t="s">
        <v>1166</v>
      </c>
      <c r="C54" s="143"/>
      <c r="D54" s="143"/>
      <c r="E54" s="143"/>
      <c r="F54" s="143"/>
      <c r="G54" s="143">
        <v>20</v>
      </c>
      <c r="H54" s="140" t="s">
        <v>1096</v>
      </c>
      <c r="I54" s="150">
        <f t="shared" si="35"/>
        <v>7.2690037806088662E-3</v>
      </c>
      <c r="J54" s="167">
        <f>Insumos!D66</f>
        <v>0</v>
      </c>
      <c r="K54" s="151">
        <f t="shared" si="34"/>
        <v>0</v>
      </c>
    </row>
    <row r="55" spans="1:11" x14ac:dyDescent="0.25">
      <c r="A55" s="124" t="s">
        <v>1932</v>
      </c>
      <c r="B55" s="104" t="s">
        <v>1167</v>
      </c>
      <c r="C55" s="143"/>
      <c r="D55" s="143"/>
      <c r="E55" s="143"/>
      <c r="F55" s="143"/>
      <c r="G55" s="143">
        <v>5</v>
      </c>
      <c r="H55" s="140" t="s">
        <v>1168</v>
      </c>
      <c r="I55" s="150">
        <f t="shared" si="35"/>
        <v>1.8172509451522165E-3</v>
      </c>
      <c r="J55" s="167">
        <f>Insumos!D67</f>
        <v>0</v>
      </c>
      <c r="K55" s="151">
        <f t="shared" si="34"/>
        <v>0</v>
      </c>
    </row>
    <row r="56" spans="1:11" x14ac:dyDescent="0.25">
      <c r="A56" s="124" t="s">
        <v>1933</v>
      </c>
      <c r="B56" s="104" t="s">
        <v>1240</v>
      </c>
      <c r="C56" s="143"/>
      <c r="D56" s="143"/>
      <c r="E56" s="143"/>
      <c r="F56" s="143"/>
      <c r="G56" s="143">
        <v>100</v>
      </c>
      <c r="H56" s="140" t="s">
        <v>1170</v>
      </c>
      <c r="I56" s="150">
        <f t="shared" si="35"/>
        <v>3.6345018903044334E-2</v>
      </c>
      <c r="J56" s="167">
        <f>Insumos!D68</f>
        <v>0</v>
      </c>
      <c r="K56" s="151">
        <f t="shared" si="34"/>
        <v>0</v>
      </c>
    </row>
    <row r="57" spans="1:11" x14ac:dyDescent="0.25">
      <c r="A57" s="152"/>
      <c r="B57" s="159"/>
      <c r="C57" s="159"/>
      <c r="D57" s="159"/>
      <c r="E57" s="159"/>
      <c r="F57" s="159"/>
      <c r="G57" s="159"/>
      <c r="H57" s="159"/>
      <c r="I57" s="159"/>
      <c r="J57" s="160" t="s">
        <v>1064</v>
      </c>
      <c r="K57" s="189">
        <f>SUM(K45:K56)</f>
        <v>0</v>
      </c>
    </row>
    <row r="58" spans="1:11" x14ac:dyDescent="0.25">
      <c r="A58" s="146" t="s">
        <v>52</v>
      </c>
      <c r="B58" s="179" t="s">
        <v>1176</v>
      </c>
      <c r="C58" s="148"/>
      <c r="D58" s="148"/>
      <c r="E58" s="148"/>
      <c r="F58" s="148"/>
      <c r="G58" s="148"/>
      <c r="H58" s="148"/>
      <c r="I58" s="148"/>
      <c r="J58" s="156"/>
      <c r="K58" s="187"/>
    </row>
    <row r="59" spans="1:11" x14ac:dyDescent="0.25">
      <c r="A59" s="611" t="s">
        <v>1196</v>
      </c>
      <c r="B59" s="612" t="s">
        <v>1067</v>
      </c>
      <c r="C59" s="613" t="s">
        <v>1197</v>
      </c>
      <c r="D59" s="614"/>
      <c r="E59" s="614"/>
      <c r="F59" s="615"/>
      <c r="G59" s="619" t="s">
        <v>14</v>
      </c>
      <c r="H59" s="610" t="s">
        <v>1068</v>
      </c>
      <c r="I59" s="608" t="s">
        <v>35</v>
      </c>
      <c r="J59" s="630" t="s">
        <v>1257</v>
      </c>
      <c r="K59" s="630" t="s">
        <v>16</v>
      </c>
    </row>
    <row r="60" spans="1:11" x14ac:dyDescent="0.25">
      <c r="A60" s="611"/>
      <c r="B60" s="612"/>
      <c r="C60" s="616"/>
      <c r="D60" s="617"/>
      <c r="E60" s="617"/>
      <c r="F60" s="618"/>
      <c r="G60" s="620"/>
      <c r="H60" s="610"/>
      <c r="I60" s="609"/>
      <c r="J60" s="630"/>
      <c r="K60" s="630"/>
    </row>
    <row r="61" spans="1:11" x14ac:dyDescent="0.25">
      <c r="A61" s="124" t="s">
        <v>1934</v>
      </c>
      <c r="B61" s="6" t="s">
        <v>1242</v>
      </c>
      <c r="C61" s="605"/>
      <c r="D61" s="606"/>
      <c r="E61" s="606"/>
      <c r="F61" s="607"/>
      <c r="G61" s="143">
        <v>20</v>
      </c>
      <c r="H61" s="140" t="s">
        <v>1140</v>
      </c>
      <c r="I61" s="140">
        <v>5</v>
      </c>
      <c r="J61" s="167">
        <f>Insumos!D75</f>
        <v>0</v>
      </c>
      <c r="K61" s="151">
        <f>TRUNC(G61*I61*J61,2)</f>
        <v>0</v>
      </c>
    </row>
    <row r="62" spans="1:11" x14ac:dyDescent="0.25">
      <c r="A62" s="152"/>
      <c r="B62" s="159"/>
      <c r="C62" s="159"/>
      <c r="D62" s="159"/>
      <c r="E62" s="159"/>
      <c r="F62" s="159"/>
      <c r="G62" s="159"/>
      <c r="H62" s="159"/>
      <c r="I62" s="159"/>
      <c r="J62" s="160" t="s">
        <v>1064</v>
      </c>
      <c r="K62" s="182">
        <f>SUM(K61)</f>
        <v>0</v>
      </c>
    </row>
    <row r="63" spans="1:11" x14ac:dyDescent="0.25">
      <c r="A63" s="146" t="s">
        <v>53</v>
      </c>
      <c r="B63" s="179" t="s">
        <v>1178</v>
      </c>
      <c r="C63" s="148"/>
      <c r="D63" s="148"/>
      <c r="E63" s="148"/>
      <c r="F63" s="148"/>
      <c r="G63" s="148"/>
      <c r="H63" s="148"/>
      <c r="I63" s="148"/>
      <c r="J63" s="156"/>
      <c r="K63" s="187"/>
    </row>
    <row r="64" spans="1:11" x14ac:dyDescent="0.25">
      <c r="A64" s="611" t="s">
        <v>1196</v>
      </c>
      <c r="B64" s="612" t="s">
        <v>1067</v>
      </c>
      <c r="C64" s="613" t="s">
        <v>1197</v>
      </c>
      <c r="D64" s="614"/>
      <c r="E64" s="614"/>
      <c r="F64" s="615"/>
      <c r="G64" s="619" t="s">
        <v>14</v>
      </c>
      <c r="H64" s="610" t="s">
        <v>1068</v>
      </c>
      <c r="I64" s="608" t="s">
        <v>35</v>
      </c>
      <c r="J64" s="630" t="s">
        <v>1249</v>
      </c>
      <c r="K64" s="630" t="s">
        <v>16</v>
      </c>
    </row>
    <row r="65" spans="1:11" x14ac:dyDescent="0.25">
      <c r="A65" s="611"/>
      <c r="B65" s="612"/>
      <c r="C65" s="616"/>
      <c r="D65" s="617"/>
      <c r="E65" s="617"/>
      <c r="F65" s="618"/>
      <c r="G65" s="620"/>
      <c r="H65" s="610"/>
      <c r="I65" s="609"/>
      <c r="J65" s="630"/>
      <c r="K65" s="630"/>
    </row>
    <row r="66" spans="1:11" x14ac:dyDescent="0.25">
      <c r="A66" s="124" t="s">
        <v>1935</v>
      </c>
      <c r="B66" s="104" t="s">
        <v>1244</v>
      </c>
      <c r="C66" s="605"/>
      <c r="D66" s="606"/>
      <c r="E66" s="606"/>
      <c r="F66" s="607"/>
      <c r="G66" s="143">
        <v>20</v>
      </c>
      <c r="H66" s="140" t="s">
        <v>1140</v>
      </c>
      <c r="I66" s="140">
        <v>5</v>
      </c>
      <c r="J66" s="167">
        <f>Insumos!D78</f>
        <v>0</v>
      </c>
      <c r="K66" s="151">
        <f>TRUNC(G66*I66*J66,2)</f>
        <v>0</v>
      </c>
    </row>
    <row r="67" spans="1:11" x14ac:dyDescent="0.25">
      <c r="A67" s="152"/>
      <c r="B67" s="159"/>
      <c r="C67" s="159"/>
      <c r="D67" s="159"/>
      <c r="E67" s="159"/>
      <c r="F67" s="159"/>
      <c r="G67" s="159"/>
      <c r="H67" s="159"/>
      <c r="I67" s="159"/>
      <c r="J67" s="160" t="s">
        <v>1064</v>
      </c>
      <c r="K67" s="182">
        <f>SUM(K66)</f>
        <v>0</v>
      </c>
    </row>
    <row r="68" spans="1:11" x14ac:dyDescent="0.25">
      <c r="A68" s="146" t="s">
        <v>54</v>
      </c>
      <c r="B68" s="179" t="s">
        <v>1180</v>
      </c>
      <c r="C68" s="148"/>
      <c r="D68" s="148"/>
      <c r="E68" s="148"/>
      <c r="F68" s="148"/>
      <c r="G68" s="148"/>
      <c r="H68" s="148"/>
      <c r="I68" s="148"/>
      <c r="J68" s="156"/>
      <c r="K68" s="187"/>
    </row>
    <row r="69" spans="1:11" x14ac:dyDescent="0.25">
      <c r="A69" s="611" t="s">
        <v>1196</v>
      </c>
      <c r="B69" s="612" t="s">
        <v>1067</v>
      </c>
      <c r="C69" s="613" t="s">
        <v>1197</v>
      </c>
      <c r="D69" s="614"/>
      <c r="E69" s="614"/>
      <c r="F69" s="615"/>
      <c r="G69" s="619" t="s">
        <v>14</v>
      </c>
      <c r="H69" s="610" t="s">
        <v>1068</v>
      </c>
      <c r="I69" s="608" t="s">
        <v>35</v>
      </c>
      <c r="J69" s="630" t="s">
        <v>1249</v>
      </c>
      <c r="K69" s="630" t="s">
        <v>16</v>
      </c>
    </row>
    <row r="70" spans="1:11" x14ac:dyDescent="0.25">
      <c r="A70" s="611"/>
      <c r="B70" s="612"/>
      <c r="C70" s="616"/>
      <c r="D70" s="617"/>
      <c r="E70" s="617"/>
      <c r="F70" s="618"/>
      <c r="G70" s="620"/>
      <c r="H70" s="610"/>
      <c r="I70" s="609"/>
      <c r="J70" s="630"/>
      <c r="K70" s="630"/>
    </row>
    <row r="71" spans="1:11" x14ac:dyDescent="0.25">
      <c r="A71" s="124" t="s">
        <v>1936</v>
      </c>
      <c r="B71" s="6" t="s">
        <v>1181</v>
      </c>
      <c r="C71" s="605"/>
      <c r="D71" s="606"/>
      <c r="E71" s="606"/>
      <c r="F71" s="607"/>
      <c r="G71" s="143">
        <v>5</v>
      </c>
      <c r="H71" s="140" t="s">
        <v>1140</v>
      </c>
      <c r="I71" s="150">
        <f>G71/SUM($G$71:$G$73)</f>
        <v>0.33333333333333331</v>
      </c>
      <c r="J71" s="167">
        <f>Insumos!D81</f>
        <v>0</v>
      </c>
      <c r="K71" s="151">
        <f>TRUNC(G71*I71*J71,2)</f>
        <v>0</v>
      </c>
    </row>
    <row r="72" spans="1:11" x14ac:dyDescent="0.25">
      <c r="A72" s="124" t="s">
        <v>1937</v>
      </c>
      <c r="B72" s="6" t="s">
        <v>1182</v>
      </c>
      <c r="C72" s="605"/>
      <c r="D72" s="606"/>
      <c r="E72" s="606"/>
      <c r="F72" s="607"/>
      <c r="G72" s="143">
        <v>5</v>
      </c>
      <c r="H72" s="140" t="s">
        <v>1140</v>
      </c>
      <c r="I72" s="150">
        <f t="shared" ref="I72:I73" si="36">G72/SUM($G$71:$G$73)</f>
        <v>0.33333333333333331</v>
      </c>
      <c r="J72" s="167">
        <f>Insumos!D82</f>
        <v>0</v>
      </c>
      <c r="K72" s="151">
        <f>TRUNC(G72*I72*J72,2)</f>
        <v>0</v>
      </c>
    </row>
    <row r="73" spans="1:11" x14ac:dyDescent="0.25">
      <c r="A73" s="124" t="s">
        <v>1981</v>
      </c>
      <c r="B73" s="6" t="s">
        <v>1183</v>
      </c>
      <c r="C73" s="605"/>
      <c r="D73" s="606"/>
      <c r="E73" s="606"/>
      <c r="F73" s="607"/>
      <c r="G73" s="143">
        <v>5</v>
      </c>
      <c r="H73" s="140" t="s">
        <v>1140</v>
      </c>
      <c r="I73" s="150">
        <f t="shared" si="36"/>
        <v>0.33333333333333331</v>
      </c>
      <c r="J73" s="167">
        <f>Insumos!D83</f>
        <v>0</v>
      </c>
      <c r="K73" s="151">
        <f>TRUNC(G73*I73*J73,2)</f>
        <v>0</v>
      </c>
    </row>
    <row r="74" spans="1:11" x14ac:dyDescent="0.25">
      <c r="A74" s="152"/>
      <c r="B74" s="159"/>
      <c r="C74" s="159"/>
      <c r="D74" s="159"/>
      <c r="E74" s="159"/>
      <c r="F74" s="159"/>
      <c r="G74" s="159"/>
      <c r="H74" s="159"/>
      <c r="I74" s="159"/>
      <c r="J74" s="160" t="s">
        <v>1064</v>
      </c>
      <c r="K74" s="182">
        <f>SUM(K71:K73)</f>
        <v>0</v>
      </c>
    </row>
  </sheetData>
  <mergeCells count="56">
    <mergeCell ref="G4:G5"/>
    <mergeCell ref="H4:H5"/>
    <mergeCell ref="I4:I5"/>
    <mergeCell ref="J4:J5"/>
    <mergeCell ref="K4:K5"/>
    <mergeCell ref="K32:K33"/>
    <mergeCell ref="J43:J44"/>
    <mergeCell ref="K43:K44"/>
    <mergeCell ref="A32:A33"/>
    <mergeCell ref="B32:B33"/>
    <mergeCell ref="C32:F33"/>
    <mergeCell ref="G32:G33"/>
    <mergeCell ref="H32:H33"/>
    <mergeCell ref="K59:K60"/>
    <mergeCell ref="A43:A44"/>
    <mergeCell ref="B43:B44"/>
    <mergeCell ref="C43:F44"/>
    <mergeCell ref="G43:G44"/>
    <mergeCell ref="H43:H44"/>
    <mergeCell ref="I43:I44"/>
    <mergeCell ref="A59:A60"/>
    <mergeCell ref="B59:B60"/>
    <mergeCell ref="C59:F60"/>
    <mergeCell ref="G59:G60"/>
    <mergeCell ref="H59:H60"/>
    <mergeCell ref="K64:K65"/>
    <mergeCell ref="C66:F66"/>
    <mergeCell ref="A69:A70"/>
    <mergeCell ref="B69:B70"/>
    <mergeCell ref="C69:F70"/>
    <mergeCell ref="G69:G70"/>
    <mergeCell ref="H69:H70"/>
    <mergeCell ref="I69:I70"/>
    <mergeCell ref="H64:H65"/>
    <mergeCell ref="J69:J70"/>
    <mergeCell ref="K69:K70"/>
    <mergeCell ref="A64:A65"/>
    <mergeCell ref="B64:B65"/>
    <mergeCell ref="C64:F65"/>
    <mergeCell ref="G64:G65"/>
    <mergeCell ref="C71:F71"/>
    <mergeCell ref="C72:F72"/>
    <mergeCell ref="C73:F73"/>
    <mergeCell ref="A1:J1"/>
    <mergeCell ref="I64:I65"/>
    <mergeCell ref="J64:J65"/>
    <mergeCell ref="C61:F61"/>
    <mergeCell ref="I59:I60"/>
    <mergeCell ref="J59:J60"/>
    <mergeCell ref="I32:I33"/>
    <mergeCell ref="J32:J33"/>
    <mergeCell ref="B2:K2"/>
    <mergeCell ref="B3:H3"/>
    <mergeCell ref="A4:A5"/>
    <mergeCell ref="B4:B5"/>
    <mergeCell ref="C4:F4"/>
  </mergeCells>
  <pageMargins left="0.511811024" right="0.511811024" top="0.78740157499999996" bottom="0.78740157499999996" header="0.31496062000000002" footer="0.31496062000000002"/>
  <pageSetup paperSize="9" scale="52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workbookViewId="0">
      <selection activeCell="G14" sqref="G14"/>
    </sheetView>
  </sheetViews>
  <sheetFormatPr defaultRowHeight="15" x14ac:dyDescent="0.25"/>
  <cols>
    <col min="1" max="1" width="10.42578125" customWidth="1"/>
    <col min="2" max="2" width="65.28515625" customWidth="1"/>
    <col min="3" max="4" width="8.42578125" customWidth="1"/>
    <col min="5" max="5" width="7.7109375" customWidth="1"/>
    <col min="6" max="7" width="10.85546875" customWidth="1"/>
    <col min="8" max="8" width="9.5703125" customWidth="1"/>
    <col min="10" max="10" width="14.5703125" customWidth="1"/>
    <col min="11" max="11" width="18.42578125" bestFit="1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 t="str">
        <f>'Composição UNIT.'!B54</f>
        <v>1.3</v>
      </c>
      <c r="B2" s="631" t="s">
        <v>255</v>
      </c>
      <c r="C2" s="632"/>
      <c r="D2" s="632"/>
      <c r="E2" s="632"/>
      <c r="F2" s="632"/>
      <c r="G2" s="632"/>
      <c r="H2" s="632"/>
      <c r="I2" s="632"/>
      <c r="J2" s="632"/>
      <c r="K2" s="633"/>
    </row>
    <row r="3" spans="1:11" x14ac:dyDescent="0.25">
      <c r="A3" s="146" t="s">
        <v>63</v>
      </c>
      <c r="B3" s="621" t="s">
        <v>1252</v>
      </c>
      <c r="C3" s="621"/>
      <c r="D3" s="621"/>
      <c r="E3" s="621"/>
      <c r="F3" s="621"/>
      <c r="G3" s="621"/>
      <c r="H3" s="621"/>
      <c r="I3" s="147"/>
      <c r="J3" s="148"/>
      <c r="K3" s="148"/>
    </row>
    <row r="4" spans="1:11" x14ac:dyDescent="0.25">
      <c r="A4" s="611" t="s">
        <v>1196</v>
      </c>
      <c r="B4" s="612" t="s">
        <v>1067</v>
      </c>
      <c r="C4" s="620" t="s">
        <v>1197</v>
      </c>
      <c r="D4" s="620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x14ac:dyDescent="0.25">
      <c r="A6" s="124" t="s">
        <v>1202</v>
      </c>
      <c r="B6" s="6" t="s">
        <v>1258</v>
      </c>
      <c r="C6" s="143">
        <v>6.5</v>
      </c>
      <c r="D6" s="143">
        <v>36</v>
      </c>
      <c r="E6" s="143">
        <v>3</v>
      </c>
      <c r="F6" s="143">
        <f>C6*D6*E6</f>
        <v>702</v>
      </c>
      <c r="G6" s="143">
        <f>C6*D6*E6</f>
        <v>702</v>
      </c>
      <c r="H6" s="140" t="s">
        <v>1076</v>
      </c>
      <c r="I6" s="183">
        <v>0.53212459999999995</v>
      </c>
      <c r="J6" s="167">
        <f>Insumos!D4</f>
        <v>0</v>
      </c>
      <c r="K6" s="167">
        <f>TRUNC(G6*I6*J6,2)</f>
        <v>0</v>
      </c>
    </row>
    <row r="7" spans="1:11" x14ac:dyDescent="0.25">
      <c r="A7" s="124" t="s">
        <v>1203</v>
      </c>
      <c r="B7" s="6" t="s">
        <v>1082</v>
      </c>
      <c r="C7" s="143">
        <v>20</v>
      </c>
      <c r="D7" s="143">
        <v>40</v>
      </c>
      <c r="E7" s="143"/>
      <c r="F7" s="143">
        <f>C7*D7</f>
        <v>800</v>
      </c>
      <c r="G7" s="143">
        <f>C7*D7</f>
        <v>800</v>
      </c>
      <c r="H7" s="140" t="s">
        <v>1076</v>
      </c>
      <c r="I7" s="183">
        <v>0.53212409999999999</v>
      </c>
      <c r="J7" s="167">
        <f>Insumos!D6</f>
        <v>0</v>
      </c>
      <c r="K7" s="167">
        <f t="shared" ref="K7:K12" si="0">TRUNC(G7*I7*J7,2)</f>
        <v>0</v>
      </c>
    </row>
    <row r="8" spans="1:11" x14ac:dyDescent="0.25">
      <c r="A8" s="124" t="s">
        <v>1204</v>
      </c>
      <c r="B8" s="6" t="s">
        <v>1085</v>
      </c>
      <c r="C8" s="143">
        <v>6.5</v>
      </c>
      <c r="D8" s="143">
        <v>36</v>
      </c>
      <c r="E8" s="143">
        <v>3</v>
      </c>
      <c r="F8" s="143">
        <f>C8*D8*E8</f>
        <v>702</v>
      </c>
      <c r="G8" s="143">
        <f>C8*D8*E8</f>
        <v>702</v>
      </c>
      <c r="H8" s="140" t="s">
        <v>1076</v>
      </c>
      <c r="I8" s="183">
        <v>0.53212409999999999</v>
      </c>
      <c r="J8" s="167">
        <f>Insumos!D7</f>
        <v>0</v>
      </c>
      <c r="K8" s="167">
        <f t="shared" si="0"/>
        <v>0</v>
      </c>
    </row>
    <row r="9" spans="1:11" x14ac:dyDescent="0.25">
      <c r="A9" s="124" t="s">
        <v>1206</v>
      </c>
      <c r="B9" s="6" t="s">
        <v>1090</v>
      </c>
      <c r="C9" s="141">
        <v>1.5</v>
      </c>
      <c r="D9" s="141">
        <v>16</v>
      </c>
      <c r="E9" s="141"/>
      <c r="F9" s="143">
        <f>C9*D9</f>
        <v>24</v>
      </c>
      <c r="G9" s="143">
        <f>C9*D9</f>
        <v>24</v>
      </c>
      <c r="H9" s="140" t="s">
        <v>1076</v>
      </c>
      <c r="I9" s="183">
        <v>0.53212409999999999</v>
      </c>
      <c r="J9" s="167">
        <f>Insumos!D9</f>
        <v>0</v>
      </c>
      <c r="K9" s="167">
        <f t="shared" si="0"/>
        <v>0</v>
      </c>
    </row>
    <row r="10" spans="1:11" x14ac:dyDescent="0.25">
      <c r="A10" s="124" t="s">
        <v>1207</v>
      </c>
      <c r="B10" s="6" t="s">
        <v>1253</v>
      </c>
      <c r="C10" s="141"/>
      <c r="D10" s="141">
        <v>336.8</v>
      </c>
      <c r="E10" s="141">
        <v>3</v>
      </c>
      <c r="F10" s="143">
        <f>D10*E10</f>
        <v>1010.4000000000001</v>
      </c>
      <c r="G10" s="143">
        <f>F10</f>
        <v>1010.4000000000001</v>
      </c>
      <c r="H10" s="140" t="s">
        <v>1076</v>
      </c>
      <c r="I10" s="183">
        <v>0.53212409999999999</v>
      </c>
      <c r="J10" s="167">
        <f>Insumos!D30</f>
        <v>0</v>
      </c>
      <c r="K10" s="167">
        <f t="shared" si="0"/>
        <v>0</v>
      </c>
    </row>
    <row r="11" spans="1:11" x14ac:dyDescent="0.25">
      <c r="A11" s="124" t="s">
        <v>1208</v>
      </c>
      <c r="B11" s="6" t="s">
        <v>1254</v>
      </c>
      <c r="C11" s="141">
        <v>1.2</v>
      </c>
      <c r="D11" s="141">
        <v>56.1</v>
      </c>
      <c r="E11" s="141">
        <v>3</v>
      </c>
      <c r="F11" s="143">
        <f>C11*D11*E11</f>
        <v>201.95999999999998</v>
      </c>
      <c r="G11" s="143">
        <f>C11*D11*E11</f>
        <v>201.95999999999998</v>
      </c>
      <c r="H11" s="140" t="s">
        <v>1076</v>
      </c>
      <c r="I11" s="183">
        <v>0.53212409999999999</v>
      </c>
      <c r="J11" s="167">
        <f>Insumos!D31</f>
        <v>0</v>
      </c>
      <c r="K11" s="167">
        <f t="shared" si="0"/>
        <v>0</v>
      </c>
    </row>
    <row r="12" spans="1:11" x14ac:dyDescent="0.25">
      <c r="A12" s="124" t="s">
        <v>1209</v>
      </c>
      <c r="B12" s="6" t="s">
        <v>1092</v>
      </c>
      <c r="C12" s="141">
        <v>14.3</v>
      </c>
      <c r="D12" s="141">
        <v>56.1</v>
      </c>
      <c r="E12" s="141"/>
      <c r="F12" s="143">
        <f>C12*D12</f>
        <v>802.23</v>
      </c>
      <c r="G12" s="143">
        <f>C12*D12</f>
        <v>802.23</v>
      </c>
      <c r="H12" s="140" t="s">
        <v>1076</v>
      </c>
      <c r="I12" s="183">
        <v>0.53212409999999999</v>
      </c>
      <c r="J12" s="167">
        <f>Insumos!D10</f>
        <v>0</v>
      </c>
      <c r="K12" s="167">
        <f t="shared" si="0"/>
        <v>0</v>
      </c>
    </row>
    <row r="13" spans="1:11" x14ac:dyDescent="0.25">
      <c r="A13" s="124" t="s">
        <v>1210</v>
      </c>
      <c r="B13" s="6" t="s">
        <v>1132</v>
      </c>
      <c r="C13" s="141"/>
      <c r="D13" s="141"/>
      <c r="E13" s="141"/>
      <c r="F13" s="143">
        <f>F10+F11</f>
        <v>1212.3600000000001</v>
      </c>
      <c r="G13" s="143">
        <f>F13</f>
        <v>1212.3600000000001</v>
      </c>
      <c r="H13" s="140" t="s">
        <v>1076</v>
      </c>
      <c r="I13" s="183">
        <v>0.53212409999999999</v>
      </c>
      <c r="J13" s="167">
        <f>Insumos!D33</f>
        <v>0</v>
      </c>
      <c r="K13" s="167">
        <f>TRUNC(F13*I13*J13,2)</f>
        <v>0</v>
      </c>
    </row>
    <row r="14" spans="1:11" ht="30" x14ac:dyDescent="0.25">
      <c r="A14" s="124" t="s">
        <v>1211</v>
      </c>
      <c r="B14" s="104" t="s">
        <v>1127</v>
      </c>
      <c r="C14" s="6"/>
      <c r="D14" s="6"/>
      <c r="E14" s="6"/>
      <c r="F14" s="143"/>
      <c r="G14" s="143">
        <f>C6*D6</f>
        <v>234</v>
      </c>
      <c r="H14" s="140" t="s">
        <v>1076</v>
      </c>
      <c r="I14" s="183">
        <v>0.53212409999999999</v>
      </c>
      <c r="J14" s="167">
        <f>Insumos!D27</f>
        <v>0</v>
      </c>
      <c r="K14" s="167">
        <f>TRUNC(G14*I14*J14,2)</f>
        <v>0</v>
      </c>
    </row>
    <row r="15" spans="1:11" x14ac:dyDescent="0.25">
      <c r="A15" s="152"/>
      <c r="B15" s="159"/>
      <c r="C15" s="154"/>
      <c r="D15" s="154"/>
      <c r="E15" s="154"/>
      <c r="F15" s="154"/>
      <c r="G15" s="154"/>
      <c r="H15" s="154"/>
      <c r="I15" s="154"/>
      <c r="J15" s="191" t="s">
        <v>1064</v>
      </c>
      <c r="K15" s="190">
        <f>SUM(K6:K14)</f>
        <v>0</v>
      </c>
    </row>
    <row r="16" spans="1:11" x14ac:dyDescent="0.25">
      <c r="A16" s="146" t="s">
        <v>64</v>
      </c>
      <c r="B16" s="179" t="s">
        <v>1219</v>
      </c>
      <c r="C16" s="148"/>
      <c r="D16" s="148"/>
      <c r="E16" s="148"/>
      <c r="F16" s="148"/>
      <c r="G16" s="148"/>
      <c r="H16" s="148"/>
      <c r="I16" s="148"/>
      <c r="J16" s="148"/>
      <c r="K16" s="188"/>
    </row>
    <row r="17" spans="1:11" x14ac:dyDescent="0.25">
      <c r="A17" s="611" t="s">
        <v>1196</v>
      </c>
      <c r="B17" s="612" t="s">
        <v>1067</v>
      </c>
      <c r="C17" s="613" t="s">
        <v>1197</v>
      </c>
      <c r="D17" s="614"/>
      <c r="E17" s="614"/>
      <c r="F17" s="615"/>
      <c r="G17" s="626" t="s">
        <v>14</v>
      </c>
      <c r="H17" s="610" t="s">
        <v>1068</v>
      </c>
      <c r="I17" s="608" t="s">
        <v>35</v>
      </c>
      <c r="J17" s="610" t="s">
        <v>1255</v>
      </c>
      <c r="K17" s="610" t="s">
        <v>16</v>
      </c>
    </row>
    <row r="18" spans="1:11" x14ac:dyDescent="0.25">
      <c r="A18" s="611"/>
      <c r="B18" s="612"/>
      <c r="C18" s="616"/>
      <c r="D18" s="617"/>
      <c r="E18" s="617"/>
      <c r="F18" s="618"/>
      <c r="G18" s="627"/>
      <c r="H18" s="610"/>
      <c r="I18" s="609"/>
      <c r="J18" s="610"/>
      <c r="K18" s="610"/>
    </row>
    <row r="19" spans="1:11" x14ac:dyDescent="0.25">
      <c r="A19" s="124" t="s">
        <v>1212</v>
      </c>
      <c r="B19" s="6" t="s">
        <v>1147</v>
      </c>
      <c r="C19" s="143"/>
      <c r="D19" s="143"/>
      <c r="E19" s="143"/>
      <c r="F19" s="143"/>
      <c r="G19" s="143">
        <v>4</v>
      </c>
      <c r="H19" s="140" t="s">
        <v>1221</v>
      </c>
      <c r="I19" s="150">
        <v>1</v>
      </c>
      <c r="J19" s="167">
        <f>Insumos!D49</f>
        <v>0</v>
      </c>
      <c r="K19" s="167">
        <f t="shared" ref="K19:K24" si="1">TRUNC(G19*I19*J19,2)</f>
        <v>0</v>
      </c>
    </row>
    <row r="20" spans="1:11" x14ac:dyDescent="0.25">
      <c r="A20" s="124" t="s">
        <v>1213</v>
      </c>
      <c r="B20" s="6" t="s">
        <v>1148</v>
      </c>
      <c r="C20" s="143"/>
      <c r="D20" s="143"/>
      <c r="E20" s="143"/>
      <c r="F20" s="143"/>
      <c r="G20" s="143">
        <v>4</v>
      </c>
      <c r="H20" s="140" t="s">
        <v>1221</v>
      </c>
      <c r="I20" s="150">
        <v>1</v>
      </c>
      <c r="J20" s="167">
        <f>Insumos!D50</f>
        <v>0</v>
      </c>
      <c r="K20" s="167">
        <f t="shared" si="1"/>
        <v>0</v>
      </c>
    </row>
    <row r="21" spans="1:11" x14ac:dyDescent="0.25">
      <c r="A21" s="124" t="s">
        <v>1214</v>
      </c>
      <c r="B21" s="6" t="s">
        <v>1149</v>
      </c>
      <c r="C21" s="143"/>
      <c r="D21" s="143"/>
      <c r="E21" s="143"/>
      <c r="F21" s="143"/>
      <c r="G21" s="143">
        <v>12</v>
      </c>
      <c r="H21" s="140" t="s">
        <v>1221</v>
      </c>
      <c r="I21" s="150">
        <v>1</v>
      </c>
      <c r="J21" s="167">
        <f>Insumos!D51</f>
        <v>0</v>
      </c>
      <c r="K21" s="167">
        <f t="shared" si="1"/>
        <v>0</v>
      </c>
    </row>
    <row r="22" spans="1:11" x14ac:dyDescent="0.25">
      <c r="A22" s="124" t="s">
        <v>1215</v>
      </c>
      <c r="B22" s="6" t="s">
        <v>1150</v>
      </c>
      <c r="C22" s="143"/>
      <c r="D22" s="143"/>
      <c r="E22" s="143"/>
      <c r="F22" s="143"/>
      <c r="G22" s="143">
        <v>60</v>
      </c>
      <c r="H22" s="140" t="s">
        <v>1151</v>
      </c>
      <c r="I22" s="150">
        <v>0.75</v>
      </c>
      <c r="J22" s="167">
        <f>Insumos!D52</f>
        <v>0</v>
      </c>
      <c r="K22" s="167">
        <f t="shared" si="1"/>
        <v>0</v>
      </c>
    </row>
    <row r="23" spans="1:11" x14ac:dyDescent="0.25">
      <c r="A23" s="124" t="s">
        <v>1216</v>
      </c>
      <c r="B23" s="6" t="s">
        <v>1152</v>
      </c>
      <c r="C23" s="143"/>
      <c r="D23" s="143"/>
      <c r="E23" s="143"/>
      <c r="F23" s="143"/>
      <c r="G23" s="143">
        <v>12</v>
      </c>
      <c r="H23" s="140" t="s">
        <v>1124</v>
      </c>
      <c r="I23" s="150">
        <v>0.75</v>
      </c>
      <c r="J23" s="167">
        <f>Insumos!D53</f>
        <v>0</v>
      </c>
      <c r="K23" s="167">
        <f t="shared" si="1"/>
        <v>0</v>
      </c>
    </row>
    <row r="24" spans="1:11" x14ac:dyDescent="0.25">
      <c r="A24" s="124" t="s">
        <v>1217</v>
      </c>
      <c r="B24" s="6" t="s">
        <v>1248</v>
      </c>
      <c r="C24" s="143"/>
      <c r="D24" s="143"/>
      <c r="E24" s="143"/>
      <c r="F24" s="143"/>
      <c r="G24" s="143">
        <v>10</v>
      </c>
      <c r="H24" s="140" t="s">
        <v>1154</v>
      </c>
      <c r="I24" s="150">
        <v>0.75</v>
      </c>
      <c r="J24" s="167">
        <f>Insumos!D54</f>
        <v>0</v>
      </c>
      <c r="K24" s="167">
        <f t="shared" si="1"/>
        <v>0</v>
      </c>
    </row>
    <row r="25" spans="1:11" x14ac:dyDescent="0.25">
      <c r="A25" s="152"/>
      <c r="B25" s="159"/>
      <c r="C25" s="154"/>
      <c r="D25" s="154"/>
      <c r="E25" s="154"/>
      <c r="F25" s="154"/>
      <c r="G25" s="154"/>
      <c r="H25" s="157"/>
      <c r="I25" s="157"/>
      <c r="J25" s="192" t="s">
        <v>1064</v>
      </c>
      <c r="K25" s="193">
        <f>SUM(K19:K24)</f>
        <v>0</v>
      </c>
    </row>
    <row r="26" spans="1:11" x14ac:dyDescent="0.25">
      <c r="A26" s="146" t="s">
        <v>66</v>
      </c>
      <c r="B26" s="179" t="s">
        <v>1155</v>
      </c>
      <c r="C26" s="148"/>
      <c r="D26" s="148"/>
      <c r="E26" s="148"/>
      <c r="F26" s="148"/>
      <c r="G26" s="148"/>
      <c r="H26" s="148"/>
      <c r="I26" s="148"/>
      <c r="J26" s="148"/>
      <c r="K26" s="188"/>
    </row>
    <row r="27" spans="1:11" x14ac:dyDescent="0.25">
      <c r="A27" s="611" t="s">
        <v>1196</v>
      </c>
      <c r="B27" s="612" t="s">
        <v>1067</v>
      </c>
      <c r="C27" s="613" t="s">
        <v>1197</v>
      </c>
      <c r="D27" s="614"/>
      <c r="E27" s="614"/>
      <c r="F27" s="615"/>
      <c r="G27" s="619" t="s">
        <v>14</v>
      </c>
      <c r="H27" s="610" t="s">
        <v>1068</v>
      </c>
      <c r="I27" s="608" t="s">
        <v>35</v>
      </c>
      <c r="J27" s="610" t="s">
        <v>1256</v>
      </c>
      <c r="K27" s="610" t="s">
        <v>16</v>
      </c>
    </row>
    <row r="28" spans="1:11" x14ac:dyDescent="0.25">
      <c r="A28" s="611"/>
      <c r="B28" s="612"/>
      <c r="C28" s="616"/>
      <c r="D28" s="617"/>
      <c r="E28" s="617"/>
      <c r="F28" s="618"/>
      <c r="G28" s="620"/>
      <c r="H28" s="610"/>
      <c r="I28" s="609"/>
      <c r="J28" s="610"/>
      <c r="K28" s="610"/>
    </row>
    <row r="29" spans="1:11" x14ac:dyDescent="0.25">
      <c r="A29" s="124" t="s">
        <v>1220</v>
      </c>
      <c r="B29" s="104" t="s">
        <v>1156</v>
      </c>
      <c r="C29" s="143"/>
      <c r="D29" s="143"/>
      <c r="E29" s="143"/>
      <c r="F29" s="143"/>
      <c r="G29" s="143">
        <v>68.186875000000015</v>
      </c>
      <c r="H29" s="140" t="s">
        <v>1228</v>
      </c>
      <c r="I29" s="150">
        <v>0.2</v>
      </c>
      <c r="J29" s="167">
        <f>Insumos!D58</f>
        <v>0</v>
      </c>
      <c r="K29" s="167">
        <f t="shared" ref="K29:K39" si="2">TRUNC(G29*I29*J29,2)</f>
        <v>0</v>
      </c>
    </row>
    <row r="30" spans="1:11" x14ac:dyDescent="0.25">
      <c r="A30" s="124" t="s">
        <v>1222</v>
      </c>
      <c r="B30" s="104" t="s">
        <v>1171</v>
      </c>
      <c r="C30" s="143"/>
      <c r="D30" s="143"/>
      <c r="E30" s="143"/>
      <c r="F30" s="143"/>
      <c r="G30" s="143">
        <v>231.66000000000003</v>
      </c>
      <c r="H30" s="140" t="s">
        <v>1089</v>
      </c>
      <c r="I30" s="150">
        <v>0.25</v>
      </c>
      <c r="J30" s="167">
        <f>Insumos!D69</f>
        <v>0</v>
      </c>
      <c r="K30" s="167">
        <f t="shared" si="2"/>
        <v>0</v>
      </c>
    </row>
    <row r="31" spans="1:11" x14ac:dyDescent="0.25">
      <c r="A31" s="124" t="s">
        <v>1223</v>
      </c>
      <c r="B31" s="104" t="s">
        <v>1158</v>
      </c>
      <c r="C31" s="143"/>
      <c r="D31" s="143"/>
      <c r="E31" s="143"/>
      <c r="F31" s="143"/>
      <c r="G31" s="143">
        <v>5.1480000000000006</v>
      </c>
      <c r="H31" s="140" t="s">
        <v>1159</v>
      </c>
      <c r="I31" s="150">
        <v>1</v>
      </c>
      <c r="J31" s="167">
        <f>Insumos!D60</f>
        <v>0</v>
      </c>
      <c r="K31" s="167">
        <f t="shared" si="2"/>
        <v>0</v>
      </c>
    </row>
    <row r="32" spans="1:11" x14ac:dyDescent="0.25">
      <c r="A32" s="124" t="s">
        <v>1224</v>
      </c>
      <c r="B32" s="104" t="s">
        <v>1160</v>
      </c>
      <c r="C32" s="143"/>
      <c r="D32" s="143"/>
      <c r="E32" s="143"/>
      <c r="F32" s="143"/>
      <c r="G32" s="143">
        <v>29.018277777777783</v>
      </c>
      <c r="H32" s="140" t="s">
        <v>1159</v>
      </c>
      <c r="I32" s="150">
        <v>1</v>
      </c>
      <c r="J32" s="167">
        <f>Insumos!D61</f>
        <v>0</v>
      </c>
      <c r="K32" s="167">
        <f t="shared" si="2"/>
        <v>0</v>
      </c>
    </row>
    <row r="33" spans="1:11" x14ac:dyDescent="0.25">
      <c r="A33" s="124" t="s">
        <v>1225</v>
      </c>
      <c r="B33" s="104" t="s">
        <v>1161</v>
      </c>
      <c r="C33" s="143"/>
      <c r="D33" s="143"/>
      <c r="E33" s="143"/>
      <c r="F33" s="143"/>
      <c r="G33" s="143">
        <v>20.727341269841276</v>
      </c>
      <c r="H33" s="140" t="s">
        <v>1162</v>
      </c>
      <c r="I33" s="150">
        <v>1</v>
      </c>
      <c r="J33" s="167">
        <f>Insumos!D62</f>
        <v>0</v>
      </c>
      <c r="K33" s="167">
        <f t="shared" si="2"/>
        <v>0</v>
      </c>
    </row>
    <row r="34" spans="1:11" x14ac:dyDescent="0.25">
      <c r="A34" s="124" t="s">
        <v>1226</v>
      </c>
      <c r="B34" s="104" t="s">
        <v>1163</v>
      </c>
      <c r="C34" s="143"/>
      <c r="D34" s="143"/>
      <c r="E34" s="143"/>
      <c r="F34" s="143"/>
      <c r="G34" s="143">
        <v>8</v>
      </c>
      <c r="H34" s="140" t="s">
        <v>1068</v>
      </c>
      <c r="I34" s="150">
        <v>0.5</v>
      </c>
      <c r="J34" s="167">
        <f>Insumos!D63</f>
        <v>0</v>
      </c>
      <c r="K34" s="167">
        <f t="shared" si="2"/>
        <v>0</v>
      </c>
    </row>
    <row r="35" spans="1:11" x14ac:dyDescent="0.25">
      <c r="A35" s="124" t="s">
        <v>1227</v>
      </c>
      <c r="B35" s="104" t="s">
        <v>1164</v>
      </c>
      <c r="C35" s="143"/>
      <c r="D35" s="143"/>
      <c r="E35" s="143"/>
      <c r="F35" s="143"/>
      <c r="G35" s="143">
        <v>4</v>
      </c>
      <c r="H35" s="140" t="s">
        <v>1068</v>
      </c>
      <c r="I35" s="150">
        <v>0.5</v>
      </c>
      <c r="J35" s="167">
        <f>Insumos!D64</f>
        <v>0</v>
      </c>
      <c r="K35" s="167">
        <f t="shared" si="2"/>
        <v>0</v>
      </c>
    </row>
    <row r="36" spans="1:11" x14ac:dyDescent="0.25">
      <c r="A36" s="124" t="s">
        <v>1229</v>
      </c>
      <c r="B36" s="104" t="s">
        <v>1165</v>
      </c>
      <c r="C36" s="143"/>
      <c r="D36" s="143"/>
      <c r="E36" s="143"/>
      <c r="F36" s="143"/>
      <c r="G36" s="143">
        <v>6</v>
      </c>
      <c r="H36" s="140" t="s">
        <v>1068</v>
      </c>
      <c r="I36" s="150">
        <v>0.25</v>
      </c>
      <c r="J36" s="167">
        <f>Insumos!D65</f>
        <v>0</v>
      </c>
      <c r="K36" s="167">
        <f t="shared" si="2"/>
        <v>0</v>
      </c>
    </row>
    <row r="37" spans="1:11" x14ac:dyDescent="0.25">
      <c r="A37" s="124" t="s">
        <v>1231</v>
      </c>
      <c r="B37" s="104" t="s">
        <v>1166</v>
      </c>
      <c r="C37" s="143"/>
      <c r="D37" s="143"/>
      <c r="E37" s="143"/>
      <c r="F37" s="143"/>
      <c r="G37" s="143">
        <v>4.6526399999999999</v>
      </c>
      <c r="H37" s="140" t="s">
        <v>1096</v>
      </c>
      <c r="I37" s="150">
        <v>1</v>
      </c>
      <c r="J37" s="167">
        <f>Insumos!D66</f>
        <v>0</v>
      </c>
      <c r="K37" s="167">
        <f t="shared" si="2"/>
        <v>0</v>
      </c>
    </row>
    <row r="38" spans="1:11" x14ac:dyDescent="0.25">
      <c r="A38" s="124" t="s">
        <v>1232</v>
      </c>
      <c r="B38" s="104" t="s">
        <v>1167</v>
      </c>
      <c r="C38" s="143"/>
      <c r="D38" s="143"/>
      <c r="E38" s="143"/>
      <c r="F38" s="143"/>
      <c r="G38" s="143">
        <v>3.5448685714285717</v>
      </c>
      <c r="H38" s="140" t="s">
        <v>1168</v>
      </c>
      <c r="I38" s="150">
        <v>1</v>
      </c>
      <c r="J38" s="167">
        <f>Insumos!D67</f>
        <v>0</v>
      </c>
      <c r="K38" s="167">
        <f t="shared" si="2"/>
        <v>0</v>
      </c>
    </row>
    <row r="39" spans="1:11" x14ac:dyDescent="0.25">
      <c r="A39" s="124" t="s">
        <v>1233</v>
      </c>
      <c r="B39" s="104" t="s">
        <v>1240</v>
      </c>
      <c r="C39" s="143"/>
      <c r="D39" s="143"/>
      <c r="E39" s="143"/>
      <c r="F39" s="143"/>
      <c r="G39" s="143">
        <v>2.1269211428571428</v>
      </c>
      <c r="H39" s="140" t="s">
        <v>1170</v>
      </c>
      <c r="I39" s="150">
        <v>1</v>
      </c>
      <c r="J39" s="167">
        <f>Insumos!D68</f>
        <v>0</v>
      </c>
      <c r="K39" s="167">
        <f t="shared" si="2"/>
        <v>0</v>
      </c>
    </row>
    <row r="40" spans="1:11" x14ac:dyDescent="0.25">
      <c r="A40" s="152"/>
      <c r="B40" s="159"/>
      <c r="C40" s="159"/>
      <c r="D40" s="159"/>
      <c r="E40" s="159"/>
      <c r="F40" s="159"/>
      <c r="G40" s="159"/>
      <c r="H40" s="159"/>
      <c r="I40" s="159"/>
      <c r="J40" s="170" t="s">
        <v>1064</v>
      </c>
      <c r="K40" s="194">
        <f>SUM(K29:K39)</f>
        <v>0</v>
      </c>
    </row>
    <row r="41" spans="1:11" x14ac:dyDescent="0.25">
      <c r="A41" s="146" t="s">
        <v>67</v>
      </c>
      <c r="B41" s="179" t="s">
        <v>1176</v>
      </c>
      <c r="C41" s="148"/>
      <c r="D41" s="148"/>
      <c r="E41" s="148"/>
      <c r="F41" s="148"/>
      <c r="G41" s="148"/>
      <c r="H41" s="148"/>
      <c r="I41" s="148"/>
      <c r="J41" s="148"/>
      <c r="K41" s="188"/>
    </row>
    <row r="42" spans="1:11" x14ac:dyDescent="0.25">
      <c r="A42" s="611" t="s">
        <v>1196</v>
      </c>
      <c r="B42" s="612" t="s">
        <v>1067</v>
      </c>
      <c r="C42" s="613" t="s">
        <v>1197</v>
      </c>
      <c r="D42" s="614"/>
      <c r="E42" s="614"/>
      <c r="F42" s="615"/>
      <c r="G42" s="619" t="s">
        <v>14</v>
      </c>
      <c r="H42" s="610" t="s">
        <v>1068</v>
      </c>
      <c r="I42" s="608" t="s">
        <v>35</v>
      </c>
      <c r="J42" s="610" t="s">
        <v>1257</v>
      </c>
      <c r="K42" s="610" t="s">
        <v>16</v>
      </c>
    </row>
    <row r="43" spans="1:11" x14ac:dyDescent="0.25">
      <c r="A43" s="611"/>
      <c r="B43" s="612"/>
      <c r="C43" s="616"/>
      <c r="D43" s="617"/>
      <c r="E43" s="617"/>
      <c r="F43" s="618"/>
      <c r="G43" s="620"/>
      <c r="H43" s="610"/>
      <c r="I43" s="609"/>
      <c r="J43" s="610"/>
      <c r="K43" s="610"/>
    </row>
    <row r="44" spans="1:11" x14ac:dyDescent="0.25">
      <c r="A44" s="124" t="s">
        <v>1234</v>
      </c>
      <c r="B44" s="6" t="s">
        <v>1242</v>
      </c>
      <c r="C44" s="605"/>
      <c r="D44" s="606"/>
      <c r="E44" s="606"/>
      <c r="F44" s="607"/>
      <c r="G44" s="143">
        <v>20</v>
      </c>
      <c r="H44" s="140" t="s">
        <v>1140</v>
      </c>
      <c r="I44" s="140">
        <v>15</v>
      </c>
      <c r="J44" s="167">
        <f>Insumos!D75</f>
        <v>0</v>
      </c>
      <c r="K44" s="167">
        <f>TRUNC(G44*I44*J44,2)</f>
        <v>0</v>
      </c>
    </row>
    <row r="45" spans="1:11" x14ac:dyDescent="0.25">
      <c r="A45" s="152"/>
      <c r="B45" s="159"/>
      <c r="C45" s="159"/>
      <c r="D45" s="159"/>
      <c r="E45" s="159"/>
      <c r="F45" s="159"/>
      <c r="G45" s="159"/>
      <c r="H45" s="159"/>
      <c r="I45" s="159"/>
      <c r="J45" s="170" t="s">
        <v>1064</v>
      </c>
      <c r="K45" s="175">
        <f>SUM(K44)</f>
        <v>0</v>
      </c>
    </row>
    <row r="46" spans="1:11" x14ac:dyDescent="0.25">
      <c r="A46" s="146" t="s">
        <v>68</v>
      </c>
      <c r="B46" s="179" t="s">
        <v>1178</v>
      </c>
      <c r="C46" s="148"/>
      <c r="D46" s="148"/>
      <c r="E46" s="148"/>
      <c r="F46" s="148"/>
      <c r="G46" s="148"/>
      <c r="H46" s="148"/>
      <c r="I46" s="148"/>
      <c r="J46" s="148"/>
      <c r="K46" s="188"/>
    </row>
    <row r="47" spans="1:11" x14ac:dyDescent="0.25">
      <c r="A47" s="611" t="s">
        <v>1196</v>
      </c>
      <c r="B47" s="612" t="s">
        <v>1067</v>
      </c>
      <c r="C47" s="613" t="s">
        <v>1197</v>
      </c>
      <c r="D47" s="614"/>
      <c r="E47" s="614"/>
      <c r="F47" s="615"/>
      <c r="G47" s="619" t="s">
        <v>14</v>
      </c>
      <c r="H47" s="610" t="s">
        <v>1068</v>
      </c>
      <c r="I47" s="608" t="s">
        <v>35</v>
      </c>
      <c r="J47" s="610" t="s">
        <v>1249</v>
      </c>
      <c r="K47" s="610" t="s">
        <v>16</v>
      </c>
    </row>
    <row r="48" spans="1:11" x14ac:dyDescent="0.25">
      <c r="A48" s="611"/>
      <c r="B48" s="612"/>
      <c r="C48" s="616"/>
      <c r="D48" s="617"/>
      <c r="E48" s="617"/>
      <c r="F48" s="618"/>
      <c r="G48" s="620"/>
      <c r="H48" s="610"/>
      <c r="I48" s="609"/>
      <c r="J48" s="610"/>
      <c r="K48" s="610"/>
    </row>
    <row r="49" spans="1:11" x14ac:dyDescent="0.25">
      <c r="A49" s="124" t="s">
        <v>1235</v>
      </c>
      <c r="B49" s="104" t="s">
        <v>1244</v>
      </c>
      <c r="C49" s="605"/>
      <c r="D49" s="606"/>
      <c r="E49" s="606"/>
      <c r="F49" s="607"/>
      <c r="G49" s="143">
        <v>20</v>
      </c>
      <c r="H49" s="140" t="s">
        <v>1140</v>
      </c>
      <c r="I49" s="140">
        <v>8</v>
      </c>
      <c r="J49" s="167">
        <f>Insumos!D78</f>
        <v>0</v>
      </c>
      <c r="K49" s="167">
        <f>TRUNC(G49*I49*J49,2)</f>
        <v>0</v>
      </c>
    </row>
    <row r="50" spans="1:11" x14ac:dyDescent="0.25">
      <c r="A50" s="152"/>
      <c r="B50" s="159"/>
      <c r="C50" s="159"/>
      <c r="D50" s="159"/>
      <c r="E50" s="159"/>
      <c r="F50" s="159"/>
      <c r="G50" s="159"/>
      <c r="H50" s="159"/>
      <c r="I50" s="159"/>
      <c r="J50" s="170" t="s">
        <v>1064</v>
      </c>
      <c r="K50" s="175">
        <f>SUM(K49)</f>
        <v>0</v>
      </c>
    </row>
    <row r="51" spans="1:11" x14ac:dyDescent="0.25">
      <c r="A51" s="146" t="s">
        <v>69</v>
      </c>
      <c r="B51" s="179" t="s">
        <v>1180</v>
      </c>
      <c r="C51" s="148"/>
      <c r="D51" s="148"/>
      <c r="E51" s="148"/>
      <c r="F51" s="148"/>
      <c r="G51" s="148"/>
      <c r="H51" s="148"/>
      <c r="I51" s="148"/>
      <c r="J51" s="148"/>
      <c r="K51" s="188"/>
    </row>
    <row r="52" spans="1:11" x14ac:dyDescent="0.25">
      <c r="A52" s="611" t="s">
        <v>1196</v>
      </c>
      <c r="B52" s="612" t="s">
        <v>1067</v>
      </c>
      <c r="C52" s="613" t="s">
        <v>1197</v>
      </c>
      <c r="D52" s="614"/>
      <c r="E52" s="614"/>
      <c r="F52" s="615"/>
      <c r="G52" s="619" t="s">
        <v>14</v>
      </c>
      <c r="H52" s="610" t="s">
        <v>1068</v>
      </c>
      <c r="I52" s="608" t="s">
        <v>35</v>
      </c>
      <c r="J52" s="610" t="s">
        <v>1249</v>
      </c>
      <c r="K52" s="610" t="s">
        <v>16</v>
      </c>
    </row>
    <row r="53" spans="1:11" x14ac:dyDescent="0.25">
      <c r="A53" s="611"/>
      <c r="B53" s="612"/>
      <c r="C53" s="616"/>
      <c r="D53" s="617"/>
      <c r="E53" s="617"/>
      <c r="F53" s="618"/>
      <c r="G53" s="620"/>
      <c r="H53" s="610"/>
      <c r="I53" s="609"/>
      <c r="J53" s="610"/>
      <c r="K53" s="610"/>
    </row>
    <row r="54" spans="1:11" x14ac:dyDescent="0.25">
      <c r="A54" s="124" t="s">
        <v>1236</v>
      </c>
      <c r="B54" s="6" t="s">
        <v>1181</v>
      </c>
      <c r="C54" s="605"/>
      <c r="D54" s="606"/>
      <c r="E54" s="606"/>
      <c r="F54" s="607"/>
      <c r="G54" s="143">
        <v>2</v>
      </c>
      <c r="H54" s="140" t="s">
        <v>1140</v>
      </c>
      <c r="I54" s="150">
        <v>1</v>
      </c>
      <c r="J54" s="167">
        <f>Insumos!D81</f>
        <v>0</v>
      </c>
      <c r="K54" s="167">
        <f>TRUNC(G54*I54*J54,2)</f>
        <v>0</v>
      </c>
    </row>
    <row r="55" spans="1:11" x14ac:dyDescent="0.25">
      <c r="A55" s="124" t="s">
        <v>1237</v>
      </c>
      <c r="B55" s="6" t="s">
        <v>1182</v>
      </c>
      <c r="C55" s="605"/>
      <c r="D55" s="606"/>
      <c r="E55" s="606"/>
      <c r="F55" s="607"/>
      <c r="G55" s="143">
        <v>3</v>
      </c>
      <c r="H55" s="140" t="s">
        <v>1140</v>
      </c>
      <c r="I55" s="150">
        <v>1</v>
      </c>
      <c r="J55" s="167">
        <f>Insumos!D82</f>
        <v>0</v>
      </c>
      <c r="K55" s="167">
        <f>TRUNC(G55*I55*J55,2)</f>
        <v>0</v>
      </c>
    </row>
    <row r="56" spans="1:11" x14ac:dyDescent="0.25">
      <c r="A56" s="124" t="s">
        <v>1238</v>
      </c>
      <c r="B56" s="6" t="s">
        <v>1183</v>
      </c>
      <c r="C56" s="605"/>
      <c r="D56" s="606"/>
      <c r="E56" s="606"/>
      <c r="F56" s="607"/>
      <c r="G56" s="143">
        <v>2</v>
      </c>
      <c r="H56" s="140" t="s">
        <v>1140</v>
      </c>
      <c r="I56" s="150">
        <v>1</v>
      </c>
      <c r="J56" s="167">
        <f>Insumos!D83</f>
        <v>0</v>
      </c>
      <c r="K56" s="167">
        <f>TRUNC(G56*I56*J56,2)</f>
        <v>0</v>
      </c>
    </row>
    <row r="57" spans="1:11" x14ac:dyDescent="0.25">
      <c r="A57" s="152"/>
      <c r="B57" s="159"/>
      <c r="C57" s="159"/>
      <c r="D57" s="159"/>
      <c r="E57" s="159"/>
      <c r="F57" s="159"/>
      <c r="G57" s="159"/>
      <c r="H57" s="159"/>
      <c r="I57" s="159"/>
      <c r="J57" s="170" t="s">
        <v>1064</v>
      </c>
      <c r="K57" s="175">
        <f>SUM(K54:K56)</f>
        <v>0</v>
      </c>
    </row>
  </sheetData>
  <mergeCells count="56">
    <mergeCell ref="A1:K1"/>
    <mergeCell ref="B2:K2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A17:A18"/>
    <mergeCell ref="B17:B18"/>
    <mergeCell ref="C17:F18"/>
    <mergeCell ref="G17:G18"/>
    <mergeCell ref="H17:H18"/>
    <mergeCell ref="I17:I18"/>
    <mergeCell ref="J17:J18"/>
    <mergeCell ref="K17:K18"/>
    <mergeCell ref="J27:J28"/>
    <mergeCell ref="K27:K28"/>
    <mergeCell ref="I42:I43"/>
    <mergeCell ref="J42:J43"/>
    <mergeCell ref="K42:K43"/>
    <mergeCell ref="A27:A28"/>
    <mergeCell ref="B27:B28"/>
    <mergeCell ref="C27:F28"/>
    <mergeCell ref="G27:G28"/>
    <mergeCell ref="H27:H28"/>
    <mergeCell ref="I27:I28"/>
    <mergeCell ref="A42:A43"/>
    <mergeCell ref="B42:B43"/>
    <mergeCell ref="C42:F43"/>
    <mergeCell ref="G42:G43"/>
    <mergeCell ref="H42:H43"/>
    <mergeCell ref="C44:F44"/>
    <mergeCell ref="A47:A48"/>
    <mergeCell ref="B47:B48"/>
    <mergeCell ref="C47:F48"/>
    <mergeCell ref="G47:G48"/>
    <mergeCell ref="K47:K48"/>
    <mergeCell ref="C49:F49"/>
    <mergeCell ref="A52:A53"/>
    <mergeCell ref="B52:B53"/>
    <mergeCell ref="C52:F53"/>
    <mergeCell ref="G52:G53"/>
    <mergeCell ref="H52:H53"/>
    <mergeCell ref="I52:I53"/>
    <mergeCell ref="H47:H48"/>
    <mergeCell ref="J52:J53"/>
    <mergeCell ref="K52:K53"/>
    <mergeCell ref="C54:F54"/>
    <mergeCell ref="C55:F55"/>
    <mergeCell ref="C56:F56"/>
    <mergeCell ref="I47:I48"/>
    <mergeCell ref="J47:J48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view="pageBreakPreview" topLeftCell="A30" zoomScale="80" zoomScaleNormal="85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65.28515625" customWidth="1"/>
    <col min="3" max="4" width="8.42578125" customWidth="1"/>
    <col min="5" max="5" width="7.7109375" customWidth="1"/>
    <col min="6" max="7" width="10.85546875" customWidth="1"/>
    <col min="8" max="8" width="9.5703125" customWidth="1"/>
    <col min="10" max="10" width="16" bestFit="1" customWidth="1"/>
    <col min="11" max="11" width="16.8554687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3</v>
      </c>
      <c r="B2" s="631" t="s">
        <v>1945</v>
      </c>
      <c r="C2" s="632"/>
      <c r="D2" s="632"/>
      <c r="E2" s="632"/>
      <c r="F2" s="632"/>
      <c r="G2" s="632"/>
      <c r="H2" s="632"/>
      <c r="I2" s="632"/>
      <c r="J2" s="632"/>
      <c r="K2" s="633"/>
    </row>
    <row r="3" spans="1:11" x14ac:dyDescent="0.25">
      <c r="A3" s="146" t="s">
        <v>63</v>
      </c>
      <c r="B3" s="621" t="s">
        <v>1252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36" t="s">
        <v>1068</v>
      </c>
      <c r="I4" s="608" t="s">
        <v>35</v>
      </c>
      <c r="J4" s="610" t="s">
        <v>1256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36"/>
      <c r="I5" s="609"/>
      <c r="J5" s="610"/>
      <c r="K5" s="610"/>
    </row>
    <row r="6" spans="1:11" s="247" customFormat="1" x14ac:dyDescent="0.25">
      <c r="A6" s="34" t="s">
        <v>1202</v>
      </c>
      <c r="B6" s="251" t="s">
        <v>1109</v>
      </c>
      <c r="C6" s="369">
        <v>45</v>
      </c>
      <c r="D6" s="369">
        <v>20</v>
      </c>
      <c r="E6" s="369"/>
      <c r="F6" s="243">
        <f>C6*D6</f>
        <v>900</v>
      </c>
      <c r="G6" s="243">
        <f t="shared" ref="G6:G10" si="0">F6</f>
        <v>900</v>
      </c>
      <c r="H6" s="252" t="s">
        <v>1076</v>
      </c>
      <c r="I6" s="253">
        <v>0.9</v>
      </c>
      <c r="J6" s="254">
        <f>Insumos!D19</f>
        <v>0</v>
      </c>
      <c r="K6" s="254">
        <f t="shared" ref="K6:K19" si="1">TRUNC(I6*G6*J6,2)</f>
        <v>0</v>
      </c>
    </row>
    <row r="7" spans="1:11" s="247" customFormat="1" x14ac:dyDescent="0.25">
      <c r="A7" s="34" t="s">
        <v>1203</v>
      </c>
      <c r="B7" s="251" t="s">
        <v>1477</v>
      </c>
      <c r="C7" s="369">
        <v>45</v>
      </c>
      <c r="D7" s="369">
        <v>5</v>
      </c>
      <c r="E7" s="369"/>
      <c r="F7" s="243">
        <f>C7*D7</f>
        <v>225</v>
      </c>
      <c r="G7" s="243">
        <f t="shared" ref="G7" si="2">F7</f>
        <v>225</v>
      </c>
      <c r="H7" s="252" t="s">
        <v>1076</v>
      </c>
      <c r="I7" s="253">
        <f>$I$6</f>
        <v>0.9</v>
      </c>
      <c r="J7" s="254">
        <f>Insumos!D6</f>
        <v>0</v>
      </c>
      <c r="K7" s="254">
        <f t="shared" ref="K7" si="3">TRUNC(I7*G7*J7,2)</f>
        <v>0</v>
      </c>
    </row>
    <row r="8" spans="1:11" s="247" customFormat="1" x14ac:dyDescent="0.25">
      <c r="A8" s="34" t="s">
        <v>1204</v>
      </c>
      <c r="B8" s="251" t="s">
        <v>1967</v>
      </c>
      <c r="C8" s="369">
        <v>45</v>
      </c>
      <c r="D8" s="369">
        <v>25</v>
      </c>
      <c r="E8" s="369"/>
      <c r="F8" s="243">
        <f>C8*D8</f>
        <v>1125</v>
      </c>
      <c r="G8" s="243">
        <f t="shared" si="0"/>
        <v>1125</v>
      </c>
      <c r="H8" s="252" t="s">
        <v>1076</v>
      </c>
      <c r="I8" s="253">
        <f t="shared" ref="I8:I19" si="4">$I$6</f>
        <v>0.9</v>
      </c>
      <c r="J8" s="254">
        <f>Insumos!D7</f>
        <v>0</v>
      </c>
      <c r="K8" s="254">
        <f t="shared" si="1"/>
        <v>0</v>
      </c>
    </row>
    <row r="9" spans="1:11" s="247" customFormat="1" x14ac:dyDescent="0.25">
      <c r="A9" s="34" t="s">
        <v>1205</v>
      </c>
      <c r="B9" s="255" t="s">
        <v>1122</v>
      </c>
      <c r="C9" s="370">
        <v>11</v>
      </c>
      <c r="D9" s="370">
        <v>17</v>
      </c>
      <c r="E9" s="370">
        <v>1</v>
      </c>
      <c r="F9" s="243">
        <f>D9*E9*C9</f>
        <v>187</v>
      </c>
      <c r="G9" s="243">
        <f t="shared" si="0"/>
        <v>187</v>
      </c>
      <c r="H9" s="252" t="s">
        <v>1076</v>
      </c>
      <c r="I9" s="253">
        <f t="shared" si="4"/>
        <v>0.9</v>
      </c>
      <c r="J9" s="254">
        <f>Insumos!D24</f>
        <v>0</v>
      </c>
      <c r="K9" s="254">
        <f>TRUNC(I9*G9*J9,2)</f>
        <v>0</v>
      </c>
    </row>
    <row r="10" spans="1:11" s="247" customFormat="1" x14ac:dyDescent="0.25">
      <c r="A10" s="34" t="s">
        <v>1206</v>
      </c>
      <c r="B10" s="251" t="s">
        <v>1335</v>
      </c>
      <c r="C10" s="370">
        <v>8</v>
      </c>
      <c r="D10" s="370">
        <v>5</v>
      </c>
      <c r="E10" s="370">
        <v>10</v>
      </c>
      <c r="F10" s="243">
        <f>D10*E10*C10</f>
        <v>400</v>
      </c>
      <c r="G10" s="243">
        <f t="shared" si="0"/>
        <v>400</v>
      </c>
      <c r="H10" s="252" t="s">
        <v>1076</v>
      </c>
      <c r="I10" s="253">
        <f t="shared" si="4"/>
        <v>0.9</v>
      </c>
      <c r="J10" s="254">
        <f>Insumos!D30</f>
        <v>0</v>
      </c>
      <c r="K10" s="254">
        <f t="shared" si="1"/>
        <v>0</v>
      </c>
    </row>
    <row r="11" spans="1:11" s="247" customFormat="1" x14ac:dyDescent="0.25">
      <c r="A11" s="34" t="s">
        <v>1207</v>
      </c>
      <c r="B11" s="255" t="s">
        <v>1094</v>
      </c>
      <c r="C11" s="369"/>
      <c r="D11" s="370">
        <v>45</v>
      </c>
      <c r="E11" s="369">
        <v>1.3</v>
      </c>
      <c r="F11" s="243">
        <f>E11*D11</f>
        <v>58.5</v>
      </c>
      <c r="G11" s="243">
        <f t="shared" ref="G11:G18" si="5">F11</f>
        <v>58.5</v>
      </c>
      <c r="H11" s="252" t="s">
        <v>1076</v>
      </c>
      <c r="I11" s="253">
        <f t="shared" si="4"/>
        <v>0.9</v>
      </c>
      <c r="J11" s="254">
        <f>Insumos!D11</f>
        <v>0</v>
      </c>
      <c r="K11" s="254">
        <f t="shared" ref="K11:K15" si="6">TRUNC(I11*G11*J11,2)</f>
        <v>0</v>
      </c>
    </row>
    <row r="12" spans="1:11" s="247" customFormat="1" x14ac:dyDescent="0.25">
      <c r="A12" s="34" t="s">
        <v>1208</v>
      </c>
      <c r="B12" s="255" t="s">
        <v>2106</v>
      </c>
      <c r="C12" s="369">
        <v>2.5</v>
      </c>
      <c r="D12" s="370">
        <v>11.48</v>
      </c>
      <c r="E12" s="369"/>
      <c r="F12" s="243">
        <f>C12*D12</f>
        <v>28.700000000000003</v>
      </c>
      <c r="G12" s="243">
        <f t="shared" si="5"/>
        <v>28.700000000000003</v>
      </c>
      <c r="H12" s="252" t="s">
        <v>1076</v>
      </c>
      <c r="I12" s="253">
        <f t="shared" si="4"/>
        <v>0.9</v>
      </c>
      <c r="J12" s="254">
        <f>Insumos!D15</f>
        <v>0</v>
      </c>
      <c r="K12" s="254">
        <f t="shared" si="6"/>
        <v>0</v>
      </c>
    </row>
    <row r="13" spans="1:11" s="247" customFormat="1" x14ac:dyDescent="0.25">
      <c r="A13" s="34" t="s">
        <v>1209</v>
      </c>
      <c r="B13" s="251" t="s">
        <v>2107</v>
      </c>
      <c r="C13" s="370">
        <v>2.82</v>
      </c>
      <c r="D13" s="370">
        <v>1.69</v>
      </c>
      <c r="E13" s="370"/>
      <c r="F13" s="243">
        <f>C13*D13</f>
        <v>4.7657999999999996</v>
      </c>
      <c r="G13" s="243">
        <f t="shared" ref="G13" si="7">F13</f>
        <v>4.7657999999999996</v>
      </c>
      <c r="H13" s="252" t="s">
        <v>1076</v>
      </c>
      <c r="I13" s="253">
        <f t="shared" si="4"/>
        <v>0.9</v>
      </c>
      <c r="J13" s="254">
        <f>Insumos!D9</f>
        <v>0</v>
      </c>
      <c r="K13" s="254">
        <f t="shared" si="6"/>
        <v>0</v>
      </c>
    </row>
    <row r="14" spans="1:11" s="247" customFormat="1" x14ac:dyDescent="0.25">
      <c r="A14" s="34" t="s">
        <v>1210</v>
      </c>
      <c r="B14" s="251" t="s">
        <v>2108</v>
      </c>
      <c r="C14" s="370">
        <v>2</v>
      </c>
      <c r="D14" s="370">
        <v>6.8</v>
      </c>
      <c r="E14" s="370"/>
      <c r="F14" s="243">
        <f>C14*D14</f>
        <v>13.6</v>
      </c>
      <c r="G14" s="243">
        <f t="shared" si="5"/>
        <v>13.6</v>
      </c>
      <c r="H14" s="252" t="s">
        <v>1076</v>
      </c>
      <c r="I14" s="253">
        <f t="shared" si="4"/>
        <v>0.9</v>
      </c>
      <c r="J14" s="254">
        <f>Insumos!D9</f>
        <v>0</v>
      </c>
      <c r="K14" s="254">
        <f t="shared" si="6"/>
        <v>0</v>
      </c>
    </row>
    <row r="15" spans="1:11" s="247" customFormat="1" x14ac:dyDescent="0.25">
      <c r="A15" s="34" t="s">
        <v>1211</v>
      </c>
      <c r="B15" s="251" t="s">
        <v>2108</v>
      </c>
      <c r="C15" s="370">
        <v>3</v>
      </c>
      <c r="D15" s="370">
        <v>1.83</v>
      </c>
      <c r="E15" s="370"/>
      <c r="F15" s="243">
        <f>C15*D15</f>
        <v>5.49</v>
      </c>
      <c r="G15" s="243">
        <f t="shared" ref="G15" si="8">F15</f>
        <v>5.49</v>
      </c>
      <c r="H15" s="252" t="s">
        <v>1076</v>
      </c>
      <c r="I15" s="253">
        <f t="shared" si="4"/>
        <v>0.9</v>
      </c>
      <c r="J15" s="254">
        <f>Insumos!D9</f>
        <v>0</v>
      </c>
      <c r="K15" s="254">
        <f t="shared" si="6"/>
        <v>0</v>
      </c>
    </row>
    <row r="16" spans="1:11" s="247" customFormat="1" x14ac:dyDescent="0.25">
      <c r="A16" s="34" t="s">
        <v>1212</v>
      </c>
      <c r="B16" s="251" t="s">
        <v>2109</v>
      </c>
      <c r="C16" s="369">
        <v>1.25</v>
      </c>
      <c r="D16" s="370">
        <f>8.25+6.05</f>
        <v>14.3</v>
      </c>
      <c r="E16" s="370"/>
      <c r="F16" s="243">
        <f>C16*D16</f>
        <v>17.875</v>
      </c>
      <c r="G16" s="243">
        <f t="shared" si="5"/>
        <v>17.875</v>
      </c>
      <c r="H16" s="252" t="s">
        <v>1076</v>
      </c>
      <c r="I16" s="253">
        <f t="shared" si="4"/>
        <v>0.9</v>
      </c>
      <c r="J16" s="254">
        <f>Insumos!D10</f>
        <v>0</v>
      </c>
      <c r="K16" s="254">
        <f t="shared" si="1"/>
        <v>0</v>
      </c>
    </row>
    <row r="17" spans="1:11" s="247" customFormat="1" x14ac:dyDescent="0.25">
      <c r="A17" s="34" t="s">
        <v>1213</v>
      </c>
      <c r="B17" s="251" t="s">
        <v>1254</v>
      </c>
      <c r="C17" s="370">
        <v>2</v>
      </c>
      <c r="D17" s="370">
        <f>D12+D13+D14+D16+D15</f>
        <v>36.099999999999994</v>
      </c>
      <c r="E17" s="370">
        <v>1.1000000000000001</v>
      </c>
      <c r="F17" s="243">
        <f>C17*D17*E17</f>
        <v>79.419999999999987</v>
      </c>
      <c r="G17" s="243">
        <f t="shared" si="5"/>
        <v>79.419999999999987</v>
      </c>
      <c r="H17" s="252" t="s">
        <v>1076</v>
      </c>
      <c r="I17" s="253">
        <f t="shared" si="4"/>
        <v>0.9</v>
      </c>
      <c r="J17" s="254">
        <f>Insumos!D31</f>
        <v>0</v>
      </c>
      <c r="K17" s="254">
        <f>TRUNC(I17*G17*J17,2)</f>
        <v>0</v>
      </c>
    </row>
    <row r="18" spans="1:11" s="247" customFormat="1" x14ac:dyDescent="0.25">
      <c r="A18" s="34" t="s">
        <v>1214</v>
      </c>
      <c r="B18" s="251" t="s">
        <v>1132</v>
      </c>
      <c r="C18" s="393"/>
      <c r="D18" s="370"/>
      <c r="E18" s="370"/>
      <c r="F18" s="243">
        <f>F17</f>
        <v>79.419999999999987</v>
      </c>
      <c r="G18" s="243">
        <f t="shared" si="5"/>
        <v>79.419999999999987</v>
      </c>
      <c r="H18" s="252" t="s">
        <v>1076</v>
      </c>
      <c r="I18" s="253">
        <f t="shared" si="4"/>
        <v>0.9</v>
      </c>
      <c r="J18" s="254">
        <f>Insumos!D33</f>
        <v>0</v>
      </c>
      <c r="K18" s="254">
        <f t="shared" si="1"/>
        <v>0</v>
      </c>
    </row>
    <row r="19" spans="1:11" s="247" customFormat="1" ht="30" x14ac:dyDescent="0.25">
      <c r="A19" s="34" t="s">
        <v>1215</v>
      </c>
      <c r="B19" s="255" t="s">
        <v>2135</v>
      </c>
      <c r="C19" s="369"/>
      <c r="D19" s="369"/>
      <c r="E19" s="369"/>
      <c r="F19" s="243">
        <f>F8</f>
        <v>1125</v>
      </c>
      <c r="G19" s="243">
        <f>F19</f>
        <v>1125</v>
      </c>
      <c r="H19" s="252" t="s">
        <v>1076</v>
      </c>
      <c r="I19" s="253">
        <f t="shared" si="4"/>
        <v>0.9</v>
      </c>
      <c r="J19" s="254">
        <f>Insumos!D28</f>
        <v>0</v>
      </c>
      <c r="K19" s="254">
        <f t="shared" si="1"/>
        <v>0</v>
      </c>
    </row>
    <row r="20" spans="1:11" x14ac:dyDescent="0.25">
      <c r="A20" s="152"/>
      <c r="B20" s="159"/>
      <c r="C20" s="387"/>
      <c r="D20" s="387"/>
      <c r="E20" s="387"/>
      <c r="F20" s="387"/>
      <c r="G20" s="154"/>
      <c r="H20" s="154"/>
      <c r="I20" s="154"/>
      <c r="J20" s="191" t="s">
        <v>1064</v>
      </c>
      <c r="K20" s="190">
        <f>SUM(K6:K19)</f>
        <v>0</v>
      </c>
    </row>
    <row r="21" spans="1:11" x14ac:dyDescent="0.25">
      <c r="A21" s="146" t="s">
        <v>64</v>
      </c>
      <c r="B21" s="179" t="s">
        <v>1219</v>
      </c>
      <c r="C21" s="388"/>
      <c r="D21" s="388"/>
      <c r="E21" s="388"/>
      <c r="F21" s="388"/>
      <c r="G21" s="148"/>
      <c r="H21" s="148"/>
      <c r="I21" s="148"/>
      <c r="J21" s="148"/>
      <c r="K21" s="188"/>
    </row>
    <row r="22" spans="1:11" x14ac:dyDescent="0.25">
      <c r="A22" s="611" t="s">
        <v>1196</v>
      </c>
      <c r="B22" s="612" t="s">
        <v>1067</v>
      </c>
      <c r="C22" s="637" t="s">
        <v>1197</v>
      </c>
      <c r="D22" s="638"/>
      <c r="E22" s="638"/>
      <c r="F22" s="639"/>
      <c r="G22" s="626" t="s">
        <v>14</v>
      </c>
      <c r="H22" s="636" t="s">
        <v>1068</v>
      </c>
      <c r="I22" s="608" t="s">
        <v>35</v>
      </c>
      <c r="J22" s="610" t="s">
        <v>1256</v>
      </c>
      <c r="K22" s="610" t="s">
        <v>16</v>
      </c>
    </row>
    <row r="23" spans="1:11" x14ac:dyDescent="0.25">
      <c r="A23" s="611"/>
      <c r="B23" s="612"/>
      <c r="C23" s="640"/>
      <c r="D23" s="641"/>
      <c r="E23" s="641"/>
      <c r="F23" s="642"/>
      <c r="G23" s="627"/>
      <c r="H23" s="636"/>
      <c r="I23" s="609"/>
      <c r="J23" s="610"/>
      <c r="K23" s="610"/>
    </row>
    <row r="24" spans="1:11" x14ac:dyDescent="0.25">
      <c r="A24" s="124" t="s">
        <v>1216</v>
      </c>
      <c r="B24" s="6" t="s">
        <v>1147</v>
      </c>
      <c r="C24" s="313"/>
      <c r="D24" s="313"/>
      <c r="E24" s="313"/>
      <c r="F24" s="313"/>
      <c r="G24" s="143">
        <v>10</v>
      </c>
      <c r="H24" s="166" t="s">
        <v>1221</v>
      </c>
      <c r="I24" s="150">
        <f>G24/SUM($G$24:$G$29)</f>
        <v>6.9444444444444448E-2</v>
      </c>
      <c r="J24" s="167">
        <f>Insumos!D49</f>
        <v>0</v>
      </c>
      <c r="K24" s="167">
        <f t="shared" ref="K24:K29" si="9">TRUNC(I24*G24*J24,2)</f>
        <v>0</v>
      </c>
    </row>
    <row r="25" spans="1:11" x14ac:dyDescent="0.25">
      <c r="A25" s="124" t="s">
        <v>1217</v>
      </c>
      <c r="B25" s="6" t="s">
        <v>1148</v>
      </c>
      <c r="C25" s="143"/>
      <c r="D25" s="143"/>
      <c r="E25" s="143"/>
      <c r="F25" s="143"/>
      <c r="G25" s="143">
        <v>10</v>
      </c>
      <c r="H25" s="166" t="s">
        <v>1221</v>
      </c>
      <c r="I25" s="150">
        <f t="shared" ref="I25:I29" si="10">G25/SUM($G$24:$G$29)</f>
        <v>6.9444444444444448E-2</v>
      </c>
      <c r="J25" s="167">
        <f>Insumos!D50</f>
        <v>0</v>
      </c>
      <c r="K25" s="167">
        <f t="shared" si="9"/>
        <v>0</v>
      </c>
    </row>
    <row r="26" spans="1:11" x14ac:dyDescent="0.25">
      <c r="A26" s="124" t="s">
        <v>1220</v>
      </c>
      <c r="B26" s="6" t="s">
        <v>1149</v>
      </c>
      <c r="C26" s="143"/>
      <c r="D26" s="143"/>
      <c r="E26" s="143"/>
      <c r="F26" s="143"/>
      <c r="G26" s="143">
        <v>10</v>
      </c>
      <c r="H26" s="166" t="s">
        <v>1221</v>
      </c>
      <c r="I26" s="150">
        <f t="shared" si="10"/>
        <v>6.9444444444444448E-2</v>
      </c>
      <c r="J26" s="167">
        <f>Insumos!D51</f>
        <v>0</v>
      </c>
      <c r="K26" s="167">
        <f t="shared" si="9"/>
        <v>0</v>
      </c>
    </row>
    <row r="27" spans="1:11" x14ac:dyDescent="0.25">
      <c r="A27" s="124" t="s">
        <v>1222</v>
      </c>
      <c r="B27" s="6" t="s">
        <v>1150</v>
      </c>
      <c r="C27" s="143"/>
      <c r="D27" s="143"/>
      <c r="E27" s="143"/>
      <c r="F27" s="143"/>
      <c r="G27" s="143">
        <v>60</v>
      </c>
      <c r="H27" s="166" t="s">
        <v>1151</v>
      </c>
      <c r="I27" s="150">
        <f t="shared" si="10"/>
        <v>0.41666666666666669</v>
      </c>
      <c r="J27" s="167">
        <f>Insumos!D52</f>
        <v>0</v>
      </c>
      <c r="K27" s="167">
        <f t="shared" si="9"/>
        <v>0</v>
      </c>
    </row>
    <row r="28" spans="1:11" x14ac:dyDescent="0.25">
      <c r="A28" s="124" t="s">
        <v>1223</v>
      </c>
      <c r="B28" s="6" t="s">
        <v>1152</v>
      </c>
      <c r="C28" s="143"/>
      <c r="D28" s="143"/>
      <c r="E28" s="143"/>
      <c r="F28" s="143"/>
      <c r="G28" s="143">
        <v>4</v>
      </c>
      <c r="H28" s="166" t="s">
        <v>1124</v>
      </c>
      <c r="I28" s="150">
        <f t="shared" si="10"/>
        <v>2.7777777777777776E-2</v>
      </c>
      <c r="J28" s="167">
        <f>Insumos!D53</f>
        <v>0</v>
      </c>
      <c r="K28" s="167">
        <f t="shared" si="9"/>
        <v>0</v>
      </c>
    </row>
    <row r="29" spans="1:11" x14ac:dyDescent="0.25">
      <c r="A29" s="124" t="s">
        <v>1224</v>
      </c>
      <c r="B29" s="6" t="s">
        <v>1248</v>
      </c>
      <c r="C29" s="143"/>
      <c r="D29" s="143"/>
      <c r="E29" s="143"/>
      <c r="F29" s="143"/>
      <c r="G29" s="143">
        <v>50</v>
      </c>
      <c r="H29" s="166" t="s">
        <v>1154</v>
      </c>
      <c r="I29" s="150">
        <f t="shared" si="10"/>
        <v>0.34722222222222221</v>
      </c>
      <c r="J29" s="167">
        <f>Insumos!D54</f>
        <v>0</v>
      </c>
      <c r="K29" s="167">
        <f t="shared" si="9"/>
        <v>0</v>
      </c>
    </row>
    <row r="30" spans="1:11" x14ac:dyDescent="0.25">
      <c r="A30" s="152"/>
      <c r="B30" s="159"/>
      <c r="C30" s="154"/>
      <c r="D30" s="154"/>
      <c r="E30" s="154"/>
      <c r="F30" s="154"/>
      <c r="G30" s="154"/>
      <c r="H30" s="157"/>
      <c r="I30" s="157"/>
      <c r="J30" s="192" t="s">
        <v>1064</v>
      </c>
      <c r="K30" s="193">
        <f>SUM(K24:K29)</f>
        <v>0</v>
      </c>
    </row>
    <row r="31" spans="1:11" x14ac:dyDescent="0.25">
      <c r="A31" s="146" t="s">
        <v>66</v>
      </c>
      <c r="B31" s="179" t="s">
        <v>1155</v>
      </c>
      <c r="C31" s="148"/>
      <c r="D31" s="148"/>
      <c r="E31" s="148"/>
      <c r="F31" s="148"/>
      <c r="G31" s="148"/>
      <c r="H31" s="148"/>
      <c r="I31" s="148"/>
      <c r="J31" s="148"/>
      <c r="K31" s="188"/>
    </row>
    <row r="32" spans="1:11" x14ac:dyDescent="0.25">
      <c r="A32" s="611" t="s">
        <v>1196</v>
      </c>
      <c r="B32" s="612" t="s">
        <v>1067</v>
      </c>
      <c r="C32" s="613" t="s">
        <v>1197</v>
      </c>
      <c r="D32" s="614"/>
      <c r="E32" s="614"/>
      <c r="F32" s="615"/>
      <c r="G32" s="619" t="s">
        <v>14</v>
      </c>
      <c r="H32" s="610" t="s">
        <v>1068</v>
      </c>
      <c r="I32" s="608" t="s">
        <v>35</v>
      </c>
      <c r="J32" s="610" t="s">
        <v>1256</v>
      </c>
      <c r="K32" s="610" t="s">
        <v>16</v>
      </c>
    </row>
    <row r="33" spans="1:11" x14ac:dyDescent="0.25">
      <c r="A33" s="611"/>
      <c r="B33" s="612"/>
      <c r="C33" s="616"/>
      <c r="D33" s="617"/>
      <c r="E33" s="617"/>
      <c r="F33" s="618"/>
      <c r="G33" s="620"/>
      <c r="H33" s="610"/>
      <c r="I33" s="609"/>
      <c r="J33" s="610"/>
      <c r="K33" s="610"/>
    </row>
    <row r="34" spans="1:11" x14ac:dyDescent="0.25">
      <c r="A34" s="124" t="s">
        <v>1225</v>
      </c>
      <c r="B34" s="104" t="s">
        <v>1156</v>
      </c>
      <c r="C34" s="143"/>
      <c r="D34" s="143"/>
      <c r="E34" s="143"/>
      <c r="F34" s="143"/>
      <c r="G34" s="143">
        <f>G19/60</f>
        <v>18.75</v>
      </c>
      <c r="H34" s="140" t="s">
        <v>1228</v>
      </c>
      <c r="I34" s="150">
        <f>G34/SUM($G$34:$G$44)</f>
        <v>1.3229352584610252E-2</v>
      </c>
      <c r="J34" s="167">
        <f>Insumos!D58</f>
        <v>0</v>
      </c>
      <c r="K34" s="167">
        <f t="shared" ref="K34:K44" si="11">TRUNC(I34*G34*J34,2)</f>
        <v>0</v>
      </c>
    </row>
    <row r="35" spans="1:11" x14ac:dyDescent="0.25">
      <c r="A35" s="124" t="s">
        <v>1226</v>
      </c>
      <c r="B35" s="104" t="s">
        <v>1171</v>
      </c>
      <c r="C35" s="143"/>
      <c r="D35" s="143"/>
      <c r="E35" s="143"/>
      <c r="F35" s="143"/>
      <c r="G35" s="243">
        <f>F8+F18</f>
        <v>1204.42</v>
      </c>
      <c r="H35" s="140" t="s">
        <v>1089</v>
      </c>
      <c r="I35" s="150">
        <f t="shared" ref="I35:I44" si="12">G35/SUM($G$34:$G$44)</f>
        <v>0.84979716479766831</v>
      </c>
      <c r="J35" s="167">
        <f>Insumos!D69</f>
        <v>0</v>
      </c>
      <c r="K35" s="167">
        <f t="shared" si="11"/>
        <v>0</v>
      </c>
    </row>
    <row r="36" spans="1:11" x14ac:dyDescent="0.25">
      <c r="A36" s="124" t="s">
        <v>1227</v>
      </c>
      <c r="B36" s="104" t="s">
        <v>1158</v>
      </c>
      <c r="C36" s="143"/>
      <c r="D36" s="143"/>
      <c r="E36" s="143"/>
      <c r="F36" s="143"/>
      <c r="G36" s="143">
        <f>G35*0.21/3.6</f>
        <v>70.257833333333338</v>
      </c>
      <c r="H36" s="140" t="s">
        <v>1159</v>
      </c>
      <c r="I36" s="150">
        <f t="shared" si="12"/>
        <v>4.9571501279863983E-2</v>
      </c>
      <c r="J36" s="167">
        <f>Insumos!D60</f>
        <v>0</v>
      </c>
      <c r="K36" s="167">
        <f t="shared" si="11"/>
        <v>0</v>
      </c>
    </row>
    <row r="37" spans="1:11" x14ac:dyDescent="0.25">
      <c r="A37" s="124" t="s">
        <v>1229</v>
      </c>
      <c r="B37" s="104" t="s">
        <v>1160</v>
      </c>
      <c r="C37" s="143"/>
      <c r="D37" s="143"/>
      <c r="E37" s="143"/>
      <c r="F37" s="143"/>
      <c r="G37" s="143">
        <f>G36</f>
        <v>70.257833333333338</v>
      </c>
      <c r="H37" s="140" t="s">
        <v>1159</v>
      </c>
      <c r="I37" s="150">
        <f t="shared" si="12"/>
        <v>4.9571501279863983E-2</v>
      </c>
      <c r="J37" s="167">
        <f>Insumos!D61</f>
        <v>0</v>
      </c>
      <c r="K37" s="167">
        <f t="shared" si="11"/>
        <v>0</v>
      </c>
    </row>
    <row r="38" spans="1:11" x14ac:dyDescent="0.25">
      <c r="A38" s="124" t="s">
        <v>1231</v>
      </c>
      <c r="B38" s="104" t="s">
        <v>1161</v>
      </c>
      <c r="C38" s="143"/>
      <c r="D38" s="143"/>
      <c r="E38" s="143"/>
      <c r="F38" s="143"/>
      <c r="G38" s="143">
        <f>G35*0.021</f>
        <v>25.292820000000003</v>
      </c>
      <c r="H38" s="140" t="s">
        <v>1162</v>
      </c>
      <c r="I38" s="150">
        <f t="shared" si="12"/>
        <v>1.7845740460751033E-2</v>
      </c>
      <c r="J38" s="167">
        <f>Insumos!D62</f>
        <v>0</v>
      </c>
      <c r="K38" s="167">
        <f t="shared" si="11"/>
        <v>0</v>
      </c>
    </row>
    <row r="39" spans="1:11" x14ac:dyDescent="0.25">
      <c r="A39" s="124" t="s">
        <v>1232</v>
      </c>
      <c r="B39" s="104" t="s">
        <v>1163</v>
      </c>
      <c r="C39" s="143"/>
      <c r="D39" s="143"/>
      <c r="E39" s="143"/>
      <c r="F39" s="143"/>
      <c r="G39" s="143">
        <v>8</v>
      </c>
      <c r="H39" s="140" t="s">
        <v>1068</v>
      </c>
      <c r="I39" s="150">
        <f t="shared" si="12"/>
        <v>5.6445237694337071E-3</v>
      </c>
      <c r="J39" s="167">
        <f>Insumos!D63</f>
        <v>0</v>
      </c>
      <c r="K39" s="167">
        <f t="shared" si="11"/>
        <v>0</v>
      </c>
    </row>
    <row r="40" spans="1:11" x14ac:dyDescent="0.25">
      <c r="A40" s="124" t="s">
        <v>1233</v>
      </c>
      <c r="B40" s="104" t="s">
        <v>1164</v>
      </c>
      <c r="C40" s="143"/>
      <c r="D40" s="143"/>
      <c r="E40" s="143"/>
      <c r="F40" s="143"/>
      <c r="G40" s="143">
        <v>4</v>
      </c>
      <c r="H40" s="140" t="s">
        <v>1068</v>
      </c>
      <c r="I40" s="150">
        <f t="shared" si="12"/>
        <v>2.8222618847168536E-3</v>
      </c>
      <c r="J40" s="167">
        <f>Insumos!D64</f>
        <v>0</v>
      </c>
      <c r="K40" s="167">
        <f t="shared" si="11"/>
        <v>0</v>
      </c>
    </row>
    <row r="41" spans="1:11" x14ac:dyDescent="0.25">
      <c r="A41" s="124" t="s">
        <v>1234</v>
      </c>
      <c r="B41" s="104" t="s">
        <v>1165</v>
      </c>
      <c r="C41" s="143"/>
      <c r="D41" s="143"/>
      <c r="E41" s="143"/>
      <c r="F41" s="143"/>
      <c r="G41" s="143">
        <v>6</v>
      </c>
      <c r="H41" s="140" t="s">
        <v>1068</v>
      </c>
      <c r="I41" s="150">
        <f t="shared" si="12"/>
        <v>4.2333928270752805E-3</v>
      </c>
      <c r="J41" s="167">
        <f>Insumos!D65</f>
        <v>0</v>
      </c>
      <c r="K41" s="167">
        <f t="shared" si="11"/>
        <v>0</v>
      </c>
    </row>
    <row r="42" spans="1:11" x14ac:dyDescent="0.25">
      <c r="A42" s="124" t="s">
        <v>1235</v>
      </c>
      <c r="B42" s="104" t="s">
        <v>1166</v>
      </c>
      <c r="C42" s="143"/>
      <c r="D42" s="143"/>
      <c r="E42" s="143"/>
      <c r="F42" s="143"/>
      <c r="G42" s="143">
        <v>4.6526399999999999</v>
      </c>
      <c r="H42" s="140" t="s">
        <v>1096</v>
      </c>
      <c r="I42" s="150">
        <f t="shared" si="12"/>
        <v>3.2827421338272552E-3</v>
      </c>
      <c r="J42" s="167">
        <f>Insumos!D66</f>
        <v>0</v>
      </c>
      <c r="K42" s="167">
        <f t="shared" si="11"/>
        <v>0</v>
      </c>
    </row>
    <row r="43" spans="1:11" x14ac:dyDescent="0.25">
      <c r="A43" s="124" t="s">
        <v>1236</v>
      </c>
      <c r="B43" s="104" t="s">
        <v>1167</v>
      </c>
      <c r="C43" s="143"/>
      <c r="D43" s="143"/>
      <c r="E43" s="143"/>
      <c r="F43" s="143"/>
      <c r="G43" s="143">
        <v>3.5448685714285717</v>
      </c>
      <c r="H43" s="140" t="s">
        <v>1168</v>
      </c>
      <c r="I43" s="150">
        <f t="shared" si="12"/>
        <v>2.5011368638683854E-3</v>
      </c>
      <c r="J43" s="167">
        <f>Insumos!D67</f>
        <v>0</v>
      </c>
      <c r="K43" s="167">
        <f t="shared" si="11"/>
        <v>0</v>
      </c>
    </row>
    <row r="44" spans="1:11" x14ac:dyDescent="0.25">
      <c r="A44" s="124" t="s">
        <v>1237</v>
      </c>
      <c r="B44" s="104" t="s">
        <v>1240</v>
      </c>
      <c r="C44" s="143"/>
      <c r="D44" s="143"/>
      <c r="E44" s="143"/>
      <c r="F44" s="143"/>
      <c r="G44" s="143">
        <v>2.1269211428571428</v>
      </c>
      <c r="H44" s="140" t="s">
        <v>1170</v>
      </c>
      <c r="I44" s="150">
        <f t="shared" si="12"/>
        <v>1.5006821183210311E-3</v>
      </c>
      <c r="J44" s="167">
        <f>Insumos!D68</f>
        <v>0</v>
      </c>
      <c r="K44" s="167">
        <f t="shared" si="11"/>
        <v>0</v>
      </c>
    </row>
    <row r="45" spans="1:11" x14ac:dyDescent="0.25">
      <c r="A45" s="152"/>
      <c r="B45" s="159"/>
      <c r="C45" s="159"/>
      <c r="D45" s="159"/>
      <c r="E45" s="159"/>
      <c r="F45" s="159"/>
      <c r="G45" s="159"/>
      <c r="H45" s="159"/>
      <c r="I45" s="159"/>
      <c r="J45" s="170" t="s">
        <v>1064</v>
      </c>
      <c r="K45" s="194">
        <f>SUM(K34:K44)</f>
        <v>0</v>
      </c>
    </row>
    <row r="46" spans="1:11" x14ac:dyDescent="0.25">
      <c r="A46" s="146" t="s">
        <v>67</v>
      </c>
      <c r="B46" s="179" t="s">
        <v>1176</v>
      </c>
      <c r="C46" s="148"/>
      <c r="D46" s="148"/>
      <c r="E46" s="148"/>
      <c r="F46" s="148"/>
      <c r="G46" s="148"/>
      <c r="H46" s="148"/>
      <c r="I46" s="148"/>
      <c r="J46" s="148"/>
      <c r="K46" s="188"/>
    </row>
    <row r="47" spans="1:11" x14ac:dyDescent="0.25">
      <c r="A47" s="611" t="s">
        <v>1196</v>
      </c>
      <c r="B47" s="612" t="s">
        <v>1067</v>
      </c>
      <c r="C47" s="613" t="s">
        <v>1197</v>
      </c>
      <c r="D47" s="614"/>
      <c r="E47" s="614"/>
      <c r="F47" s="615"/>
      <c r="G47" s="619" t="s">
        <v>14</v>
      </c>
      <c r="H47" s="636" t="s">
        <v>1068</v>
      </c>
      <c r="I47" s="608" t="s">
        <v>35</v>
      </c>
      <c r="J47" s="610" t="s">
        <v>1249</v>
      </c>
      <c r="K47" s="610" t="s">
        <v>16</v>
      </c>
    </row>
    <row r="48" spans="1:11" x14ac:dyDescent="0.25">
      <c r="A48" s="611"/>
      <c r="B48" s="612"/>
      <c r="C48" s="616"/>
      <c r="D48" s="617"/>
      <c r="E48" s="617"/>
      <c r="F48" s="618"/>
      <c r="G48" s="620"/>
      <c r="H48" s="636"/>
      <c r="I48" s="609"/>
      <c r="J48" s="610"/>
      <c r="K48" s="610"/>
    </row>
    <row r="49" spans="1:11" x14ac:dyDescent="0.25">
      <c r="A49" s="124" t="s">
        <v>1238</v>
      </c>
      <c r="B49" s="6" t="s">
        <v>1242</v>
      </c>
      <c r="C49" s="605"/>
      <c r="D49" s="606"/>
      <c r="E49" s="606"/>
      <c r="F49" s="607"/>
      <c r="G49" s="143">
        <v>10</v>
      </c>
      <c r="H49" s="166" t="s">
        <v>1140</v>
      </c>
      <c r="I49" s="140">
        <v>5</v>
      </c>
      <c r="J49" s="167">
        <f>Insumos!D75</f>
        <v>0</v>
      </c>
      <c r="K49" s="167">
        <f>TRUNC(I49*G49*J49,2)</f>
        <v>0</v>
      </c>
    </row>
    <row r="50" spans="1:11" x14ac:dyDescent="0.25">
      <c r="A50" s="152"/>
      <c r="B50" s="159"/>
      <c r="C50" s="159"/>
      <c r="D50" s="159"/>
      <c r="E50" s="159"/>
      <c r="F50" s="159"/>
      <c r="G50" s="159"/>
      <c r="H50" s="159"/>
      <c r="I50" s="159"/>
      <c r="J50" s="170" t="s">
        <v>1064</v>
      </c>
      <c r="K50" s="175">
        <f>SUM(K49)</f>
        <v>0</v>
      </c>
    </row>
    <row r="51" spans="1:11" x14ac:dyDescent="0.25">
      <c r="A51" s="146" t="s">
        <v>68</v>
      </c>
      <c r="B51" s="179" t="s">
        <v>1178</v>
      </c>
      <c r="C51" s="148"/>
      <c r="D51" s="148"/>
      <c r="E51" s="148"/>
      <c r="F51" s="148"/>
      <c r="G51" s="148"/>
      <c r="H51" s="148"/>
      <c r="I51" s="148"/>
      <c r="J51" s="148"/>
      <c r="K51" s="188"/>
    </row>
    <row r="52" spans="1:11" x14ac:dyDescent="0.25">
      <c r="A52" s="611" t="s">
        <v>1196</v>
      </c>
      <c r="B52" s="612" t="s">
        <v>1067</v>
      </c>
      <c r="C52" s="613" t="s">
        <v>1197</v>
      </c>
      <c r="D52" s="614"/>
      <c r="E52" s="614"/>
      <c r="F52" s="615"/>
      <c r="G52" s="619" t="s">
        <v>14</v>
      </c>
      <c r="H52" s="636" t="s">
        <v>1068</v>
      </c>
      <c r="I52" s="608" t="s">
        <v>35</v>
      </c>
      <c r="J52" s="610" t="s">
        <v>1249</v>
      </c>
      <c r="K52" s="610" t="s">
        <v>16</v>
      </c>
    </row>
    <row r="53" spans="1:11" x14ac:dyDescent="0.25">
      <c r="A53" s="611"/>
      <c r="B53" s="612"/>
      <c r="C53" s="616"/>
      <c r="D53" s="617"/>
      <c r="E53" s="617"/>
      <c r="F53" s="618"/>
      <c r="G53" s="620"/>
      <c r="H53" s="636"/>
      <c r="I53" s="609"/>
      <c r="J53" s="610"/>
      <c r="K53" s="610"/>
    </row>
    <row r="54" spans="1:11" x14ac:dyDescent="0.25">
      <c r="A54" s="124" t="s">
        <v>1239</v>
      </c>
      <c r="B54" s="104" t="s">
        <v>1244</v>
      </c>
      <c r="C54" s="605"/>
      <c r="D54" s="606"/>
      <c r="E54" s="606"/>
      <c r="F54" s="607"/>
      <c r="G54" s="143">
        <v>10</v>
      </c>
      <c r="H54" s="166" t="s">
        <v>1140</v>
      </c>
      <c r="I54" s="140">
        <v>5</v>
      </c>
      <c r="J54" s="167">
        <f>Insumos!D78</f>
        <v>0</v>
      </c>
      <c r="K54" s="167">
        <f>TRUNC(I54*G54*J54,2)</f>
        <v>0</v>
      </c>
    </row>
    <row r="55" spans="1:11" x14ac:dyDescent="0.25">
      <c r="A55" s="152"/>
      <c r="B55" s="159"/>
      <c r="C55" s="159"/>
      <c r="D55" s="159"/>
      <c r="E55" s="159"/>
      <c r="F55" s="159"/>
      <c r="G55" s="159"/>
      <c r="H55" s="159"/>
      <c r="I55" s="159"/>
      <c r="J55" s="170" t="s">
        <v>1064</v>
      </c>
      <c r="K55" s="175">
        <f>SUM(K54)</f>
        <v>0</v>
      </c>
    </row>
    <row r="56" spans="1:11" x14ac:dyDescent="0.25">
      <c r="A56" s="146" t="s">
        <v>69</v>
      </c>
      <c r="B56" s="179" t="s">
        <v>1180</v>
      </c>
      <c r="C56" s="148"/>
      <c r="D56" s="148"/>
      <c r="E56" s="148"/>
      <c r="F56" s="148"/>
      <c r="G56" s="148"/>
      <c r="H56" s="148"/>
      <c r="I56" s="148"/>
      <c r="J56" s="148"/>
      <c r="K56" s="188"/>
    </row>
    <row r="57" spans="1:11" x14ac:dyDescent="0.25">
      <c r="A57" s="611" t="s">
        <v>1196</v>
      </c>
      <c r="B57" s="612" t="s">
        <v>1067</v>
      </c>
      <c r="C57" s="613" t="s">
        <v>1197</v>
      </c>
      <c r="D57" s="614"/>
      <c r="E57" s="614"/>
      <c r="F57" s="615"/>
      <c r="G57" s="619" t="s">
        <v>14</v>
      </c>
      <c r="H57" s="636" t="s">
        <v>1068</v>
      </c>
      <c r="I57" s="608" t="s">
        <v>35</v>
      </c>
      <c r="J57" s="610" t="s">
        <v>1249</v>
      </c>
      <c r="K57" s="610" t="s">
        <v>16</v>
      </c>
    </row>
    <row r="58" spans="1:11" x14ac:dyDescent="0.25">
      <c r="A58" s="611"/>
      <c r="B58" s="612"/>
      <c r="C58" s="616"/>
      <c r="D58" s="617"/>
      <c r="E58" s="617"/>
      <c r="F58" s="618"/>
      <c r="G58" s="620"/>
      <c r="H58" s="636"/>
      <c r="I58" s="609"/>
      <c r="J58" s="610"/>
      <c r="K58" s="610"/>
    </row>
    <row r="59" spans="1:11" x14ac:dyDescent="0.25">
      <c r="A59" s="124" t="s">
        <v>1241</v>
      </c>
      <c r="B59" s="6" t="s">
        <v>1181</v>
      </c>
      <c r="C59" s="605"/>
      <c r="D59" s="606"/>
      <c r="E59" s="606"/>
      <c r="F59" s="607"/>
      <c r="G59" s="143">
        <v>5</v>
      </c>
      <c r="H59" s="166" t="s">
        <v>1140</v>
      </c>
      <c r="I59" s="150">
        <f>G59/SUM($G$59:$G$61)</f>
        <v>0.33333333333333331</v>
      </c>
      <c r="J59" s="167">
        <f>Insumos!D81</f>
        <v>0</v>
      </c>
      <c r="K59" s="167">
        <f>TRUNC(I59*G59*J59,2)</f>
        <v>0</v>
      </c>
    </row>
    <row r="60" spans="1:11" x14ac:dyDescent="0.25">
      <c r="A60" s="124" t="s">
        <v>1243</v>
      </c>
      <c r="B60" s="6" t="s">
        <v>1182</v>
      </c>
      <c r="C60" s="605"/>
      <c r="D60" s="606"/>
      <c r="E60" s="606"/>
      <c r="F60" s="607"/>
      <c r="G60" s="143">
        <v>5</v>
      </c>
      <c r="H60" s="166" t="s">
        <v>1140</v>
      </c>
      <c r="I60" s="150">
        <f t="shared" ref="I60:I61" si="13">G60/SUM($G$59:$G$61)</f>
        <v>0.33333333333333331</v>
      </c>
      <c r="J60" s="167">
        <f>Insumos!D82</f>
        <v>0</v>
      </c>
      <c r="K60" s="167">
        <f>TRUNC(I60*G60*J60,2)</f>
        <v>0</v>
      </c>
    </row>
    <row r="61" spans="1:11" x14ac:dyDescent="0.25">
      <c r="A61" s="124" t="s">
        <v>1245</v>
      </c>
      <c r="B61" s="6" t="s">
        <v>1183</v>
      </c>
      <c r="C61" s="605"/>
      <c r="D61" s="606"/>
      <c r="E61" s="606"/>
      <c r="F61" s="607"/>
      <c r="G61" s="143">
        <v>5</v>
      </c>
      <c r="H61" s="166" t="s">
        <v>1140</v>
      </c>
      <c r="I61" s="150">
        <f t="shared" si="13"/>
        <v>0.33333333333333331</v>
      </c>
      <c r="J61" s="167">
        <f>Insumos!D83</f>
        <v>0</v>
      </c>
      <c r="K61" s="167">
        <f>TRUNC(I61*G61*J61,2)</f>
        <v>0</v>
      </c>
    </row>
    <row r="62" spans="1:11" x14ac:dyDescent="0.25">
      <c r="A62" s="152"/>
      <c r="B62" s="159"/>
      <c r="C62" s="159"/>
      <c r="D62" s="159"/>
      <c r="E62" s="159"/>
      <c r="F62" s="159"/>
      <c r="G62" s="159"/>
      <c r="H62" s="159"/>
      <c r="I62" s="159"/>
      <c r="J62" s="170" t="s">
        <v>1064</v>
      </c>
      <c r="K62" s="175">
        <f>SUM(K59:K61)</f>
        <v>0</v>
      </c>
    </row>
  </sheetData>
  <mergeCells count="56">
    <mergeCell ref="A1:K1"/>
    <mergeCell ref="B2:K2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A22:A23"/>
    <mergeCell ref="B22:B23"/>
    <mergeCell ref="C22:F23"/>
    <mergeCell ref="G22:G23"/>
    <mergeCell ref="H22:H23"/>
    <mergeCell ref="I22:I23"/>
    <mergeCell ref="J22:J23"/>
    <mergeCell ref="K22:K23"/>
    <mergeCell ref="J32:J33"/>
    <mergeCell ref="K32:K33"/>
    <mergeCell ref="I47:I48"/>
    <mergeCell ref="J47:J48"/>
    <mergeCell ref="K47:K48"/>
    <mergeCell ref="A32:A33"/>
    <mergeCell ref="B32:B33"/>
    <mergeCell ref="C32:F33"/>
    <mergeCell ref="G32:G33"/>
    <mergeCell ref="H32:H33"/>
    <mergeCell ref="I32:I33"/>
    <mergeCell ref="A47:A48"/>
    <mergeCell ref="B47:B48"/>
    <mergeCell ref="C47:F48"/>
    <mergeCell ref="G47:G48"/>
    <mergeCell ref="H47:H48"/>
    <mergeCell ref="C49:F49"/>
    <mergeCell ref="A52:A53"/>
    <mergeCell ref="B52:B53"/>
    <mergeCell ref="C52:F53"/>
    <mergeCell ref="G52:G53"/>
    <mergeCell ref="K52:K53"/>
    <mergeCell ref="C54:F54"/>
    <mergeCell ref="A57:A58"/>
    <mergeCell ref="B57:B58"/>
    <mergeCell ref="C57:F58"/>
    <mergeCell ref="G57:G58"/>
    <mergeCell ref="H57:H58"/>
    <mergeCell ref="I57:I58"/>
    <mergeCell ref="H52:H53"/>
    <mergeCell ref="J57:J58"/>
    <mergeCell ref="K57:K58"/>
    <mergeCell ref="C59:F59"/>
    <mergeCell ref="C60:F60"/>
    <mergeCell ref="C61:F61"/>
    <mergeCell ref="I52:I53"/>
    <mergeCell ref="J52:J53"/>
  </mergeCells>
  <pageMargins left="0.511811024" right="0.511811024" top="0.78740157499999996" bottom="0.78740157499999996" header="0.31496062000000002" footer="0.31496062000000002"/>
  <pageSetup paperSize="9" scale="53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6"/>
  <sheetViews>
    <sheetView view="pageBreakPreview" topLeftCell="A41" zoomScale="80" zoomScaleNormal="85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65.28515625" customWidth="1"/>
    <col min="3" max="4" width="8.42578125" customWidth="1"/>
    <col min="5" max="5" width="7.7109375" customWidth="1"/>
    <col min="6" max="7" width="10.85546875" customWidth="1"/>
    <col min="8" max="8" width="9.5703125" customWidth="1"/>
    <col min="10" max="10" width="16" bestFit="1" customWidth="1"/>
    <col min="11" max="11" width="16.8554687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4</v>
      </c>
      <c r="B2" s="631" t="s">
        <v>1919</v>
      </c>
      <c r="C2" s="632"/>
      <c r="D2" s="632"/>
      <c r="E2" s="632"/>
      <c r="F2" s="632"/>
      <c r="G2" s="632"/>
      <c r="H2" s="632"/>
      <c r="I2" s="632"/>
      <c r="J2" s="632"/>
      <c r="K2" s="633"/>
    </row>
    <row r="3" spans="1:11" x14ac:dyDescent="0.25">
      <c r="A3" s="146" t="s">
        <v>1803</v>
      </c>
      <c r="B3" s="621" t="s">
        <v>1252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36" t="s">
        <v>1068</v>
      </c>
      <c r="I4" s="608" t="s">
        <v>35</v>
      </c>
      <c r="J4" s="610" t="s">
        <v>1256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36"/>
      <c r="I5" s="609"/>
      <c r="J5" s="610"/>
      <c r="K5" s="610"/>
    </row>
    <row r="6" spans="1:11" s="247" customFormat="1" x14ac:dyDescent="0.25">
      <c r="A6" s="34" t="s">
        <v>1202</v>
      </c>
      <c r="B6" s="251" t="s">
        <v>1109</v>
      </c>
      <c r="C6" s="369">
        <v>15</v>
      </c>
      <c r="D6" s="369">
        <v>30</v>
      </c>
      <c r="E6" s="369"/>
      <c r="F6" s="369">
        <f>C6*D6</f>
        <v>450</v>
      </c>
      <c r="G6" s="243">
        <f t="shared" ref="G6:G17" si="0">F6</f>
        <v>450</v>
      </c>
      <c r="H6" s="252" t="s">
        <v>1076</v>
      </c>
      <c r="I6" s="253">
        <v>0.7</v>
      </c>
      <c r="J6" s="254">
        <f>Insumos!D19</f>
        <v>0</v>
      </c>
      <c r="K6" s="254">
        <f t="shared" ref="K6:K21" si="1">TRUNC(I6*G6*J6,2)</f>
        <v>0</v>
      </c>
    </row>
    <row r="7" spans="1:11" s="247" customFormat="1" x14ac:dyDescent="0.25">
      <c r="A7" s="34" t="s">
        <v>1203</v>
      </c>
      <c r="B7" s="251" t="s">
        <v>1251</v>
      </c>
      <c r="C7" s="369">
        <v>15</v>
      </c>
      <c r="D7" s="369">
        <v>30</v>
      </c>
      <c r="E7" s="369"/>
      <c r="F7" s="369">
        <f>C7*D7</f>
        <v>450</v>
      </c>
      <c r="G7" s="243">
        <f t="shared" si="0"/>
        <v>450</v>
      </c>
      <c r="H7" s="252" t="s">
        <v>1076</v>
      </c>
      <c r="I7" s="253">
        <v>0.7</v>
      </c>
      <c r="J7" s="254">
        <f>Insumos!D6</f>
        <v>0</v>
      </c>
      <c r="K7" s="254">
        <f t="shared" si="1"/>
        <v>0</v>
      </c>
    </row>
    <row r="8" spans="1:11" s="247" customFormat="1" x14ac:dyDescent="0.25">
      <c r="A8" s="34" t="s">
        <v>1204</v>
      </c>
      <c r="B8" s="251" t="s">
        <v>1964</v>
      </c>
      <c r="C8" s="369">
        <v>5</v>
      </c>
      <c r="D8" s="369">
        <v>30</v>
      </c>
      <c r="E8" s="369"/>
      <c r="F8" s="369">
        <f>C8*D8</f>
        <v>150</v>
      </c>
      <c r="G8" s="243">
        <f t="shared" si="0"/>
        <v>150</v>
      </c>
      <c r="H8" s="252" t="s">
        <v>1076</v>
      </c>
      <c r="I8" s="253">
        <v>0.7</v>
      </c>
      <c r="J8" s="254">
        <f>Insumos!D7</f>
        <v>0</v>
      </c>
      <c r="K8" s="254">
        <f t="shared" si="1"/>
        <v>0</v>
      </c>
    </row>
    <row r="9" spans="1:11" s="247" customFormat="1" x14ac:dyDescent="0.25">
      <c r="A9" s="34" t="s">
        <v>1205</v>
      </c>
      <c r="B9" s="255" t="s">
        <v>1963</v>
      </c>
      <c r="C9" s="369">
        <v>10</v>
      </c>
      <c r="D9" s="370">
        <v>30</v>
      </c>
      <c r="E9" s="369"/>
      <c r="F9" s="369">
        <f>C9*D9</f>
        <v>300</v>
      </c>
      <c r="G9" s="243">
        <f t="shared" ref="G9" si="2">F9</f>
        <v>300</v>
      </c>
      <c r="H9" s="252" t="s">
        <v>1076</v>
      </c>
      <c r="I9" s="253">
        <v>0.7</v>
      </c>
      <c r="J9" s="254">
        <f>Insumos!D7</f>
        <v>0</v>
      </c>
      <c r="K9" s="254">
        <f>TRUNC(I9*G9*J9,2)</f>
        <v>0</v>
      </c>
    </row>
    <row r="10" spans="1:11" s="247" customFormat="1" x14ac:dyDescent="0.25">
      <c r="A10" s="34" t="s">
        <v>1206</v>
      </c>
      <c r="B10" s="255" t="s">
        <v>1961</v>
      </c>
      <c r="C10" s="369">
        <v>8</v>
      </c>
      <c r="D10" s="370">
        <v>30</v>
      </c>
      <c r="E10" s="369"/>
      <c r="F10" s="369">
        <f>C10*D10</f>
        <v>240</v>
      </c>
      <c r="G10" s="243">
        <f>F10</f>
        <v>240</v>
      </c>
      <c r="H10" s="252" t="s">
        <v>1076</v>
      </c>
      <c r="I10" s="253">
        <v>0.7</v>
      </c>
      <c r="J10" s="254">
        <f>Insumos!D7</f>
        <v>0</v>
      </c>
      <c r="K10" s="254">
        <f>TRUNC(I10*G10*J10,2)</f>
        <v>0</v>
      </c>
    </row>
    <row r="11" spans="1:11" s="247" customFormat="1" x14ac:dyDescent="0.25">
      <c r="A11" s="34" t="s">
        <v>1207</v>
      </c>
      <c r="B11" s="255" t="s">
        <v>1965</v>
      </c>
      <c r="C11" s="370">
        <v>8</v>
      </c>
      <c r="D11" s="370">
        <v>30</v>
      </c>
      <c r="E11" s="370"/>
      <c r="F11" s="369">
        <f>D11*C11</f>
        <v>240</v>
      </c>
      <c r="G11" s="243">
        <f t="shared" ref="G11" si="3">F11</f>
        <v>240</v>
      </c>
      <c r="H11" s="252" t="s">
        <v>1076</v>
      </c>
      <c r="I11" s="253">
        <v>0.7</v>
      </c>
      <c r="J11" s="254">
        <f>Insumos!D24</f>
        <v>0</v>
      </c>
      <c r="K11" s="254">
        <f t="shared" ref="K11" si="4">TRUNC(I11*G11*J11,2)</f>
        <v>0</v>
      </c>
    </row>
    <row r="12" spans="1:11" s="247" customFormat="1" x14ac:dyDescent="0.25">
      <c r="A12" s="34" t="s">
        <v>1208</v>
      </c>
      <c r="B12" s="255" t="s">
        <v>1966</v>
      </c>
      <c r="C12" s="370">
        <v>5.5</v>
      </c>
      <c r="D12" s="370">
        <v>30</v>
      </c>
      <c r="E12" s="370"/>
      <c r="F12" s="369">
        <f>D12*C12</f>
        <v>165</v>
      </c>
      <c r="G12" s="243">
        <f t="shared" si="0"/>
        <v>165</v>
      </c>
      <c r="H12" s="252" t="s">
        <v>1076</v>
      </c>
      <c r="I12" s="253">
        <v>0.7</v>
      </c>
      <c r="J12" s="254">
        <f>Insumos!D24</f>
        <v>0</v>
      </c>
      <c r="K12" s="254">
        <f t="shared" ref="K12:K14" si="5">TRUNC(I12*G12*J12,2)</f>
        <v>0</v>
      </c>
    </row>
    <row r="13" spans="1:11" s="247" customFormat="1" x14ac:dyDescent="0.25">
      <c r="A13" s="34" t="s">
        <v>1209</v>
      </c>
      <c r="B13" s="255" t="s">
        <v>1094</v>
      </c>
      <c r="C13" s="369"/>
      <c r="D13" s="370">
        <v>30</v>
      </c>
      <c r="E13" s="369">
        <v>2</v>
      </c>
      <c r="F13" s="369">
        <f>E13*D13</f>
        <v>60</v>
      </c>
      <c r="G13" s="243">
        <f t="shared" si="0"/>
        <v>60</v>
      </c>
      <c r="H13" s="252" t="s">
        <v>1076</v>
      </c>
      <c r="I13" s="253">
        <v>0.7</v>
      </c>
      <c r="J13" s="254">
        <f>Insumos!D11</f>
        <v>0</v>
      </c>
      <c r="K13" s="254">
        <f t="shared" si="5"/>
        <v>0</v>
      </c>
    </row>
    <row r="14" spans="1:11" s="247" customFormat="1" x14ac:dyDescent="0.25">
      <c r="A14" s="34" t="s">
        <v>1210</v>
      </c>
      <c r="B14" s="251" t="s">
        <v>1090</v>
      </c>
      <c r="C14" s="370">
        <v>2</v>
      </c>
      <c r="D14" s="370">
        <v>10</v>
      </c>
      <c r="E14" s="370"/>
      <c r="F14" s="369">
        <f>C14*D14</f>
        <v>20</v>
      </c>
      <c r="G14" s="243">
        <f t="shared" si="0"/>
        <v>20</v>
      </c>
      <c r="H14" s="252" t="s">
        <v>1076</v>
      </c>
      <c r="I14" s="253">
        <v>0.7</v>
      </c>
      <c r="J14" s="254">
        <f>Insumos!D9</f>
        <v>0</v>
      </c>
      <c r="K14" s="254">
        <f t="shared" si="5"/>
        <v>0</v>
      </c>
    </row>
    <row r="15" spans="1:11" s="247" customFormat="1" x14ac:dyDescent="0.25">
      <c r="A15" s="34" t="s">
        <v>1211</v>
      </c>
      <c r="B15" s="251" t="s">
        <v>1092</v>
      </c>
      <c r="C15" s="370">
        <v>2</v>
      </c>
      <c r="D15" s="370">
        <f>21+26.33</f>
        <v>47.33</v>
      </c>
      <c r="E15" s="370"/>
      <c r="F15" s="369">
        <f>C15*D15</f>
        <v>94.66</v>
      </c>
      <c r="G15" s="243">
        <f t="shared" si="0"/>
        <v>94.66</v>
      </c>
      <c r="H15" s="252" t="s">
        <v>1076</v>
      </c>
      <c r="I15" s="253">
        <v>0.7</v>
      </c>
      <c r="J15" s="254">
        <f>Insumos!D10</f>
        <v>0</v>
      </c>
      <c r="K15" s="254">
        <f t="shared" si="1"/>
        <v>0</v>
      </c>
    </row>
    <row r="16" spans="1:11" s="247" customFormat="1" x14ac:dyDescent="0.25">
      <c r="A16" s="34" t="s">
        <v>1212</v>
      </c>
      <c r="B16" s="251" t="s">
        <v>1254</v>
      </c>
      <c r="C16" s="370"/>
      <c r="D16" s="370">
        <f>82+57+56+4.2+8.6</f>
        <v>207.79999999999998</v>
      </c>
      <c r="E16" s="370">
        <v>1.1000000000000001</v>
      </c>
      <c r="F16" s="369">
        <f>E16*D16</f>
        <v>228.58</v>
      </c>
      <c r="G16" s="243">
        <f t="shared" si="0"/>
        <v>228.58</v>
      </c>
      <c r="H16" s="252" t="s">
        <v>1076</v>
      </c>
      <c r="I16" s="253">
        <v>0.7</v>
      </c>
      <c r="J16" s="254">
        <f>Insumos!D31</f>
        <v>0</v>
      </c>
      <c r="K16" s="254">
        <f>TRUNC(I16*G16*J16,2)</f>
        <v>0</v>
      </c>
    </row>
    <row r="17" spans="1:11" s="247" customFormat="1" x14ac:dyDescent="0.25">
      <c r="A17" s="34" t="s">
        <v>1213</v>
      </c>
      <c r="B17" s="251" t="s">
        <v>1132</v>
      </c>
      <c r="C17" s="370"/>
      <c r="D17" s="370"/>
      <c r="E17" s="370"/>
      <c r="F17" s="369">
        <f>F16</f>
        <v>228.58</v>
      </c>
      <c r="G17" s="243">
        <f t="shared" si="0"/>
        <v>228.58</v>
      </c>
      <c r="H17" s="252" t="s">
        <v>1076</v>
      </c>
      <c r="I17" s="253">
        <v>0.7</v>
      </c>
      <c r="J17" s="254">
        <f>Insumos!D33</f>
        <v>0</v>
      </c>
      <c r="K17" s="254">
        <f t="shared" si="1"/>
        <v>0</v>
      </c>
    </row>
    <row r="18" spans="1:11" s="247" customFormat="1" x14ac:dyDescent="0.25">
      <c r="A18" s="34" t="s">
        <v>1214</v>
      </c>
      <c r="B18" s="251" t="s">
        <v>2110</v>
      </c>
      <c r="C18" s="370">
        <v>10</v>
      </c>
      <c r="D18" s="370">
        <v>15</v>
      </c>
      <c r="E18" s="370"/>
      <c r="F18" s="369">
        <f>D18*C18</f>
        <v>150</v>
      </c>
      <c r="G18" s="243">
        <f t="shared" ref="G18:G19" si="6">F18</f>
        <v>150</v>
      </c>
      <c r="H18" s="252" t="s">
        <v>1076</v>
      </c>
      <c r="I18" s="253">
        <v>0.7</v>
      </c>
      <c r="J18" s="254">
        <f>Insumos!D6</f>
        <v>0</v>
      </c>
      <c r="K18" s="254">
        <f t="shared" ref="K18:K19" si="7">TRUNC(I18*G18*J18,2)</f>
        <v>0</v>
      </c>
    </row>
    <row r="19" spans="1:11" s="247" customFormat="1" x14ac:dyDescent="0.25">
      <c r="A19" s="34" t="s">
        <v>1215</v>
      </c>
      <c r="B19" s="251" t="s">
        <v>2111</v>
      </c>
      <c r="C19" s="370">
        <v>10</v>
      </c>
      <c r="D19" s="370">
        <v>15</v>
      </c>
      <c r="E19" s="370"/>
      <c r="F19" s="369">
        <f>D19*C19</f>
        <v>150</v>
      </c>
      <c r="G19" s="243">
        <f t="shared" si="6"/>
        <v>150</v>
      </c>
      <c r="H19" s="252" t="s">
        <v>1076</v>
      </c>
      <c r="I19" s="253">
        <v>0.7</v>
      </c>
      <c r="J19" s="254">
        <f>Insumos!D7</f>
        <v>0</v>
      </c>
      <c r="K19" s="254">
        <f t="shared" si="7"/>
        <v>0</v>
      </c>
    </row>
    <row r="20" spans="1:11" s="247" customFormat="1" ht="45" x14ac:dyDescent="0.25">
      <c r="A20" s="34" t="s">
        <v>1216</v>
      </c>
      <c r="B20" s="255" t="s">
        <v>1322</v>
      </c>
      <c r="C20" s="369">
        <f>31.63+30.5+11.53</f>
        <v>73.66</v>
      </c>
      <c r="D20" s="369"/>
      <c r="E20" s="369">
        <v>3</v>
      </c>
      <c r="F20" s="369">
        <f>E20*C20</f>
        <v>220.98</v>
      </c>
      <c r="G20" s="243">
        <f>F20</f>
        <v>220.98</v>
      </c>
      <c r="H20" s="252" t="s">
        <v>1076</v>
      </c>
      <c r="I20" s="253">
        <v>0.7</v>
      </c>
      <c r="J20" s="254">
        <f>Insumos!D35</f>
        <v>0</v>
      </c>
      <c r="K20" s="254">
        <f t="shared" ref="K20" si="8">TRUNC(I20*G20*J20,2)</f>
        <v>0</v>
      </c>
    </row>
    <row r="21" spans="1:11" s="247" customFormat="1" ht="30" x14ac:dyDescent="0.25">
      <c r="A21" s="34" t="s">
        <v>1217</v>
      </c>
      <c r="B21" s="255" t="s">
        <v>2135</v>
      </c>
      <c r="C21" s="369"/>
      <c r="D21" s="369"/>
      <c r="E21" s="369"/>
      <c r="F21" s="369">
        <f>F8+F9+F10+F19</f>
        <v>840</v>
      </c>
      <c r="G21" s="243">
        <f>F21</f>
        <v>840</v>
      </c>
      <c r="H21" s="252" t="s">
        <v>1076</v>
      </c>
      <c r="I21" s="253">
        <v>0.7</v>
      </c>
      <c r="J21" s="254">
        <f>Insumos!D28</f>
        <v>0</v>
      </c>
      <c r="K21" s="254">
        <f t="shared" si="1"/>
        <v>0</v>
      </c>
    </row>
    <row r="22" spans="1:11" x14ac:dyDescent="0.25">
      <c r="A22" s="152"/>
      <c r="B22" s="159"/>
      <c r="C22" s="387"/>
      <c r="D22" s="387"/>
      <c r="E22" s="387"/>
      <c r="F22" s="387"/>
      <c r="G22" s="154"/>
      <c r="H22" s="154"/>
      <c r="I22" s="154"/>
      <c r="J22" s="191" t="s">
        <v>1064</v>
      </c>
      <c r="K22" s="190">
        <f>SUM(K6:K21)</f>
        <v>0</v>
      </c>
    </row>
    <row r="23" spans="1:11" x14ac:dyDescent="0.25">
      <c r="A23" s="146" t="s">
        <v>1804</v>
      </c>
      <c r="B23" s="179" t="s">
        <v>1219</v>
      </c>
      <c r="C23" s="388"/>
      <c r="D23" s="388"/>
      <c r="E23" s="388"/>
      <c r="F23" s="388"/>
      <c r="G23" s="148"/>
      <c r="H23" s="148"/>
      <c r="I23" s="148"/>
      <c r="J23" s="148"/>
      <c r="K23" s="188"/>
    </row>
    <row r="24" spans="1:11" x14ac:dyDescent="0.25">
      <c r="A24" s="611" t="s">
        <v>1196</v>
      </c>
      <c r="B24" s="612" t="s">
        <v>1067</v>
      </c>
      <c r="C24" s="637" t="s">
        <v>1197</v>
      </c>
      <c r="D24" s="638"/>
      <c r="E24" s="638"/>
      <c r="F24" s="639"/>
      <c r="G24" s="626" t="s">
        <v>14</v>
      </c>
      <c r="H24" s="636" t="s">
        <v>1068</v>
      </c>
      <c r="I24" s="608" t="s">
        <v>35</v>
      </c>
      <c r="J24" s="610" t="s">
        <v>1256</v>
      </c>
      <c r="K24" s="610" t="s">
        <v>16</v>
      </c>
    </row>
    <row r="25" spans="1:11" x14ac:dyDescent="0.25">
      <c r="A25" s="611"/>
      <c r="B25" s="612"/>
      <c r="C25" s="640"/>
      <c r="D25" s="641"/>
      <c r="E25" s="641"/>
      <c r="F25" s="642"/>
      <c r="G25" s="627"/>
      <c r="H25" s="636"/>
      <c r="I25" s="609"/>
      <c r="J25" s="610"/>
      <c r="K25" s="610"/>
    </row>
    <row r="26" spans="1:11" x14ac:dyDescent="0.25">
      <c r="A26" s="124" t="s">
        <v>1220</v>
      </c>
      <c r="B26" s="6" t="s">
        <v>1147</v>
      </c>
      <c r="C26" s="143"/>
      <c r="D26" s="143"/>
      <c r="E26" s="143"/>
      <c r="F26" s="143"/>
      <c r="G26" s="143">
        <v>10</v>
      </c>
      <c r="H26" s="166" t="s">
        <v>1221</v>
      </c>
      <c r="I26" s="150">
        <f>G26/SUM($G$26:$G$32)</f>
        <v>4.1841004184100417E-2</v>
      </c>
      <c r="J26" s="167">
        <f>Insumos!D49</f>
        <v>0</v>
      </c>
      <c r="K26" s="167">
        <f t="shared" ref="K26:K31" si="9">TRUNC(I26*G26*J26,2)</f>
        <v>0</v>
      </c>
    </row>
    <row r="27" spans="1:11" x14ac:dyDescent="0.25">
      <c r="A27" s="124" t="s">
        <v>1222</v>
      </c>
      <c r="B27" s="6" t="s">
        <v>1148</v>
      </c>
      <c r="C27" s="143"/>
      <c r="D27" s="143"/>
      <c r="E27" s="143"/>
      <c r="F27" s="143"/>
      <c r="G27" s="143">
        <v>10</v>
      </c>
      <c r="H27" s="166" t="s">
        <v>1221</v>
      </c>
      <c r="I27" s="150">
        <f t="shared" ref="I27:I31" si="10">G27/SUM($G$26:$G$32)</f>
        <v>4.1841004184100417E-2</v>
      </c>
      <c r="J27" s="167">
        <f>Insumos!D50</f>
        <v>0</v>
      </c>
      <c r="K27" s="167">
        <f t="shared" si="9"/>
        <v>0</v>
      </c>
    </row>
    <row r="28" spans="1:11" x14ac:dyDescent="0.25">
      <c r="A28" s="124" t="s">
        <v>1223</v>
      </c>
      <c r="B28" s="6" t="s">
        <v>1149</v>
      </c>
      <c r="C28" s="143"/>
      <c r="D28" s="143"/>
      <c r="E28" s="143"/>
      <c r="F28" s="143"/>
      <c r="G28" s="143">
        <v>12</v>
      </c>
      <c r="H28" s="166" t="s">
        <v>1221</v>
      </c>
      <c r="I28" s="150">
        <f t="shared" si="10"/>
        <v>5.0209205020920501E-2</v>
      </c>
      <c r="J28" s="167">
        <f>Insumos!D51</f>
        <v>0</v>
      </c>
      <c r="K28" s="167">
        <f t="shared" si="9"/>
        <v>0</v>
      </c>
    </row>
    <row r="29" spans="1:11" x14ac:dyDescent="0.25">
      <c r="A29" s="124" t="s">
        <v>1224</v>
      </c>
      <c r="B29" s="6" t="s">
        <v>1150</v>
      </c>
      <c r="C29" s="143"/>
      <c r="D29" s="143"/>
      <c r="E29" s="143"/>
      <c r="F29" s="143"/>
      <c r="G29" s="143">
        <v>100</v>
      </c>
      <c r="H29" s="166" t="s">
        <v>1151</v>
      </c>
      <c r="I29" s="150">
        <f t="shared" si="10"/>
        <v>0.41841004184100417</v>
      </c>
      <c r="J29" s="167">
        <f>Insumos!D52</f>
        <v>0</v>
      </c>
      <c r="K29" s="167">
        <f t="shared" si="9"/>
        <v>0</v>
      </c>
    </row>
    <row r="30" spans="1:11" x14ac:dyDescent="0.25">
      <c r="A30" s="124" t="s">
        <v>1225</v>
      </c>
      <c r="B30" s="6" t="s">
        <v>1152</v>
      </c>
      <c r="C30" s="143"/>
      <c r="D30" s="143"/>
      <c r="E30" s="143"/>
      <c r="F30" s="143"/>
      <c r="G30" s="143">
        <v>6</v>
      </c>
      <c r="H30" s="166" t="s">
        <v>1124</v>
      </c>
      <c r="I30" s="150">
        <f t="shared" si="10"/>
        <v>2.5104602510460251E-2</v>
      </c>
      <c r="J30" s="167">
        <f>Insumos!D53</f>
        <v>0</v>
      </c>
      <c r="K30" s="167">
        <f t="shared" si="9"/>
        <v>0</v>
      </c>
    </row>
    <row r="31" spans="1:11" x14ac:dyDescent="0.25">
      <c r="A31" s="124" t="s">
        <v>1226</v>
      </c>
      <c r="B31" s="6" t="s">
        <v>1248</v>
      </c>
      <c r="C31" s="143"/>
      <c r="D31" s="143"/>
      <c r="E31" s="143"/>
      <c r="F31" s="143"/>
      <c r="G31" s="143">
        <v>100</v>
      </c>
      <c r="H31" s="166" t="s">
        <v>1154</v>
      </c>
      <c r="I31" s="150">
        <f t="shared" si="10"/>
        <v>0.41841004184100417</v>
      </c>
      <c r="J31" s="167">
        <f>Insumos!D54</f>
        <v>0</v>
      </c>
      <c r="K31" s="167">
        <f t="shared" si="9"/>
        <v>0</v>
      </c>
    </row>
    <row r="32" spans="1:11" x14ac:dyDescent="0.25">
      <c r="A32" s="124" t="s">
        <v>1227</v>
      </c>
      <c r="B32" s="6" t="s">
        <v>2014</v>
      </c>
      <c r="C32" s="143"/>
      <c r="D32" s="143"/>
      <c r="E32" s="143"/>
      <c r="F32" s="143"/>
      <c r="G32" s="143">
        <v>1</v>
      </c>
      <c r="H32" s="166" t="s">
        <v>1124</v>
      </c>
      <c r="I32" s="150">
        <v>1</v>
      </c>
      <c r="J32" s="167">
        <f>Insumos!D55</f>
        <v>0</v>
      </c>
      <c r="K32" s="167">
        <f t="shared" ref="K32" si="11">TRUNC(I32*G32*J32,2)</f>
        <v>0</v>
      </c>
    </row>
    <row r="33" spans="1:11" x14ac:dyDescent="0.25">
      <c r="A33" s="152"/>
      <c r="B33" s="159"/>
      <c r="C33" s="154"/>
      <c r="D33" s="154"/>
      <c r="E33" s="154"/>
      <c r="F33" s="154"/>
      <c r="G33" s="154"/>
      <c r="H33" s="157"/>
      <c r="I33" s="157"/>
      <c r="J33" s="192" t="s">
        <v>1064</v>
      </c>
      <c r="K33" s="193">
        <f>SUM(K26:K32)</f>
        <v>0</v>
      </c>
    </row>
    <row r="34" spans="1:11" x14ac:dyDescent="0.25">
      <c r="A34" s="146" t="s">
        <v>1805</v>
      </c>
      <c r="B34" s="179" t="s">
        <v>1155</v>
      </c>
      <c r="C34" s="148"/>
      <c r="D34" s="148"/>
      <c r="E34" s="148"/>
      <c r="F34" s="148"/>
      <c r="G34" s="148"/>
      <c r="H34" s="148"/>
      <c r="I34" s="148"/>
      <c r="J34" s="148"/>
      <c r="K34" s="188"/>
    </row>
    <row r="35" spans="1:11" x14ac:dyDescent="0.25">
      <c r="A35" s="611" t="s">
        <v>1196</v>
      </c>
      <c r="B35" s="612" t="s">
        <v>1067</v>
      </c>
      <c r="C35" s="613" t="s">
        <v>1197</v>
      </c>
      <c r="D35" s="614"/>
      <c r="E35" s="614"/>
      <c r="F35" s="615"/>
      <c r="G35" s="619" t="s">
        <v>14</v>
      </c>
      <c r="H35" s="610" t="s">
        <v>1068</v>
      </c>
      <c r="I35" s="608" t="s">
        <v>35</v>
      </c>
      <c r="J35" s="610" t="s">
        <v>1256</v>
      </c>
      <c r="K35" s="610" t="s">
        <v>16</v>
      </c>
    </row>
    <row r="36" spans="1:11" x14ac:dyDescent="0.25">
      <c r="A36" s="611"/>
      <c r="B36" s="612"/>
      <c r="C36" s="616"/>
      <c r="D36" s="617"/>
      <c r="E36" s="617"/>
      <c r="F36" s="618"/>
      <c r="G36" s="620"/>
      <c r="H36" s="610"/>
      <c r="I36" s="609"/>
      <c r="J36" s="610"/>
      <c r="K36" s="610"/>
    </row>
    <row r="37" spans="1:11" x14ac:dyDescent="0.25">
      <c r="A37" s="124" t="s">
        <v>1229</v>
      </c>
      <c r="B37" s="104" t="s">
        <v>1156</v>
      </c>
      <c r="C37" s="143"/>
      <c r="D37" s="143"/>
      <c r="E37" s="143"/>
      <c r="F37" s="143"/>
      <c r="G37" s="143">
        <f>G21/30</f>
        <v>28</v>
      </c>
      <c r="H37" s="140" t="s">
        <v>1228</v>
      </c>
      <c r="I37" s="150">
        <f>G37/SUM($G$37:$G$48)</f>
        <v>2.5683625578497144E-2</v>
      </c>
      <c r="J37" s="167">
        <f>Insumos!D58</f>
        <v>0</v>
      </c>
      <c r="K37" s="167">
        <f t="shared" ref="K37:K48" si="12">TRUNC(I37*G37*J37,2)</f>
        <v>0</v>
      </c>
    </row>
    <row r="38" spans="1:11" x14ac:dyDescent="0.25">
      <c r="A38" s="124" t="s">
        <v>1231</v>
      </c>
      <c r="B38" s="104" t="s">
        <v>1171</v>
      </c>
      <c r="C38" s="143"/>
      <c r="D38" s="143"/>
      <c r="E38" s="143"/>
      <c r="F38" s="143"/>
      <c r="G38" s="243">
        <f>G8+G19+G9+G10</f>
        <v>840</v>
      </c>
      <c r="H38" s="140" t="s">
        <v>1089</v>
      </c>
      <c r="I38" s="150">
        <f t="shared" ref="I38:I48" si="13">G38/SUM($G$37:$G$48)</f>
        <v>0.77050876735491436</v>
      </c>
      <c r="J38" s="167">
        <f>Insumos!D69</f>
        <v>0</v>
      </c>
      <c r="K38" s="167">
        <f t="shared" si="12"/>
        <v>0</v>
      </c>
    </row>
    <row r="39" spans="1:11" x14ac:dyDescent="0.25">
      <c r="A39" s="124" t="s">
        <v>1232</v>
      </c>
      <c r="B39" s="104" t="s">
        <v>1230</v>
      </c>
      <c r="C39" s="143"/>
      <c r="D39" s="143"/>
      <c r="E39" s="143"/>
      <c r="F39" s="143"/>
      <c r="G39" s="143">
        <f>G8</f>
        <v>150</v>
      </c>
      <c r="H39" s="140" t="s">
        <v>1089</v>
      </c>
      <c r="I39" s="150">
        <f t="shared" si="13"/>
        <v>0.13759085131337756</v>
      </c>
      <c r="J39" s="167">
        <f>Insumos!D59</f>
        <v>0</v>
      </c>
      <c r="K39" s="151">
        <f t="shared" ref="K39" si="14">TRUNC(G39*I39*J39,2)</f>
        <v>0</v>
      </c>
    </row>
    <row r="40" spans="1:11" x14ac:dyDescent="0.25">
      <c r="A40" s="124" t="s">
        <v>1233</v>
      </c>
      <c r="B40" s="104" t="s">
        <v>1158</v>
      </c>
      <c r="C40" s="143"/>
      <c r="D40" s="143"/>
      <c r="E40" s="143"/>
      <c r="F40" s="143"/>
      <c r="G40" s="143">
        <f>(G17+G20)*0.21/3.6/2</f>
        <v>13.112166666666667</v>
      </c>
      <c r="H40" s="140" t="s">
        <v>1159</v>
      </c>
      <c r="I40" s="150">
        <f t="shared" si="13"/>
        <v>1.2027427828197058E-2</v>
      </c>
      <c r="J40" s="167">
        <f>Insumos!D60</f>
        <v>0</v>
      </c>
      <c r="K40" s="167">
        <f t="shared" si="12"/>
        <v>0</v>
      </c>
    </row>
    <row r="41" spans="1:11" x14ac:dyDescent="0.25">
      <c r="A41" s="124" t="s">
        <v>1234</v>
      </c>
      <c r="B41" s="104" t="s">
        <v>1160</v>
      </c>
      <c r="C41" s="143"/>
      <c r="D41" s="143"/>
      <c r="E41" s="143"/>
      <c r="F41" s="143"/>
      <c r="G41" s="143">
        <f>G40</f>
        <v>13.112166666666667</v>
      </c>
      <c r="H41" s="140" t="s">
        <v>1159</v>
      </c>
      <c r="I41" s="150">
        <f t="shared" si="13"/>
        <v>1.2027427828197058E-2</v>
      </c>
      <c r="J41" s="167">
        <f>Insumos!D61</f>
        <v>0</v>
      </c>
      <c r="K41" s="167">
        <f t="shared" si="12"/>
        <v>0</v>
      </c>
    </row>
    <row r="42" spans="1:11" x14ac:dyDescent="0.25">
      <c r="A42" s="124" t="s">
        <v>1235</v>
      </c>
      <c r="B42" s="104" t="s">
        <v>1161</v>
      </c>
      <c r="C42" s="143"/>
      <c r="D42" s="143"/>
      <c r="E42" s="143"/>
      <c r="F42" s="143"/>
      <c r="G42" s="143">
        <f>G38*0.021</f>
        <v>17.64</v>
      </c>
      <c r="H42" s="140" t="s">
        <v>1162</v>
      </c>
      <c r="I42" s="150">
        <f t="shared" si="13"/>
        <v>1.6180684114453201E-2</v>
      </c>
      <c r="J42" s="167">
        <f>Insumos!D62</f>
        <v>0</v>
      </c>
      <c r="K42" s="167">
        <f t="shared" si="12"/>
        <v>0</v>
      </c>
    </row>
    <row r="43" spans="1:11" x14ac:dyDescent="0.25">
      <c r="A43" s="124" t="s">
        <v>1236</v>
      </c>
      <c r="B43" s="104" t="s">
        <v>1163</v>
      </c>
      <c r="C43" s="143"/>
      <c r="D43" s="143"/>
      <c r="E43" s="143"/>
      <c r="F43" s="143"/>
      <c r="G43" s="143">
        <v>8</v>
      </c>
      <c r="H43" s="140" t="s">
        <v>1068</v>
      </c>
      <c r="I43" s="150">
        <f t="shared" si="13"/>
        <v>7.3381787367134696E-3</v>
      </c>
      <c r="J43" s="167">
        <f>Insumos!D63</f>
        <v>0</v>
      </c>
      <c r="K43" s="167">
        <f t="shared" si="12"/>
        <v>0</v>
      </c>
    </row>
    <row r="44" spans="1:11" x14ac:dyDescent="0.25">
      <c r="A44" s="124" t="s">
        <v>1237</v>
      </c>
      <c r="B44" s="104" t="s">
        <v>1164</v>
      </c>
      <c r="C44" s="143"/>
      <c r="D44" s="143"/>
      <c r="E44" s="143"/>
      <c r="F44" s="143"/>
      <c r="G44" s="143">
        <v>4</v>
      </c>
      <c r="H44" s="140" t="s">
        <v>1068</v>
      </c>
      <c r="I44" s="150">
        <f t="shared" si="13"/>
        <v>3.6690893683567348E-3</v>
      </c>
      <c r="J44" s="167">
        <f>Insumos!D64</f>
        <v>0</v>
      </c>
      <c r="K44" s="167">
        <f t="shared" si="12"/>
        <v>0</v>
      </c>
    </row>
    <row r="45" spans="1:11" x14ac:dyDescent="0.25">
      <c r="A45" s="124" t="s">
        <v>1238</v>
      </c>
      <c r="B45" s="104" t="s">
        <v>1165</v>
      </c>
      <c r="C45" s="143"/>
      <c r="D45" s="143"/>
      <c r="E45" s="143"/>
      <c r="F45" s="143"/>
      <c r="G45" s="143">
        <v>6</v>
      </c>
      <c r="H45" s="140" t="s">
        <v>1068</v>
      </c>
      <c r="I45" s="150">
        <f t="shared" si="13"/>
        <v>5.5036340525351024E-3</v>
      </c>
      <c r="J45" s="167">
        <f>Insumos!D65</f>
        <v>0</v>
      </c>
      <c r="K45" s="167">
        <f t="shared" si="12"/>
        <v>0</v>
      </c>
    </row>
    <row r="46" spans="1:11" x14ac:dyDescent="0.25">
      <c r="A46" s="124" t="s">
        <v>1239</v>
      </c>
      <c r="B46" s="104" t="s">
        <v>1166</v>
      </c>
      <c r="C46" s="143"/>
      <c r="D46" s="143"/>
      <c r="E46" s="143"/>
      <c r="F46" s="143"/>
      <c r="G46" s="143">
        <v>4.6526399999999999</v>
      </c>
      <c r="H46" s="140" t="s">
        <v>1096</v>
      </c>
      <c r="I46" s="150">
        <f t="shared" si="13"/>
        <v>4.26773798969782E-3</v>
      </c>
      <c r="J46" s="167">
        <f>Insumos!D66</f>
        <v>0</v>
      </c>
      <c r="K46" s="167">
        <f t="shared" si="12"/>
        <v>0</v>
      </c>
    </row>
    <row r="47" spans="1:11" x14ac:dyDescent="0.25">
      <c r="A47" s="124" t="s">
        <v>1241</v>
      </c>
      <c r="B47" s="104" t="s">
        <v>1167</v>
      </c>
      <c r="C47" s="143"/>
      <c r="D47" s="143"/>
      <c r="E47" s="143"/>
      <c r="F47" s="143"/>
      <c r="G47" s="143">
        <v>3.5448685714285717</v>
      </c>
      <c r="H47" s="140" t="s">
        <v>1168</v>
      </c>
      <c r="I47" s="150">
        <f t="shared" si="13"/>
        <v>3.2516098969126248E-3</v>
      </c>
      <c r="J47" s="167">
        <f>Insumos!D67</f>
        <v>0</v>
      </c>
      <c r="K47" s="167">
        <f t="shared" si="12"/>
        <v>0</v>
      </c>
    </row>
    <row r="48" spans="1:11" x14ac:dyDescent="0.25">
      <c r="A48" s="124" t="s">
        <v>1243</v>
      </c>
      <c r="B48" s="104" t="s">
        <v>1240</v>
      </c>
      <c r="C48" s="143"/>
      <c r="D48" s="143"/>
      <c r="E48" s="143"/>
      <c r="F48" s="143"/>
      <c r="G48" s="143">
        <v>2.1269211428571428</v>
      </c>
      <c r="H48" s="140" t="s">
        <v>1170</v>
      </c>
      <c r="I48" s="150">
        <f t="shared" si="13"/>
        <v>1.9509659381475746E-3</v>
      </c>
      <c r="J48" s="167">
        <f>Insumos!D68</f>
        <v>0</v>
      </c>
      <c r="K48" s="167">
        <f t="shared" si="12"/>
        <v>0</v>
      </c>
    </row>
    <row r="49" spans="1:11" x14ac:dyDescent="0.25">
      <c r="A49" s="152"/>
      <c r="B49" s="159"/>
      <c r="C49" s="159"/>
      <c r="D49" s="159"/>
      <c r="E49" s="159"/>
      <c r="F49" s="159"/>
      <c r="G49" s="159"/>
      <c r="H49" s="159"/>
      <c r="I49" s="159"/>
      <c r="J49" s="170" t="s">
        <v>1064</v>
      </c>
      <c r="K49" s="194">
        <f>SUM(K37:K48)</f>
        <v>0</v>
      </c>
    </row>
    <row r="50" spans="1:11" x14ac:dyDescent="0.25">
      <c r="A50" s="146" t="s">
        <v>1806</v>
      </c>
      <c r="B50" s="179" t="s">
        <v>1176</v>
      </c>
      <c r="C50" s="148"/>
      <c r="D50" s="148"/>
      <c r="E50" s="148"/>
      <c r="F50" s="148"/>
      <c r="G50" s="148"/>
      <c r="H50" s="148"/>
      <c r="I50" s="148"/>
      <c r="J50" s="148"/>
      <c r="K50" s="188"/>
    </row>
    <row r="51" spans="1:11" x14ac:dyDescent="0.25">
      <c r="A51" s="611" t="s">
        <v>1196</v>
      </c>
      <c r="B51" s="612" t="s">
        <v>1067</v>
      </c>
      <c r="C51" s="613" t="s">
        <v>1197</v>
      </c>
      <c r="D51" s="614"/>
      <c r="E51" s="614"/>
      <c r="F51" s="615"/>
      <c r="G51" s="619" t="s">
        <v>14</v>
      </c>
      <c r="H51" s="636" t="s">
        <v>1068</v>
      </c>
      <c r="I51" s="608" t="s">
        <v>35</v>
      </c>
      <c r="J51" s="610" t="s">
        <v>1249</v>
      </c>
      <c r="K51" s="610" t="s">
        <v>16</v>
      </c>
    </row>
    <row r="52" spans="1:11" x14ac:dyDescent="0.25">
      <c r="A52" s="611"/>
      <c r="B52" s="612"/>
      <c r="C52" s="616"/>
      <c r="D52" s="617"/>
      <c r="E52" s="617"/>
      <c r="F52" s="618"/>
      <c r="G52" s="620"/>
      <c r="H52" s="636"/>
      <c r="I52" s="609"/>
      <c r="J52" s="610"/>
      <c r="K52" s="610"/>
    </row>
    <row r="53" spans="1:11" x14ac:dyDescent="0.25">
      <c r="A53" s="124" t="s">
        <v>1245</v>
      </c>
      <c r="B53" s="6" t="s">
        <v>1242</v>
      </c>
      <c r="C53" s="605"/>
      <c r="D53" s="606"/>
      <c r="E53" s="606"/>
      <c r="F53" s="607"/>
      <c r="G53" s="143">
        <v>10</v>
      </c>
      <c r="H53" s="166" t="s">
        <v>1140</v>
      </c>
      <c r="I53" s="140">
        <v>5</v>
      </c>
      <c r="J53" s="167">
        <f>Insumos!D75</f>
        <v>0</v>
      </c>
      <c r="K53" s="167">
        <f>TRUNC(I53*G53*J53,2)</f>
        <v>0</v>
      </c>
    </row>
    <row r="54" spans="1:11" x14ac:dyDescent="0.25">
      <c r="A54" s="152"/>
      <c r="B54" s="159"/>
      <c r="C54" s="159"/>
      <c r="D54" s="159"/>
      <c r="E54" s="159"/>
      <c r="F54" s="159"/>
      <c r="G54" s="159"/>
      <c r="H54" s="159"/>
      <c r="I54" s="159"/>
      <c r="J54" s="170" t="s">
        <v>1064</v>
      </c>
      <c r="K54" s="175">
        <f>SUM(K53)</f>
        <v>0</v>
      </c>
    </row>
    <row r="55" spans="1:11" x14ac:dyDescent="0.25">
      <c r="A55" s="146" t="s">
        <v>1807</v>
      </c>
      <c r="B55" s="179" t="s">
        <v>1178</v>
      </c>
      <c r="C55" s="148"/>
      <c r="D55" s="148"/>
      <c r="E55" s="148"/>
      <c r="F55" s="148"/>
      <c r="G55" s="148"/>
      <c r="H55" s="148"/>
      <c r="I55" s="148"/>
      <c r="J55" s="148"/>
      <c r="K55" s="188"/>
    </row>
    <row r="56" spans="1:11" x14ac:dyDescent="0.25">
      <c r="A56" s="611" t="s">
        <v>1196</v>
      </c>
      <c r="B56" s="612" t="s">
        <v>1067</v>
      </c>
      <c r="C56" s="613" t="s">
        <v>1197</v>
      </c>
      <c r="D56" s="614"/>
      <c r="E56" s="614"/>
      <c r="F56" s="615"/>
      <c r="G56" s="619" t="s">
        <v>14</v>
      </c>
      <c r="H56" s="636" t="s">
        <v>1068</v>
      </c>
      <c r="I56" s="608" t="s">
        <v>35</v>
      </c>
      <c r="J56" s="610" t="s">
        <v>1249</v>
      </c>
      <c r="K56" s="610" t="s">
        <v>16</v>
      </c>
    </row>
    <row r="57" spans="1:11" x14ac:dyDescent="0.25">
      <c r="A57" s="611"/>
      <c r="B57" s="612"/>
      <c r="C57" s="616"/>
      <c r="D57" s="617"/>
      <c r="E57" s="617"/>
      <c r="F57" s="618"/>
      <c r="G57" s="620"/>
      <c r="H57" s="636"/>
      <c r="I57" s="609"/>
      <c r="J57" s="610"/>
      <c r="K57" s="610"/>
    </row>
    <row r="58" spans="1:11" x14ac:dyDescent="0.25">
      <c r="A58" s="124" t="s">
        <v>1246</v>
      </c>
      <c r="B58" s="104" t="s">
        <v>1244</v>
      </c>
      <c r="C58" s="605"/>
      <c r="D58" s="606"/>
      <c r="E58" s="606"/>
      <c r="F58" s="607"/>
      <c r="G58" s="143">
        <v>10</v>
      </c>
      <c r="H58" s="166" t="s">
        <v>1140</v>
      </c>
      <c r="I58" s="140">
        <v>5</v>
      </c>
      <c r="J58" s="167">
        <f>Insumos!D78</f>
        <v>0</v>
      </c>
      <c r="K58" s="167">
        <f>TRUNC(I58*G58*J58,2)</f>
        <v>0</v>
      </c>
    </row>
    <row r="59" spans="1:11" x14ac:dyDescent="0.25">
      <c r="A59" s="152"/>
      <c r="B59" s="159"/>
      <c r="C59" s="159"/>
      <c r="D59" s="159"/>
      <c r="E59" s="159"/>
      <c r="F59" s="159"/>
      <c r="G59" s="159"/>
      <c r="H59" s="159"/>
      <c r="I59" s="159"/>
      <c r="J59" s="170" t="s">
        <v>1064</v>
      </c>
      <c r="K59" s="175">
        <f>SUM(K58)</f>
        <v>0</v>
      </c>
    </row>
    <row r="60" spans="1:11" x14ac:dyDescent="0.25">
      <c r="A60" s="146" t="s">
        <v>1808</v>
      </c>
      <c r="B60" s="179" t="s">
        <v>1180</v>
      </c>
      <c r="C60" s="148"/>
      <c r="D60" s="148"/>
      <c r="E60" s="148"/>
      <c r="F60" s="148"/>
      <c r="G60" s="148"/>
      <c r="H60" s="148"/>
      <c r="I60" s="148"/>
      <c r="J60" s="148"/>
      <c r="K60" s="188"/>
    </row>
    <row r="61" spans="1:11" x14ac:dyDescent="0.25">
      <c r="A61" s="611" t="s">
        <v>1196</v>
      </c>
      <c r="B61" s="612" t="s">
        <v>1067</v>
      </c>
      <c r="C61" s="613" t="s">
        <v>1197</v>
      </c>
      <c r="D61" s="614"/>
      <c r="E61" s="614"/>
      <c r="F61" s="615"/>
      <c r="G61" s="619" t="s">
        <v>14</v>
      </c>
      <c r="H61" s="636" t="s">
        <v>1068</v>
      </c>
      <c r="I61" s="608" t="s">
        <v>35</v>
      </c>
      <c r="J61" s="610" t="s">
        <v>1249</v>
      </c>
      <c r="K61" s="610" t="s">
        <v>16</v>
      </c>
    </row>
    <row r="62" spans="1:11" x14ac:dyDescent="0.25">
      <c r="A62" s="611"/>
      <c r="B62" s="612"/>
      <c r="C62" s="616"/>
      <c r="D62" s="617"/>
      <c r="E62" s="617"/>
      <c r="F62" s="618"/>
      <c r="G62" s="620"/>
      <c r="H62" s="636"/>
      <c r="I62" s="609"/>
      <c r="J62" s="610"/>
      <c r="K62" s="610"/>
    </row>
    <row r="63" spans="1:11" x14ac:dyDescent="0.25">
      <c r="A63" s="124" t="s">
        <v>1247</v>
      </c>
      <c r="B63" s="6" t="s">
        <v>1181</v>
      </c>
      <c r="C63" s="605"/>
      <c r="D63" s="606"/>
      <c r="E63" s="606"/>
      <c r="F63" s="607"/>
      <c r="G63" s="143">
        <v>5</v>
      </c>
      <c r="H63" s="166" t="s">
        <v>1140</v>
      </c>
      <c r="I63" s="150">
        <f>G63/SUM($G$63:$G$65)</f>
        <v>0.33333333333333331</v>
      </c>
      <c r="J63" s="167">
        <f>Insumos!D81</f>
        <v>0</v>
      </c>
      <c r="K63" s="167">
        <f>TRUNC(I63*G63*J63,2)</f>
        <v>0</v>
      </c>
    </row>
    <row r="64" spans="1:11" x14ac:dyDescent="0.25">
      <c r="A64" s="124" t="s">
        <v>1462</v>
      </c>
      <c r="B64" s="6" t="s">
        <v>1182</v>
      </c>
      <c r="C64" s="605"/>
      <c r="D64" s="606"/>
      <c r="E64" s="606"/>
      <c r="F64" s="607"/>
      <c r="G64" s="143">
        <v>5</v>
      </c>
      <c r="H64" s="166" t="s">
        <v>1140</v>
      </c>
      <c r="I64" s="150">
        <f t="shared" ref="I64:I65" si="15">G64/SUM($G$63:$G$65)</f>
        <v>0.33333333333333331</v>
      </c>
      <c r="J64" s="167">
        <f>Insumos!D82</f>
        <v>0</v>
      </c>
      <c r="K64" s="167">
        <f>TRUNC(I64*G64*J64,2)</f>
        <v>0</v>
      </c>
    </row>
    <row r="65" spans="1:11" x14ac:dyDescent="0.25">
      <c r="A65" s="124" t="s">
        <v>1463</v>
      </c>
      <c r="B65" s="6" t="s">
        <v>1183</v>
      </c>
      <c r="C65" s="605"/>
      <c r="D65" s="606"/>
      <c r="E65" s="606"/>
      <c r="F65" s="607"/>
      <c r="G65" s="143">
        <v>5</v>
      </c>
      <c r="H65" s="166" t="s">
        <v>1140</v>
      </c>
      <c r="I65" s="150">
        <f t="shared" si="15"/>
        <v>0.33333333333333331</v>
      </c>
      <c r="J65" s="167">
        <f>Insumos!D83</f>
        <v>0</v>
      </c>
      <c r="K65" s="167">
        <f>TRUNC(I65*G65*J65,2)</f>
        <v>0</v>
      </c>
    </row>
    <row r="66" spans="1:11" x14ac:dyDescent="0.25">
      <c r="A66" s="152"/>
      <c r="B66" s="159"/>
      <c r="C66" s="159"/>
      <c r="D66" s="159"/>
      <c r="E66" s="159"/>
      <c r="F66" s="159"/>
      <c r="G66" s="159"/>
      <c r="H66" s="159"/>
      <c r="I66" s="159"/>
      <c r="J66" s="170" t="s">
        <v>1064</v>
      </c>
      <c r="K66" s="175">
        <f>SUM(K63:K65)</f>
        <v>0</v>
      </c>
    </row>
  </sheetData>
  <mergeCells count="56">
    <mergeCell ref="C63:F63"/>
    <mergeCell ref="C64:F64"/>
    <mergeCell ref="C65:F65"/>
    <mergeCell ref="I56:I57"/>
    <mergeCell ref="J56:J57"/>
    <mergeCell ref="K56:K57"/>
    <mergeCell ref="C58:F58"/>
    <mergeCell ref="A61:A62"/>
    <mergeCell ref="B61:B62"/>
    <mergeCell ref="C61:F62"/>
    <mergeCell ref="G61:G62"/>
    <mergeCell ref="H61:H62"/>
    <mergeCell ref="I61:I62"/>
    <mergeCell ref="H56:H57"/>
    <mergeCell ref="J61:J62"/>
    <mergeCell ref="K61:K62"/>
    <mergeCell ref="C53:F53"/>
    <mergeCell ref="A56:A57"/>
    <mergeCell ref="B56:B57"/>
    <mergeCell ref="C56:F57"/>
    <mergeCell ref="G56:G57"/>
    <mergeCell ref="I51:I52"/>
    <mergeCell ref="J51:J52"/>
    <mergeCell ref="K51:K52"/>
    <mergeCell ref="A35:A36"/>
    <mergeCell ref="B35:B36"/>
    <mergeCell ref="C35:F36"/>
    <mergeCell ref="G35:G36"/>
    <mergeCell ref="H35:H36"/>
    <mergeCell ref="I35:I36"/>
    <mergeCell ref="A51:A52"/>
    <mergeCell ref="B51:B52"/>
    <mergeCell ref="C51:F52"/>
    <mergeCell ref="G51:G52"/>
    <mergeCell ref="H51:H52"/>
    <mergeCell ref="I24:I25"/>
    <mergeCell ref="J24:J25"/>
    <mergeCell ref="K24:K25"/>
    <mergeCell ref="J35:J36"/>
    <mergeCell ref="K35:K36"/>
    <mergeCell ref="A24:A25"/>
    <mergeCell ref="B24:B25"/>
    <mergeCell ref="C24:F25"/>
    <mergeCell ref="G24:G25"/>
    <mergeCell ref="H24:H25"/>
    <mergeCell ref="A1:K1"/>
    <mergeCell ref="B2:K2"/>
    <mergeCell ref="B3:H3"/>
    <mergeCell ref="A4:A5"/>
    <mergeCell ref="B4:B5"/>
    <mergeCell ref="C4:F4"/>
    <mergeCell ref="G4:G5"/>
    <mergeCell ref="H4:H5"/>
    <mergeCell ref="I4:I5"/>
    <mergeCell ref="J4:J5"/>
    <mergeCell ref="K4:K5"/>
  </mergeCells>
  <pageMargins left="0.511811024" right="0.511811024" top="0.78740157499999996" bottom="0.78740157499999996" header="0.31496062000000002" footer="0.31496062000000002"/>
  <pageSetup paperSize="9" scale="53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view="pageBreakPreview" topLeftCell="A26" zoomScale="80" zoomScaleNormal="85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65.5703125" customWidth="1"/>
    <col min="3" max="4" width="8.42578125" customWidth="1"/>
    <col min="5" max="5" width="7.7109375" customWidth="1"/>
    <col min="6" max="6" width="9.85546875" customWidth="1"/>
    <col min="7" max="7" width="10.85546875" customWidth="1"/>
    <col min="9" max="9" width="8.5703125" bestFit="1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5</v>
      </c>
      <c r="B2" s="184" t="s">
        <v>1968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1809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1109</v>
      </c>
      <c r="C6" s="243">
        <v>20</v>
      </c>
      <c r="D6" s="243">
        <v>50</v>
      </c>
      <c r="E6" s="243"/>
      <c r="F6" s="243">
        <f>C6*D6</f>
        <v>1000</v>
      </c>
      <c r="G6" s="243">
        <f>F6</f>
        <v>1000</v>
      </c>
      <c r="H6" s="244" t="s">
        <v>1076</v>
      </c>
      <c r="I6" s="253">
        <v>0.15</v>
      </c>
      <c r="J6" s="254">
        <f>Insumos!D19</f>
        <v>0</v>
      </c>
      <c r="K6" s="254">
        <f>TRUNC(G6*I6*J6,2)</f>
        <v>0</v>
      </c>
    </row>
    <row r="7" spans="1:11" s="247" customFormat="1" x14ac:dyDescent="0.25">
      <c r="A7" s="34" t="s">
        <v>1203</v>
      </c>
      <c r="B7" s="251" t="s">
        <v>1251</v>
      </c>
      <c r="C7" s="243">
        <v>20</v>
      </c>
      <c r="D7" s="243">
        <v>50</v>
      </c>
      <c r="E7" s="243"/>
      <c r="F7" s="243">
        <f>C7*D7</f>
        <v>1000</v>
      </c>
      <c r="G7" s="243">
        <f>F7</f>
        <v>1000</v>
      </c>
      <c r="H7" s="244" t="s">
        <v>1076</v>
      </c>
      <c r="I7" s="253">
        <v>0.15</v>
      </c>
      <c r="J7" s="254">
        <f>Insumos!D6</f>
        <v>0</v>
      </c>
      <c r="K7" s="254">
        <f>TRUNC(G7*I7*J7,2)</f>
        <v>0</v>
      </c>
    </row>
    <row r="8" spans="1:11" s="247" customFormat="1" ht="30" x14ac:dyDescent="0.25">
      <c r="A8" s="34" t="s">
        <v>1204</v>
      </c>
      <c r="B8" s="255" t="s">
        <v>1126</v>
      </c>
      <c r="C8" s="243"/>
      <c r="D8" s="243"/>
      <c r="E8" s="243"/>
      <c r="F8" s="243">
        <f>F7</f>
        <v>1000</v>
      </c>
      <c r="G8" s="243">
        <f>F6</f>
        <v>1000</v>
      </c>
      <c r="H8" s="244" t="s">
        <v>1076</v>
      </c>
      <c r="I8" s="253">
        <v>0.15</v>
      </c>
      <c r="J8" s="254">
        <f>Insumos!D27</f>
        <v>0</v>
      </c>
      <c r="K8" s="254">
        <f>TRUNC(G8*I8*J8,2)</f>
        <v>0</v>
      </c>
    </row>
    <row r="9" spans="1:11" s="247" customFormat="1" x14ac:dyDescent="0.25">
      <c r="A9" s="394"/>
      <c r="B9" s="386"/>
      <c r="C9" s="382"/>
      <c r="D9" s="382"/>
      <c r="E9" s="382"/>
      <c r="F9" s="382"/>
      <c r="G9" s="382"/>
      <c r="H9" s="382"/>
      <c r="I9" s="382"/>
      <c r="J9" s="399" t="s">
        <v>1064</v>
      </c>
      <c r="K9" s="407">
        <f>SUM(K6:K8)</f>
        <v>0</v>
      </c>
    </row>
    <row r="10" spans="1:11" s="247" customFormat="1" x14ac:dyDescent="0.25">
      <c r="A10" s="401" t="s">
        <v>1810</v>
      </c>
      <c r="B10" s="402" t="s">
        <v>1219</v>
      </c>
      <c r="C10" s="383"/>
      <c r="D10" s="383"/>
      <c r="E10" s="383"/>
      <c r="F10" s="383"/>
      <c r="G10" s="383"/>
      <c r="H10" s="383"/>
      <c r="I10" s="383"/>
      <c r="J10" s="383"/>
      <c r="K10" s="408"/>
    </row>
    <row r="11" spans="1:11" s="247" customFormat="1" x14ac:dyDescent="0.25">
      <c r="A11" s="611" t="s">
        <v>1196</v>
      </c>
      <c r="B11" s="612" t="s">
        <v>1067</v>
      </c>
      <c r="C11" s="643" t="s">
        <v>1197</v>
      </c>
      <c r="D11" s="643"/>
      <c r="E11" s="643"/>
      <c r="F11" s="643"/>
      <c r="G11" s="619" t="s">
        <v>14</v>
      </c>
      <c r="H11" s="610" t="s">
        <v>1068</v>
      </c>
      <c r="I11" s="608" t="s">
        <v>35</v>
      </c>
      <c r="J11" s="610" t="s">
        <v>1069</v>
      </c>
      <c r="K11" s="610" t="s">
        <v>16</v>
      </c>
    </row>
    <row r="12" spans="1:11" x14ac:dyDescent="0.25">
      <c r="A12" s="611"/>
      <c r="B12" s="612"/>
      <c r="C12" s="389"/>
      <c r="D12" s="389"/>
      <c r="E12" s="389"/>
      <c r="F12" s="389"/>
      <c r="G12" s="620"/>
      <c r="H12" s="610"/>
      <c r="I12" s="609"/>
      <c r="J12" s="610"/>
      <c r="K12" s="610"/>
    </row>
    <row r="13" spans="1:11" x14ac:dyDescent="0.25">
      <c r="A13" s="124" t="s">
        <v>1205</v>
      </c>
      <c r="B13" s="6" t="s">
        <v>1147</v>
      </c>
      <c r="C13" s="313"/>
      <c r="D13" s="313"/>
      <c r="E13" s="313"/>
      <c r="F13" s="313"/>
      <c r="G13" s="143">
        <v>5</v>
      </c>
      <c r="H13" s="140" t="s">
        <v>1140</v>
      </c>
      <c r="I13" s="150">
        <f>G13/SUM($G$13:$G18)</f>
        <v>2.2321428571428572E-2</v>
      </c>
      <c r="J13" s="167">
        <f>Insumos!D49</f>
        <v>0</v>
      </c>
      <c r="K13" s="167">
        <f t="shared" ref="K13:K18" si="0">TRUNC(G13*I13*J13,2)</f>
        <v>0</v>
      </c>
    </row>
    <row r="14" spans="1:11" x14ac:dyDescent="0.25">
      <c r="A14" s="124" t="s">
        <v>1206</v>
      </c>
      <c r="B14" s="6" t="s">
        <v>1148</v>
      </c>
      <c r="C14" s="313"/>
      <c r="D14" s="313"/>
      <c r="E14" s="313"/>
      <c r="F14" s="313"/>
      <c r="G14" s="143">
        <v>5</v>
      </c>
      <c r="H14" s="140" t="s">
        <v>1140</v>
      </c>
      <c r="I14" s="150">
        <f>G14/SUM($G$13:$G19)</f>
        <v>2.2321428571428572E-2</v>
      </c>
      <c r="J14" s="167">
        <f>Insumos!D50</f>
        <v>0</v>
      </c>
      <c r="K14" s="167">
        <f t="shared" si="0"/>
        <v>0</v>
      </c>
    </row>
    <row r="15" spans="1:11" x14ac:dyDescent="0.25">
      <c r="A15" s="124" t="s">
        <v>1207</v>
      </c>
      <c r="B15" s="6" t="s">
        <v>1149</v>
      </c>
      <c r="C15" s="313"/>
      <c r="D15" s="313"/>
      <c r="E15" s="313"/>
      <c r="F15" s="313"/>
      <c r="G15" s="143">
        <v>10</v>
      </c>
      <c r="H15" s="140" t="s">
        <v>1140</v>
      </c>
      <c r="I15" s="150">
        <f>G15/SUM($G$13:$G20)</f>
        <v>4.4642857142857144E-2</v>
      </c>
      <c r="J15" s="167">
        <f>Insumos!D51</f>
        <v>0</v>
      </c>
      <c r="K15" s="167">
        <f t="shared" si="0"/>
        <v>0</v>
      </c>
    </row>
    <row r="16" spans="1:11" x14ac:dyDescent="0.25">
      <c r="A16" s="124" t="s">
        <v>1208</v>
      </c>
      <c r="B16" s="6" t="s">
        <v>1150</v>
      </c>
      <c r="C16" s="313"/>
      <c r="D16" s="313"/>
      <c r="E16" s="313"/>
      <c r="F16" s="313"/>
      <c r="G16" s="143">
        <v>100</v>
      </c>
      <c r="H16" s="140" t="s">
        <v>1151</v>
      </c>
      <c r="I16" s="150">
        <f>G16/SUM($G$13:$G21)</f>
        <v>0.44642857142857145</v>
      </c>
      <c r="J16" s="167">
        <f>Insumos!D52</f>
        <v>0</v>
      </c>
      <c r="K16" s="167">
        <f t="shared" si="0"/>
        <v>0</v>
      </c>
    </row>
    <row r="17" spans="1:11" x14ac:dyDescent="0.25">
      <c r="A17" s="124" t="s">
        <v>1209</v>
      </c>
      <c r="B17" s="6" t="s">
        <v>1152</v>
      </c>
      <c r="C17" s="313"/>
      <c r="D17" s="313"/>
      <c r="E17" s="313"/>
      <c r="F17" s="313"/>
      <c r="G17" s="143">
        <v>4</v>
      </c>
      <c r="H17" s="140" t="s">
        <v>1124</v>
      </c>
      <c r="I17" s="150">
        <f>G17/SUM($G$13:$G22)</f>
        <v>1.7857142857142856E-2</v>
      </c>
      <c r="J17" s="167">
        <f>Insumos!D53</f>
        <v>0</v>
      </c>
      <c r="K17" s="167">
        <f t="shared" si="0"/>
        <v>0</v>
      </c>
    </row>
    <row r="18" spans="1:11" x14ac:dyDescent="0.25">
      <c r="A18" s="124" t="s">
        <v>1210</v>
      </c>
      <c r="B18" s="6" t="s">
        <v>1248</v>
      </c>
      <c r="C18" s="313"/>
      <c r="D18" s="313"/>
      <c r="E18" s="313"/>
      <c r="F18" s="313"/>
      <c r="G18" s="143">
        <v>100</v>
      </c>
      <c r="H18" s="140" t="s">
        <v>1154</v>
      </c>
      <c r="I18" s="150">
        <f>G18/SUM($G$13:$G23)</f>
        <v>0.3886010362694301</v>
      </c>
      <c r="J18" s="167">
        <f>Insumos!D54</f>
        <v>0</v>
      </c>
      <c r="K18" s="167">
        <f t="shared" si="0"/>
        <v>0</v>
      </c>
    </row>
    <row r="19" spans="1:11" x14ac:dyDescent="0.25">
      <c r="A19" s="152"/>
      <c r="B19" s="159"/>
      <c r="C19" s="387"/>
      <c r="D19" s="387"/>
      <c r="E19" s="387"/>
      <c r="F19" s="387"/>
      <c r="G19" s="154"/>
      <c r="H19" s="157"/>
      <c r="I19" s="157"/>
      <c r="J19" s="192" t="s">
        <v>1064</v>
      </c>
      <c r="K19" s="193">
        <f>SUM(K13:K18)</f>
        <v>0</v>
      </c>
    </row>
    <row r="20" spans="1:11" x14ac:dyDescent="0.25">
      <c r="A20" s="146" t="s">
        <v>1811</v>
      </c>
      <c r="B20" s="179" t="s">
        <v>1155</v>
      </c>
      <c r="C20" s="388"/>
      <c r="D20" s="388"/>
      <c r="E20" s="388"/>
      <c r="F20" s="388"/>
      <c r="G20" s="148"/>
      <c r="H20" s="148"/>
      <c r="I20" s="148"/>
      <c r="J20" s="148"/>
      <c r="K20" s="188"/>
    </row>
    <row r="21" spans="1:11" x14ac:dyDescent="0.25">
      <c r="A21" s="611" t="s">
        <v>1196</v>
      </c>
      <c r="B21" s="612" t="s">
        <v>1067</v>
      </c>
      <c r="C21" s="637" t="s">
        <v>1197</v>
      </c>
      <c r="D21" s="638"/>
      <c r="E21" s="638"/>
      <c r="F21" s="639"/>
      <c r="G21" s="619" t="s">
        <v>14</v>
      </c>
      <c r="H21" s="610" t="s">
        <v>1068</v>
      </c>
      <c r="I21" s="608" t="s">
        <v>35</v>
      </c>
      <c r="J21" s="610" t="s">
        <v>1249</v>
      </c>
      <c r="K21" s="610" t="s">
        <v>16</v>
      </c>
    </row>
    <row r="22" spans="1:11" x14ac:dyDescent="0.25">
      <c r="A22" s="611"/>
      <c r="B22" s="612"/>
      <c r="C22" s="640"/>
      <c r="D22" s="641"/>
      <c r="E22" s="641"/>
      <c r="F22" s="642"/>
      <c r="G22" s="620"/>
      <c r="H22" s="610"/>
      <c r="I22" s="609"/>
      <c r="J22" s="610"/>
      <c r="K22" s="610"/>
    </row>
    <row r="23" spans="1:11" x14ac:dyDescent="0.25">
      <c r="A23" s="124" t="s">
        <v>1211</v>
      </c>
      <c r="B23" s="104" t="s">
        <v>1156</v>
      </c>
      <c r="C23" s="313"/>
      <c r="D23" s="313"/>
      <c r="E23" s="313"/>
      <c r="F23" s="313"/>
      <c r="G23" s="143">
        <f>G8/30</f>
        <v>33.333333333333336</v>
      </c>
      <c r="H23" s="140" t="s">
        <v>1228</v>
      </c>
      <c r="I23" s="150">
        <f>G23/SUM($G$23:$G33)</f>
        <v>0.16174375168483074</v>
      </c>
      <c r="J23" s="167">
        <f>Insumos!D58</f>
        <v>0</v>
      </c>
      <c r="K23" s="167">
        <f t="shared" ref="K23:K33" si="1">TRUNC(G23*I23*J23,2)</f>
        <v>0</v>
      </c>
    </row>
    <row r="24" spans="1:11" x14ac:dyDescent="0.25">
      <c r="A24" s="124" t="s">
        <v>1212</v>
      </c>
      <c r="B24" s="104" t="s">
        <v>1171</v>
      </c>
      <c r="C24" s="313"/>
      <c r="D24" s="313"/>
      <c r="E24" s="313"/>
      <c r="F24" s="313"/>
      <c r="G24" s="143">
        <v>64</v>
      </c>
      <c r="H24" s="140" t="s">
        <v>1089</v>
      </c>
      <c r="I24" s="150">
        <f>G24/SUM($G$23:$G34)</f>
        <v>0.31054800323487503</v>
      </c>
      <c r="J24" s="167">
        <f>Insumos!D69</f>
        <v>0</v>
      </c>
      <c r="K24" s="167">
        <f t="shared" si="1"/>
        <v>0</v>
      </c>
    </row>
    <row r="25" spans="1:11" x14ac:dyDescent="0.25">
      <c r="A25" s="124" t="s">
        <v>1213</v>
      </c>
      <c r="B25" s="104" t="s">
        <v>1158</v>
      </c>
      <c r="C25" s="143"/>
      <c r="D25" s="143"/>
      <c r="E25" s="143"/>
      <c r="F25" s="143"/>
      <c r="G25" s="143">
        <v>10</v>
      </c>
      <c r="H25" s="140" t="s">
        <v>1261</v>
      </c>
      <c r="I25" s="150">
        <f>G25/SUM($G$23:$G35)</f>
        <v>4.8523125505449224E-2</v>
      </c>
      <c r="J25" s="167">
        <f>Insumos!D60</f>
        <v>0</v>
      </c>
      <c r="K25" s="167">
        <f t="shared" si="1"/>
        <v>0</v>
      </c>
    </row>
    <row r="26" spans="1:11" x14ac:dyDescent="0.25">
      <c r="A26" s="124" t="s">
        <v>1214</v>
      </c>
      <c r="B26" s="104" t="s">
        <v>1160</v>
      </c>
      <c r="C26" s="143"/>
      <c r="D26" s="143"/>
      <c r="E26" s="143"/>
      <c r="F26" s="143"/>
      <c r="G26" s="143">
        <v>10</v>
      </c>
      <c r="H26" s="140" t="s">
        <v>1261</v>
      </c>
      <c r="I26" s="150">
        <f>G26/SUM($G$23:$G36)</f>
        <v>4.8523125505449224E-2</v>
      </c>
      <c r="J26" s="167">
        <f>Insumos!D61</f>
        <v>0</v>
      </c>
      <c r="K26" s="167">
        <f t="shared" si="1"/>
        <v>0</v>
      </c>
    </row>
    <row r="27" spans="1:11" x14ac:dyDescent="0.25">
      <c r="A27" s="124" t="s">
        <v>1215</v>
      </c>
      <c r="B27" s="104" t="s">
        <v>1161</v>
      </c>
      <c r="C27" s="143"/>
      <c r="D27" s="143"/>
      <c r="E27" s="143"/>
      <c r="F27" s="143"/>
      <c r="G27" s="143">
        <v>3.7539682539682535</v>
      </c>
      <c r="H27" s="140" t="s">
        <v>1162</v>
      </c>
      <c r="I27" s="150">
        <f>G27/SUM($G$23:$G37)</f>
        <v>1.8215427273077366E-2</v>
      </c>
      <c r="J27" s="167">
        <f>Insumos!D62</f>
        <v>0</v>
      </c>
      <c r="K27" s="167">
        <f t="shared" si="1"/>
        <v>0</v>
      </c>
    </row>
    <row r="28" spans="1:11" x14ac:dyDescent="0.25">
      <c r="A28" s="124" t="s">
        <v>1216</v>
      </c>
      <c r="B28" s="104" t="s">
        <v>1163</v>
      </c>
      <c r="C28" s="143"/>
      <c r="D28" s="143"/>
      <c r="E28" s="143"/>
      <c r="F28" s="143"/>
      <c r="G28" s="195">
        <v>5</v>
      </c>
      <c r="H28" s="140" t="s">
        <v>1068</v>
      </c>
      <c r="I28" s="150">
        <f>G28/SUM($G$23:$G38)</f>
        <v>2.3575197395502002E-2</v>
      </c>
      <c r="J28" s="167">
        <f>Insumos!D63</f>
        <v>0</v>
      </c>
      <c r="K28" s="167">
        <f t="shared" si="1"/>
        <v>0</v>
      </c>
    </row>
    <row r="29" spans="1:11" x14ac:dyDescent="0.25">
      <c r="A29" s="124" t="s">
        <v>1217</v>
      </c>
      <c r="B29" s="104" t="s">
        <v>1164</v>
      </c>
      <c r="C29" s="143"/>
      <c r="D29" s="143"/>
      <c r="E29" s="143"/>
      <c r="F29" s="143"/>
      <c r="G29" s="143">
        <v>5</v>
      </c>
      <c r="H29" s="140" t="s">
        <v>1068</v>
      </c>
      <c r="I29" s="150">
        <f>G29/SUM($G$23:$G39)</f>
        <v>2.3575197395502002E-2</v>
      </c>
      <c r="J29" s="167">
        <f>Insumos!D64</f>
        <v>0</v>
      </c>
      <c r="K29" s="167">
        <f t="shared" si="1"/>
        <v>0</v>
      </c>
    </row>
    <row r="30" spans="1:11" x14ac:dyDescent="0.25">
      <c r="A30" s="124" t="s">
        <v>1220</v>
      </c>
      <c r="B30" s="104" t="s">
        <v>1165</v>
      </c>
      <c r="C30" s="143"/>
      <c r="D30" s="143"/>
      <c r="E30" s="143"/>
      <c r="F30" s="143"/>
      <c r="G30" s="143">
        <v>5</v>
      </c>
      <c r="H30" s="140" t="s">
        <v>1068</v>
      </c>
      <c r="I30" s="150">
        <f>G30/SUM($G$23:$G40)</f>
        <v>2.3575197395502002E-2</v>
      </c>
      <c r="J30" s="167">
        <f>Insumos!D65</f>
        <v>0</v>
      </c>
      <c r="K30" s="167">
        <f t="shared" si="1"/>
        <v>0</v>
      </c>
    </row>
    <row r="31" spans="1:11" x14ac:dyDescent="0.25">
      <c r="A31" s="124" t="s">
        <v>1222</v>
      </c>
      <c r="B31" s="104" t="s">
        <v>1166</v>
      </c>
      <c r="C31" s="143"/>
      <c r="D31" s="143"/>
      <c r="E31" s="143"/>
      <c r="F31" s="143"/>
      <c r="G31" s="143">
        <v>10</v>
      </c>
      <c r="H31" s="140" t="s">
        <v>1228</v>
      </c>
      <c r="I31" s="150">
        <f>G31/SUM($G$23:$G41)</f>
        <v>4.7150394791004004E-2</v>
      </c>
      <c r="J31" s="167">
        <f>Insumos!D66</f>
        <v>0</v>
      </c>
      <c r="K31" s="167">
        <f t="shared" si="1"/>
        <v>0</v>
      </c>
    </row>
    <row r="32" spans="1:11" x14ac:dyDescent="0.25">
      <c r="A32" s="124" t="s">
        <v>1223</v>
      </c>
      <c r="B32" s="104" t="s">
        <v>1167</v>
      </c>
      <c r="C32" s="143"/>
      <c r="D32" s="143"/>
      <c r="E32" s="143"/>
      <c r="F32" s="143"/>
      <c r="G32" s="143">
        <v>10</v>
      </c>
      <c r="H32" s="140" t="s">
        <v>1168</v>
      </c>
      <c r="I32" s="150">
        <f>G32/SUM($G$23:$G42)</f>
        <v>4.7150394791004004E-2</v>
      </c>
      <c r="J32" s="167">
        <f>Insumos!D67</f>
        <v>0</v>
      </c>
      <c r="K32" s="167">
        <f t="shared" ref="K32" si="2">TRUNC(G32*I32*J32,2)</f>
        <v>0</v>
      </c>
    </row>
    <row r="33" spans="1:11" x14ac:dyDescent="0.25">
      <c r="A33" s="124" t="s">
        <v>1224</v>
      </c>
      <c r="B33" s="104" t="s">
        <v>1169</v>
      </c>
      <c r="C33" s="143"/>
      <c r="D33" s="143"/>
      <c r="E33" s="143"/>
      <c r="F33" s="143"/>
      <c r="G33" s="143">
        <v>50</v>
      </c>
      <c r="H33" s="140" t="s">
        <v>1170</v>
      </c>
      <c r="I33" s="150">
        <f>G33/SUM($G$23:$G43)</f>
        <v>0.22926598493394956</v>
      </c>
      <c r="J33" s="167">
        <f>Insumos!D68</f>
        <v>0</v>
      </c>
      <c r="K33" s="167">
        <f t="shared" si="1"/>
        <v>0</v>
      </c>
    </row>
    <row r="34" spans="1:11" x14ac:dyDescent="0.25">
      <c r="A34" s="152"/>
      <c r="B34" s="159"/>
      <c r="C34" s="159"/>
      <c r="D34" s="159"/>
      <c r="E34" s="159"/>
      <c r="F34" s="159"/>
      <c r="G34" s="159"/>
      <c r="H34" s="159"/>
      <c r="I34" s="159"/>
      <c r="J34" s="170" t="s">
        <v>1064</v>
      </c>
      <c r="K34" s="175">
        <f>SUM(K23:K33)</f>
        <v>0</v>
      </c>
    </row>
    <row r="35" spans="1:11" x14ac:dyDescent="0.25">
      <c r="A35" s="146" t="s">
        <v>1812</v>
      </c>
      <c r="B35" s="179" t="s">
        <v>1176</v>
      </c>
      <c r="C35" s="148"/>
      <c r="D35" s="148"/>
      <c r="E35" s="148"/>
      <c r="F35" s="148"/>
      <c r="G35" s="148"/>
      <c r="H35" s="148"/>
      <c r="I35" s="148"/>
      <c r="J35" s="148"/>
      <c r="K35" s="188"/>
    </row>
    <row r="36" spans="1:11" x14ac:dyDescent="0.25">
      <c r="A36" s="611" t="s">
        <v>1196</v>
      </c>
      <c r="B36" s="612" t="s">
        <v>1067</v>
      </c>
      <c r="C36" s="613" t="s">
        <v>1197</v>
      </c>
      <c r="D36" s="614"/>
      <c r="E36" s="614"/>
      <c r="F36" s="615"/>
      <c r="G36" s="619" t="s">
        <v>14</v>
      </c>
      <c r="H36" s="610" t="s">
        <v>1068</v>
      </c>
      <c r="I36" s="608" t="s">
        <v>35</v>
      </c>
      <c r="J36" s="610" t="s">
        <v>1249</v>
      </c>
      <c r="K36" s="610" t="s">
        <v>16</v>
      </c>
    </row>
    <row r="37" spans="1:11" x14ac:dyDescent="0.25">
      <c r="A37" s="611"/>
      <c r="B37" s="612"/>
      <c r="C37" s="616"/>
      <c r="D37" s="617"/>
      <c r="E37" s="617"/>
      <c r="F37" s="618"/>
      <c r="G37" s="620"/>
      <c r="H37" s="610"/>
      <c r="I37" s="609"/>
      <c r="J37" s="610"/>
      <c r="K37" s="610"/>
    </row>
    <row r="38" spans="1:11" x14ac:dyDescent="0.25">
      <c r="A38" s="124" t="s">
        <v>1225</v>
      </c>
      <c r="B38" s="6" t="s">
        <v>1242</v>
      </c>
      <c r="C38" s="605"/>
      <c r="D38" s="606"/>
      <c r="E38" s="606"/>
      <c r="F38" s="607"/>
      <c r="G38" s="143">
        <v>6</v>
      </c>
      <c r="H38" s="140" t="s">
        <v>1140</v>
      </c>
      <c r="I38" s="150">
        <v>6</v>
      </c>
      <c r="J38" s="167">
        <f>Insumos!D75</f>
        <v>0</v>
      </c>
      <c r="K38" s="167">
        <f>TRUNC(G38*I38*J38,2)</f>
        <v>0</v>
      </c>
    </row>
    <row r="39" spans="1:11" x14ac:dyDescent="0.25">
      <c r="A39" s="152"/>
      <c r="B39" s="159"/>
      <c r="C39" s="159"/>
      <c r="D39" s="159"/>
      <c r="E39" s="159"/>
      <c r="F39" s="159"/>
      <c r="G39" s="159"/>
      <c r="H39" s="159"/>
      <c r="I39" s="159"/>
      <c r="J39" s="170" t="s">
        <v>1064</v>
      </c>
      <c r="K39" s="175">
        <f>SUM(K38)</f>
        <v>0</v>
      </c>
    </row>
    <row r="40" spans="1:11" x14ac:dyDescent="0.25">
      <c r="A40" s="146" t="s">
        <v>1813</v>
      </c>
      <c r="B40" s="179" t="s">
        <v>1178</v>
      </c>
      <c r="C40" s="148"/>
      <c r="D40" s="148"/>
      <c r="E40" s="148"/>
      <c r="F40" s="148"/>
      <c r="G40" s="148"/>
      <c r="H40" s="148"/>
      <c r="I40" s="148"/>
      <c r="J40" s="148"/>
      <c r="K40" s="188"/>
    </row>
    <row r="41" spans="1:11" x14ac:dyDescent="0.25">
      <c r="A41" s="611" t="s">
        <v>1196</v>
      </c>
      <c r="B41" s="612" t="s">
        <v>1067</v>
      </c>
      <c r="C41" s="613" t="s">
        <v>1197</v>
      </c>
      <c r="D41" s="614"/>
      <c r="E41" s="614"/>
      <c r="F41" s="615"/>
      <c r="G41" s="619" t="s">
        <v>14</v>
      </c>
      <c r="H41" s="610" t="s">
        <v>1068</v>
      </c>
      <c r="I41" s="608" t="s">
        <v>35</v>
      </c>
      <c r="J41" s="610" t="s">
        <v>1249</v>
      </c>
      <c r="K41" s="610" t="s">
        <v>16</v>
      </c>
    </row>
    <row r="42" spans="1:11" x14ac:dyDescent="0.25">
      <c r="A42" s="611"/>
      <c r="B42" s="612"/>
      <c r="C42" s="616"/>
      <c r="D42" s="617"/>
      <c r="E42" s="617"/>
      <c r="F42" s="618"/>
      <c r="G42" s="620"/>
      <c r="H42" s="610"/>
      <c r="I42" s="609"/>
      <c r="J42" s="610"/>
      <c r="K42" s="610"/>
    </row>
    <row r="43" spans="1:11" x14ac:dyDescent="0.25">
      <c r="A43" s="124" t="s">
        <v>1226</v>
      </c>
      <c r="B43" s="6" t="s">
        <v>42</v>
      </c>
      <c r="C43" s="605"/>
      <c r="D43" s="606"/>
      <c r="E43" s="606"/>
      <c r="F43" s="607"/>
      <c r="G43" s="143">
        <v>6</v>
      </c>
      <c r="H43" s="140" t="s">
        <v>1140</v>
      </c>
      <c r="I43" s="150">
        <v>6</v>
      </c>
      <c r="J43" s="167">
        <f>Insumos!D78</f>
        <v>0</v>
      </c>
      <c r="K43" s="167">
        <f>TRUNC(G43*I43*J43,2)</f>
        <v>0</v>
      </c>
    </row>
    <row r="44" spans="1:11" x14ac:dyDescent="0.25">
      <c r="A44" s="152"/>
      <c r="B44" s="159"/>
      <c r="C44" s="159"/>
      <c r="D44" s="159"/>
      <c r="E44" s="159"/>
      <c r="F44" s="159"/>
      <c r="G44" s="159"/>
      <c r="H44" s="159"/>
      <c r="I44" s="159"/>
      <c r="J44" s="170" t="s">
        <v>1064</v>
      </c>
      <c r="K44" s="175">
        <f>K43</f>
        <v>0</v>
      </c>
    </row>
    <row r="45" spans="1:11" x14ac:dyDescent="0.25">
      <c r="A45" s="146" t="s">
        <v>1814</v>
      </c>
      <c r="B45" s="179" t="s">
        <v>1180</v>
      </c>
      <c r="C45" s="148"/>
      <c r="D45" s="148"/>
      <c r="E45" s="148"/>
      <c r="F45" s="148"/>
      <c r="G45" s="148"/>
      <c r="H45" s="148"/>
      <c r="I45" s="148"/>
      <c r="J45" s="148"/>
      <c r="K45" s="188"/>
    </row>
    <row r="46" spans="1:11" x14ac:dyDescent="0.25">
      <c r="A46" s="611" t="s">
        <v>1196</v>
      </c>
      <c r="B46" s="612" t="s">
        <v>1067</v>
      </c>
      <c r="C46" s="613" t="s">
        <v>1197</v>
      </c>
      <c r="D46" s="614"/>
      <c r="E46" s="614"/>
      <c r="F46" s="615"/>
      <c r="G46" s="619" t="s">
        <v>14</v>
      </c>
      <c r="H46" s="610" t="s">
        <v>1068</v>
      </c>
      <c r="I46" s="608" t="s">
        <v>35</v>
      </c>
      <c r="J46" s="610" t="s">
        <v>1249</v>
      </c>
      <c r="K46" s="610" t="s">
        <v>16</v>
      </c>
    </row>
    <row r="47" spans="1:11" x14ac:dyDescent="0.25">
      <c r="A47" s="611"/>
      <c r="B47" s="612"/>
      <c r="C47" s="616"/>
      <c r="D47" s="617"/>
      <c r="E47" s="617"/>
      <c r="F47" s="618"/>
      <c r="G47" s="620"/>
      <c r="H47" s="610"/>
      <c r="I47" s="609"/>
      <c r="J47" s="610"/>
      <c r="K47" s="610"/>
    </row>
    <row r="48" spans="1:11" x14ac:dyDescent="0.25">
      <c r="A48" s="124" t="s">
        <v>1227</v>
      </c>
      <c r="B48" s="6" t="s">
        <v>1181</v>
      </c>
      <c r="C48" s="605"/>
      <c r="D48" s="606"/>
      <c r="E48" s="606"/>
      <c r="F48" s="607"/>
      <c r="G48" s="143">
        <v>2</v>
      </c>
      <c r="H48" s="140" t="s">
        <v>1140</v>
      </c>
      <c r="I48" s="150">
        <f>G48/SUM($G$48:$G$50)</f>
        <v>0.33333333333333331</v>
      </c>
      <c r="J48" s="167">
        <f>Insumos!D81</f>
        <v>0</v>
      </c>
      <c r="K48" s="167">
        <f>TRUNC(G48*I48*J48,2)</f>
        <v>0</v>
      </c>
    </row>
    <row r="49" spans="1:11" x14ac:dyDescent="0.25">
      <c r="A49" s="124" t="s">
        <v>1229</v>
      </c>
      <c r="B49" s="6" t="s">
        <v>1182</v>
      </c>
      <c r="C49" s="605"/>
      <c r="D49" s="606"/>
      <c r="E49" s="606"/>
      <c r="F49" s="607"/>
      <c r="G49" s="143">
        <v>2</v>
      </c>
      <c r="H49" s="140" t="s">
        <v>1140</v>
      </c>
      <c r="I49" s="150">
        <f t="shared" ref="I49:I50" si="3">G49/SUM($G$48:$G$50)</f>
        <v>0.33333333333333331</v>
      </c>
      <c r="J49" s="167">
        <f>Insumos!D82</f>
        <v>0</v>
      </c>
      <c r="K49" s="167">
        <f>TRUNC(G49*I49*J49,2)</f>
        <v>0</v>
      </c>
    </row>
    <row r="50" spans="1:11" x14ac:dyDescent="0.25">
      <c r="A50" s="124" t="s">
        <v>1231</v>
      </c>
      <c r="B50" s="6" t="s">
        <v>1183</v>
      </c>
      <c r="C50" s="605"/>
      <c r="D50" s="606"/>
      <c r="E50" s="606"/>
      <c r="F50" s="607"/>
      <c r="G50" s="143">
        <v>2</v>
      </c>
      <c r="H50" s="140" t="s">
        <v>1140</v>
      </c>
      <c r="I50" s="150">
        <f t="shared" si="3"/>
        <v>0.33333333333333331</v>
      </c>
      <c r="J50" s="167">
        <f>Insumos!D83</f>
        <v>0</v>
      </c>
      <c r="K50" s="167">
        <f>TRUNC(G50*I50*J50,2)</f>
        <v>0</v>
      </c>
    </row>
    <row r="51" spans="1:11" x14ac:dyDescent="0.25">
      <c r="A51" s="152"/>
      <c r="B51" s="159"/>
      <c r="C51" s="159"/>
      <c r="D51" s="159"/>
      <c r="E51" s="159"/>
      <c r="F51" s="159"/>
      <c r="G51" s="159"/>
      <c r="H51" s="159"/>
      <c r="I51" s="159"/>
      <c r="J51" s="170" t="s">
        <v>1064</v>
      </c>
      <c r="K51" s="175">
        <f>SUM(K48:K50)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1:J12"/>
    <mergeCell ref="K11:K12"/>
    <mergeCell ref="A21:A22"/>
    <mergeCell ref="B21:B22"/>
    <mergeCell ref="C21:F22"/>
    <mergeCell ref="G21:G22"/>
    <mergeCell ref="H21:H22"/>
    <mergeCell ref="I21:I22"/>
    <mergeCell ref="J21:J22"/>
    <mergeCell ref="K21:K22"/>
    <mergeCell ref="A11:A12"/>
    <mergeCell ref="B11:B12"/>
    <mergeCell ref="C11:F11"/>
    <mergeCell ref="G11:G12"/>
    <mergeCell ref="H11:H12"/>
    <mergeCell ref="I11:I12"/>
    <mergeCell ref="J36:J37"/>
    <mergeCell ref="K36:K37"/>
    <mergeCell ref="C38:F38"/>
    <mergeCell ref="A41:A42"/>
    <mergeCell ref="B41:B42"/>
    <mergeCell ref="C41:F42"/>
    <mergeCell ref="G41:G42"/>
    <mergeCell ref="H41:H42"/>
    <mergeCell ref="I41:I42"/>
    <mergeCell ref="J41:J42"/>
    <mergeCell ref="A36:A37"/>
    <mergeCell ref="B36:B37"/>
    <mergeCell ref="C36:F37"/>
    <mergeCell ref="G36:G37"/>
    <mergeCell ref="H36:H37"/>
    <mergeCell ref="I36:I37"/>
    <mergeCell ref="A46:A47"/>
    <mergeCell ref="B46:B47"/>
    <mergeCell ref="C46:F47"/>
    <mergeCell ref="G46:G47"/>
    <mergeCell ref="H46:H47"/>
    <mergeCell ref="C48:F48"/>
    <mergeCell ref="C49:F49"/>
    <mergeCell ref="C50:F50"/>
    <mergeCell ref="K41:K42"/>
    <mergeCell ref="C43:F43"/>
    <mergeCell ref="I46:I47"/>
    <mergeCell ref="J46:J47"/>
    <mergeCell ref="K46:K47"/>
  </mergeCells>
  <pageMargins left="0.511811024" right="0.511811024" top="0.78740157499999996" bottom="0.78740157499999996" header="0.31496062000000002" footer="0.31496062000000002"/>
  <pageSetup paperSize="9" scale="54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view="pageBreakPreview" topLeftCell="A19" zoomScale="80" zoomScaleNormal="80" zoomScaleSheetLayoutView="80" workbookViewId="0">
      <selection activeCell="B3" sqref="B3:F3"/>
    </sheetView>
  </sheetViews>
  <sheetFormatPr defaultRowHeight="15" x14ac:dyDescent="0.25"/>
  <cols>
    <col min="1" max="1" width="11" customWidth="1"/>
    <col min="2" max="2" width="65.42578125" customWidth="1"/>
    <col min="3" max="4" width="8.42578125" style="444" customWidth="1"/>
    <col min="5" max="5" width="7.7109375" style="444" customWidth="1"/>
    <col min="6" max="7" width="10.85546875" style="444" customWidth="1"/>
    <col min="8" max="8" width="9.85546875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6</v>
      </c>
      <c r="B2" s="631" t="s">
        <v>1337</v>
      </c>
      <c r="C2" s="632"/>
      <c r="D2" s="632"/>
      <c r="E2" s="632"/>
      <c r="F2" s="632"/>
      <c r="G2" s="632"/>
      <c r="H2" s="632"/>
      <c r="I2" s="632"/>
      <c r="J2" s="632"/>
      <c r="K2" s="633"/>
    </row>
    <row r="3" spans="1:11" x14ac:dyDescent="0.25">
      <c r="A3" s="146" t="s">
        <v>95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77"/>
      <c r="K3" s="148"/>
    </row>
    <row r="4" spans="1:11" x14ac:dyDescent="0.25">
      <c r="A4" s="611" t="s">
        <v>1196</v>
      </c>
      <c r="B4" s="612" t="s">
        <v>1067</v>
      </c>
      <c r="C4" s="655" t="s">
        <v>1197</v>
      </c>
      <c r="D4" s="655"/>
      <c r="E4" s="655"/>
      <c r="F4" s="655"/>
      <c r="G4" s="659" t="s">
        <v>14</v>
      </c>
      <c r="H4" s="609" t="s">
        <v>1068</v>
      </c>
      <c r="I4" s="660" t="s">
        <v>35</v>
      </c>
      <c r="J4" s="661" t="s">
        <v>1069</v>
      </c>
      <c r="K4" s="609" t="s">
        <v>16</v>
      </c>
    </row>
    <row r="5" spans="1:11" x14ac:dyDescent="0.25">
      <c r="A5" s="611"/>
      <c r="B5" s="612"/>
      <c r="C5" s="437" t="s">
        <v>1198</v>
      </c>
      <c r="D5" s="437" t="s">
        <v>1199</v>
      </c>
      <c r="E5" s="437" t="s">
        <v>1200</v>
      </c>
      <c r="F5" s="437" t="s">
        <v>1201</v>
      </c>
      <c r="G5" s="655"/>
      <c r="H5" s="610"/>
      <c r="I5" s="609"/>
      <c r="J5" s="662"/>
      <c r="K5" s="610"/>
    </row>
    <row r="6" spans="1:11" s="247" customFormat="1" x14ac:dyDescent="0.25">
      <c r="A6" s="34" t="s">
        <v>1202</v>
      </c>
      <c r="B6" s="251" t="s">
        <v>1079</v>
      </c>
      <c r="C6" s="369">
        <v>10</v>
      </c>
      <c r="D6" s="369">
        <v>8</v>
      </c>
      <c r="E6" s="369"/>
      <c r="F6" s="369">
        <f>C6*D6</f>
        <v>80</v>
      </c>
      <c r="G6" s="369">
        <f>F6</f>
        <v>80</v>
      </c>
      <c r="H6" s="244" t="s">
        <v>1076</v>
      </c>
      <c r="I6" s="253">
        <v>1</v>
      </c>
      <c r="J6" s="254">
        <f>Insumos!D5</f>
        <v>0</v>
      </c>
      <c r="K6" s="125">
        <f t="shared" ref="K6:K11" si="0">TRUNC(G6*I6*J6,2)</f>
        <v>0</v>
      </c>
    </row>
    <row r="7" spans="1:11" s="247" customFormat="1" x14ac:dyDescent="0.25">
      <c r="A7" s="34" t="s">
        <v>1203</v>
      </c>
      <c r="B7" s="251" t="s">
        <v>1082</v>
      </c>
      <c r="C7" s="369">
        <v>15.05</v>
      </c>
      <c r="D7" s="369">
        <v>11.04</v>
      </c>
      <c r="E7" s="369"/>
      <c r="F7" s="369">
        <f t="shared" ref="F7:F8" si="1">C7*D7</f>
        <v>166.15199999999999</v>
      </c>
      <c r="G7" s="369">
        <f t="shared" ref="G7:G9" si="2">F7</f>
        <v>166.15199999999999</v>
      </c>
      <c r="H7" s="244" t="s">
        <v>1076</v>
      </c>
      <c r="I7" s="253">
        <v>1</v>
      </c>
      <c r="J7" s="254">
        <f>Insumos!D6</f>
        <v>0</v>
      </c>
      <c r="K7" s="125">
        <f t="shared" si="0"/>
        <v>0</v>
      </c>
    </row>
    <row r="8" spans="1:11" s="247" customFormat="1" x14ac:dyDescent="0.25">
      <c r="A8" s="34" t="s">
        <v>1204</v>
      </c>
      <c r="B8" s="251" t="s">
        <v>1085</v>
      </c>
      <c r="C8" s="369">
        <v>15</v>
      </c>
      <c r="D8" s="369">
        <f>D7</f>
        <v>11.04</v>
      </c>
      <c r="E8" s="369"/>
      <c r="F8" s="369">
        <f t="shared" si="1"/>
        <v>165.6</v>
      </c>
      <c r="G8" s="369">
        <f t="shared" si="2"/>
        <v>165.6</v>
      </c>
      <c r="H8" s="244" t="s">
        <v>1076</v>
      </c>
      <c r="I8" s="253">
        <v>1</v>
      </c>
      <c r="J8" s="254">
        <f>Insumos!D7</f>
        <v>0</v>
      </c>
      <c r="K8" s="125">
        <f>TRUNC(G8*I8*J8,2)</f>
        <v>0</v>
      </c>
    </row>
    <row r="9" spans="1:11" s="247" customFormat="1" x14ac:dyDescent="0.25">
      <c r="A9" s="34" t="s">
        <v>1205</v>
      </c>
      <c r="B9" s="251" t="s">
        <v>1118</v>
      </c>
      <c r="C9" s="370">
        <v>12</v>
      </c>
      <c r="D9" s="370">
        <v>6</v>
      </c>
      <c r="E9" s="370">
        <v>2</v>
      </c>
      <c r="F9" s="369">
        <f>C9*D9*E9</f>
        <v>144</v>
      </c>
      <c r="G9" s="369">
        <f t="shared" si="2"/>
        <v>144</v>
      </c>
      <c r="H9" s="244" t="s">
        <v>1076</v>
      </c>
      <c r="I9" s="253">
        <v>1</v>
      </c>
      <c r="J9" s="254">
        <f>Insumos!D21</f>
        <v>0</v>
      </c>
      <c r="K9" s="125">
        <f t="shared" si="0"/>
        <v>0</v>
      </c>
    </row>
    <row r="10" spans="1:11" s="247" customFormat="1" x14ac:dyDescent="0.25">
      <c r="A10" s="34" t="s">
        <v>1206</v>
      </c>
      <c r="B10" s="255" t="s">
        <v>1341</v>
      </c>
      <c r="C10" s="370">
        <v>3</v>
      </c>
      <c r="D10" s="370">
        <v>3</v>
      </c>
      <c r="E10" s="370">
        <v>5</v>
      </c>
      <c r="F10" s="369">
        <f>C10*D10*E10</f>
        <v>45</v>
      </c>
      <c r="G10" s="369">
        <f t="shared" ref="G10:G13" si="3">F10</f>
        <v>45</v>
      </c>
      <c r="H10" s="244" t="s">
        <v>1124</v>
      </c>
      <c r="I10" s="253">
        <v>1</v>
      </c>
      <c r="J10" s="254">
        <f>Insumos!D17</f>
        <v>0</v>
      </c>
      <c r="K10" s="125">
        <f t="shared" si="0"/>
        <v>0</v>
      </c>
    </row>
    <row r="11" spans="1:11" s="247" customFormat="1" x14ac:dyDescent="0.25">
      <c r="A11" s="34" t="s">
        <v>1207</v>
      </c>
      <c r="B11" s="251" t="s">
        <v>1133</v>
      </c>
      <c r="C11" s="393"/>
      <c r="D11" s="393"/>
      <c r="E11" s="393"/>
      <c r="F11" s="371"/>
      <c r="G11" s="369">
        <v>5</v>
      </c>
      <c r="H11" s="244" t="s">
        <v>1124</v>
      </c>
      <c r="I11" s="253">
        <v>1</v>
      </c>
      <c r="J11" s="254">
        <f>Insumos!D34</f>
        <v>0</v>
      </c>
      <c r="K11" s="125">
        <f t="shared" si="0"/>
        <v>0</v>
      </c>
    </row>
    <row r="12" spans="1:11" s="247" customFormat="1" x14ac:dyDescent="0.25">
      <c r="A12" s="34" t="s">
        <v>1208</v>
      </c>
      <c r="B12" s="251" t="s">
        <v>1087</v>
      </c>
      <c r="C12" s="370">
        <v>1</v>
      </c>
      <c r="D12" s="370">
        <v>5</v>
      </c>
      <c r="E12" s="369">
        <v>2</v>
      </c>
      <c r="F12" s="369">
        <f>C12*D12*E12</f>
        <v>10</v>
      </c>
      <c r="G12" s="369">
        <f t="shared" ref="G12" si="4">F12</f>
        <v>10</v>
      </c>
      <c r="H12" s="244" t="s">
        <v>1076</v>
      </c>
      <c r="I12" s="253">
        <v>1</v>
      </c>
      <c r="J12" s="254">
        <f>Insumos!D8</f>
        <v>0</v>
      </c>
      <c r="K12" s="125">
        <f t="shared" ref="K12:K17" si="5">TRUNC(G12*I12*J12,2)</f>
        <v>0</v>
      </c>
    </row>
    <row r="13" spans="1:11" s="247" customFormat="1" x14ac:dyDescent="0.25">
      <c r="A13" s="34" t="s">
        <v>1209</v>
      </c>
      <c r="B13" s="251" t="s">
        <v>1108</v>
      </c>
      <c r="C13" s="370">
        <v>3</v>
      </c>
      <c r="D13" s="370">
        <v>3</v>
      </c>
      <c r="E13" s="369"/>
      <c r="F13" s="369">
        <f>C13*D13</f>
        <v>9</v>
      </c>
      <c r="G13" s="369">
        <f t="shared" si="3"/>
        <v>9</v>
      </c>
      <c r="H13" s="244" t="s">
        <v>1076</v>
      </c>
      <c r="I13" s="253">
        <v>1</v>
      </c>
      <c r="J13" s="254">
        <f>Insumos!D18</f>
        <v>0</v>
      </c>
      <c r="K13" s="125">
        <f t="shared" si="5"/>
        <v>0</v>
      </c>
    </row>
    <row r="14" spans="1:11" s="247" customFormat="1" x14ac:dyDescent="0.25">
      <c r="A14" s="34" t="s">
        <v>1210</v>
      </c>
      <c r="B14" s="251" t="s">
        <v>1090</v>
      </c>
      <c r="C14" s="370">
        <v>2</v>
      </c>
      <c r="D14" s="370">
        <v>2.5</v>
      </c>
      <c r="E14" s="370"/>
      <c r="F14" s="369">
        <f>C14*D14</f>
        <v>5</v>
      </c>
      <c r="G14" s="369">
        <f>F14</f>
        <v>5</v>
      </c>
      <c r="H14" s="244" t="s">
        <v>1076</v>
      </c>
      <c r="I14" s="253">
        <v>1</v>
      </c>
      <c r="J14" s="254">
        <f>Insumos!D9</f>
        <v>0</v>
      </c>
      <c r="K14" s="125">
        <f t="shared" si="5"/>
        <v>0</v>
      </c>
    </row>
    <row r="15" spans="1:11" s="247" customFormat="1" x14ac:dyDescent="0.25">
      <c r="A15" s="34" t="s">
        <v>1211</v>
      </c>
      <c r="B15" s="255" t="s">
        <v>1092</v>
      </c>
      <c r="C15" s="369">
        <v>1.5</v>
      </c>
      <c r="D15" s="369">
        <f>5+6.5+3.75+2.25</f>
        <v>17.5</v>
      </c>
      <c r="E15" s="369"/>
      <c r="F15" s="369">
        <f>C15*D15</f>
        <v>26.25</v>
      </c>
      <c r="G15" s="369">
        <f>F15</f>
        <v>26.25</v>
      </c>
      <c r="H15" s="244" t="s">
        <v>1076</v>
      </c>
      <c r="I15" s="253">
        <v>1</v>
      </c>
      <c r="J15" s="254">
        <f>Insumos!D10</f>
        <v>0</v>
      </c>
      <c r="K15" s="125">
        <f t="shared" si="5"/>
        <v>0</v>
      </c>
    </row>
    <row r="16" spans="1:11" s="247" customFormat="1" x14ac:dyDescent="0.25">
      <c r="A16" s="34" t="s">
        <v>1212</v>
      </c>
      <c r="B16" s="255" t="s">
        <v>1106</v>
      </c>
      <c r="C16" s="369">
        <f>2.5+5+1.5+3.75+1.5+6.5</f>
        <v>20.75</v>
      </c>
      <c r="D16" s="369">
        <v>1.2</v>
      </c>
      <c r="E16" s="369">
        <v>2</v>
      </c>
      <c r="F16" s="369">
        <f>C16*D16*E16</f>
        <v>49.8</v>
      </c>
      <c r="G16" s="369">
        <f>F16</f>
        <v>49.8</v>
      </c>
      <c r="H16" s="244" t="s">
        <v>1076</v>
      </c>
      <c r="I16" s="253">
        <v>1</v>
      </c>
      <c r="J16" s="254">
        <f>Insumos!D16</f>
        <v>0</v>
      </c>
      <c r="K16" s="125">
        <f t="shared" si="5"/>
        <v>0</v>
      </c>
    </row>
    <row r="17" spans="1:11" s="247" customFormat="1" ht="30" x14ac:dyDescent="0.25">
      <c r="A17" s="34" t="s">
        <v>1213</v>
      </c>
      <c r="B17" s="255" t="s">
        <v>1218</v>
      </c>
      <c r="C17" s="371"/>
      <c r="D17" s="371"/>
      <c r="E17" s="371"/>
      <c r="F17" s="369">
        <f>F7+F9</f>
        <v>310.15199999999999</v>
      </c>
      <c r="G17" s="369">
        <f>F17</f>
        <v>310.15199999999999</v>
      </c>
      <c r="H17" s="244" t="s">
        <v>1076</v>
      </c>
      <c r="I17" s="253">
        <v>1</v>
      </c>
      <c r="J17" s="254">
        <f>Insumos!D28</f>
        <v>0</v>
      </c>
      <c r="K17" s="125">
        <f t="shared" si="5"/>
        <v>0</v>
      </c>
    </row>
    <row r="18" spans="1:11" x14ac:dyDescent="0.25">
      <c r="A18" s="152"/>
      <c r="B18" s="159"/>
      <c r="C18" s="438"/>
      <c r="D18" s="438"/>
      <c r="E18" s="439"/>
      <c r="F18" s="439"/>
      <c r="G18" s="440"/>
      <c r="H18" s="159"/>
      <c r="I18" s="159"/>
      <c r="J18" s="181" t="s">
        <v>1064</v>
      </c>
      <c r="K18" s="181">
        <f>SUM(K6:K17)</f>
        <v>0</v>
      </c>
    </row>
    <row r="19" spans="1:11" x14ac:dyDescent="0.25">
      <c r="A19" s="146" t="s">
        <v>96</v>
      </c>
      <c r="B19" s="621" t="s">
        <v>1219</v>
      </c>
      <c r="C19" s="663"/>
      <c r="D19" s="663"/>
      <c r="E19" s="663"/>
      <c r="F19" s="663"/>
      <c r="G19" s="621"/>
      <c r="H19" s="621"/>
      <c r="I19" s="147"/>
      <c r="J19" s="177"/>
      <c r="K19" s="148"/>
    </row>
    <row r="20" spans="1:11" x14ac:dyDescent="0.25">
      <c r="A20" s="611" t="s">
        <v>1196</v>
      </c>
      <c r="B20" s="612" t="s">
        <v>1067</v>
      </c>
      <c r="C20" s="658" t="s">
        <v>1197</v>
      </c>
      <c r="D20" s="658"/>
      <c r="E20" s="658"/>
      <c r="F20" s="658"/>
      <c r="G20" s="654" t="s">
        <v>14</v>
      </c>
      <c r="H20" s="610" t="s">
        <v>1068</v>
      </c>
      <c r="I20" s="608" t="s">
        <v>35</v>
      </c>
      <c r="J20" s="647" t="s">
        <v>1069</v>
      </c>
      <c r="K20" s="630" t="s">
        <v>16</v>
      </c>
    </row>
    <row r="21" spans="1:11" x14ac:dyDescent="0.25">
      <c r="A21" s="611"/>
      <c r="B21" s="612"/>
      <c r="C21" s="441"/>
      <c r="D21" s="441"/>
      <c r="E21" s="441"/>
      <c r="F21" s="441"/>
      <c r="G21" s="655"/>
      <c r="H21" s="610"/>
      <c r="I21" s="609"/>
      <c r="J21" s="647"/>
      <c r="K21" s="630"/>
    </row>
    <row r="22" spans="1:11" x14ac:dyDescent="0.25">
      <c r="A22" s="124" t="s">
        <v>1214</v>
      </c>
      <c r="B22" s="6" t="s">
        <v>1147</v>
      </c>
      <c r="C22" s="371"/>
      <c r="D22" s="371"/>
      <c r="E22" s="371"/>
      <c r="F22" s="371"/>
      <c r="G22" s="442">
        <v>10</v>
      </c>
      <c r="H22" s="140" t="s">
        <v>1221</v>
      </c>
      <c r="I22" s="150">
        <f t="shared" ref="I22:I27" si="6">G22/SUM($G$22:$G$27)</f>
        <v>0.04</v>
      </c>
      <c r="J22" s="167">
        <f>Insumos!D49</f>
        <v>0</v>
      </c>
      <c r="K22" s="151">
        <f t="shared" ref="K22:K27" si="7">TRUNC(G22*I22*J22,2)</f>
        <v>0</v>
      </c>
    </row>
    <row r="23" spans="1:11" x14ac:dyDescent="0.25">
      <c r="A23" s="124" t="s">
        <v>1215</v>
      </c>
      <c r="B23" s="6" t="s">
        <v>1148</v>
      </c>
      <c r="C23" s="371"/>
      <c r="D23" s="371"/>
      <c r="E23" s="371"/>
      <c r="F23" s="371"/>
      <c r="G23" s="442">
        <v>10</v>
      </c>
      <c r="H23" s="140" t="s">
        <v>1221</v>
      </c>
      <c r="I23" s="150">
        <f t="shared" si="6"/>
        <v>0.04</v>
      </c>
      <c r="J23" s="167">
        <f>Insumos!D50</f>
        <v>0</v>
      </c>
      <c r="K23" s="151">
        <f t="shared" si="7"/>
        <v>0</v>
      </c>
    </row>
    <row r="24" spans="1:11" x14ac:dyDescent="0.25">
      <c r="A24" s="124" t="s">
        <v>1216</v>
      </c>
      <c r="B24" s="6" t="s">
        <v>1149</v>
      </c>
      <c r="C24" s="371"/>
      <c r="D24" s="371"/>
      <c r="E24" s="371"/>
      <c r="F24" s="371"/>
      <c r="G24" s="442">
        <v>20</v>
      </c>
      <c r="H24" s="140" t="s">
        <v>1221</v>
      </c>
      <c r="I24" s="150">
        <f t="shared" si="6"/>
        <v>0.08</v>
      </c>
      <c r="J24" s="167">
        <f>Insumos!D51</f>
        <v>0</v>
      </c>
      <c r="K24" s="151">
        <f t="shared" si="7"/>
        <v>0</v>
      </c>
    </row>
    <row r="25" spans="1:11" x14ac:dyDescent="0.25">
      <c r="A25" s="124" t="s">
        <v>1217</v>
      </c>
      <c r="B25" s="6" t="s">
        <v>1150</v>
      </c>
      <c r="C25" s="371"/>
      <c r="D25" s="371"/>
      <c r="E25" s="371"/>
      <c r="F25" s="371"/>
      <c r="G25" s="442">
        <v>100</v>
      </c>
      <c r="H25" s="140" t="s">
        <v>1151</v>
      </c>
      <c r="I25" s="150">
        <f t="shared" si="6"/>
        <v>0.4</v>
      </c>
      <c r="J25" s="167">
        <f>Insumos!D52</f>
        <v>0</v>
      </c>
      <c r="K25" s="151">
        <f t="shared" si="7"/>
        <v>0</v>
      </c>
    </row>
    <row r="26" spans="1:11" x14ac:dyDescent="0.25">
      <c r="A26" s="124" t="s">
        <v>1220</v>
      </c>
      <c r="B26" s="6" t="s">
        <v>1152</v>
      </c>
      <c r="C26" s="442"/>
      <c r="D26" s="442"/>
      <c r="E26" s="442"/>
      <c r="F26" s="442"/>
      <c r="G26" s="442">
        <v>10</v>
      </c>
      <c r="H26" s="140" t="s">
        <v>1124</v>
      </c>
      <c r="I26" s="150">
        <f t="shared" si="6"/>
        <v>0.04</v>
      </c>
      <c r="J26" s="167">
        <f>Insumos!D53</f>
        <v>0</v>
      </c>
      <c r="K26" s="151">
        <f t="shared" si="7"/>
        <v>0</v>
      </c>
    </row>
    <row r="27" spans="1:11" x14ac:dyDescent="0.25">
      <c r="A27" s="124" t="s">
        <v>1222</v>
      </c>
      <c r="B27" s="6" t="s">
        <v>1248</v>
      </c>
      <c r="C27" s="442"/>
      <c r="D27" s="442"/>
      <c r="E27" s="442"/>
      <c r="F27" s="442"/>
      <c r="G27" s="442">
        <v>100</v>
      </c>
      <c r="H27" s="140" t="s">
        <v>1154</v>
      </c>
      <c r="I27" s="150">
        <f t="shared" si="6"/>
        <v>0.4</v>
      </c>
      <c r="J27" s="167">
        <f>Insumos!D54</f>
        <v>0</v>
      </c>
      <c r="K27" s="151">
        <f t="shared" si="7"/>
        <v>0</v>
      </c>
    </row>
    <row r="28" spans="1:11" x14ac:dyDescent="0.25">
      <c r="A28" s="152"/>
      <c r="B28" s="159"/>
      <c r="C28" s="443"/>
      <c r="D28" s="443"/>
      <c r="E28" s="443"/>
      <c r="F28" s="443"/>
      <c r="G28" s="443"/>
      <c r="H28" s="157"/>
      <c r="I28" s="157"/>
      <c r="J28" s="181" t="s">
        <v>1064</v>
      </c>
      <c r="K28" s="181">
        <f>SUM(K22:K27)</f>
        <v>0</v>
      </c>
    </row>
    <row r="29" spans="1:11" x14ac:dyDescent="0.25">
      <c r="A29" s="146" t="s">
        <v>97</v>
      </c>
      <c r="B29" s="621" t="s">
        <v>1155</v>
      </c>
      <c r="C29" s="621"/>
      <c r="D29" s="621"/>
      <c r="E29" s="621"/>
      <c r="F29" s="621"/>
      <c r="G29" s="621"/>
      <c r="H29" s="621"/>
      <c r="I29" s="147"/>
      <c r="J29" s="177"/>
      <c r="K29" s="148"/>
    </row>
    <row r="30" spans="1:11" x14ac:dyDescent="0.25">
      <c r="A30" s="611" t="s">
        <v>1196</v>
      </c>
      <c r="B30" s="612" t="s">
        <v>1067</v>
      </c>
      <c r="C30" s="656" t="s">
        <v>1197</v>
      </c>
      <c r="D30" s="657"/>
      <c r="E30" s="649"/>
      <c r="F30" s="650"/>
      <c r="G30" s="654" t="s">
        <v>14</v>
      </c>
      <c r="H30" s="610" t="s">
        <v>1068</v>
      </c>
      <c r="I30" s="608" t="s">
        <v>35</v>
      </c>
      <c r="J30" s="647" t="s">
        <v>1249</v>
      </c>
      <c r="K30" s="630" t="s">
        <v>16</v>
      </c>
    </row>
    <row r="31" spans="1:11" x14ac:dyDescent="0.25">
      <c r="A31" s="611"/>
      <c r="B31" s="612"/>
      <c r="C31" s="651"/>
      <c r="D31" s="652"/>
      <c r="E31" s="652"/>
      <c r="F31" s="653"/>
      <c r="G31" s="655"/>
      <c r="H31" s="610"/>
      <c r="I31" s="609"/>
      <c r="J31" s="647"/>
      <c r="K31" s="630"/>
    </row>
    <row r="32" spans="1:11" x14ac:dyDescent="0.25">
      <c r="A32" s="124" t="s">
        <v>1223</v>
      </c>
      <c r="B32" s="104" t="s">
        <v>1156</v>
      </c>
      <c r="C32" s="442"/>
      <c r="D32" s="442"/>
      <c r="E32" s="442"/>
      <c r="F32" s="442"/>
      <c r="G32" s="442">
        <f>G17/60</f>
        <v>5.1692</v>
      </c>
      <c r="H32" s="140" t="s">
        <v>1228</v>
      </c>
      <c r="I32" s="150">
        <f>G32/SUM($G$32:$G$43)</f>
        <v>1.3124016883547864E-2</v>
      </c>
      <c r="J32" s="167">
        <f>Insumos!D58</f>
        <v>0</v>
      </c>
      <c r="K32" s="151">
        <f t="shared" ref="K32:K43" si="8">TRUNC(G32*I32*J32,2)</f>
        <v>0</v>
      </c>
    </row>
    <row r="33" spans="1:11" x14ac:dyDescent="0.25">
      <c r="A33" s="124" t="s">
        <v>1224</v>
      </c>
      <c r="B33" s="104" t="s">
        <v>1171</v>
      </c>
      <c r="C33" s="442"/>
      <c r="D33" s="442"/>
      <c r="E33" s="442"/>
      <c r="F33" s="442"/>
      <c r="G33" s="442">
        <f>G8</f>
        <v>165.6</v>
      </c>
      <c r="H33" s="140" t="s">
        <v>1089</v>
      </c>
      <c r="I33" s="150">
        <f>G33/SUM($G$32:$G$43)</f>
        <v>0.42043975777983561</v>
      </c>
      <c r="J33" s="167">
        <f>Insumos!D69</f>
        <v>0</v>
      </c>
      <c r="K33" s="167">
        <f t="shared" si="8"/>
        <v>0</v>
      </c>
    </row>
    <row r="34" spans="1:11" x14ac:dyDescent="0.25">
      <c r="A34" s="124" t="s">
        <v>1225</v>
      </c>
      <c r="B34" s="104" t="s">
        <v>1230</v>
      </c>
      <c r="C34" s="442"/>
      <c r="D34" s="442"/>
      <c r="E34" s="442"/>
      <c r="F34" s="442"/>
      <c r="G34" s="442">
        <f>G33</f>
        <v>165.6</v>
      </c>
      <c r="H34" s="140" t="s">
        <v>1089</v>
      </c>
      <c r="I34" s="150">
        <f t="shared" ref="I34:I43" si="9">G34/SUM($G$32:$G$43)</f>
        <v>0.42043975777983561</v>
      </c>
      <c r="J34" s="167">
        <f>Insumos!D59</f>
        <v>0</v>
      </c>
      <c r="K34" s="151">
        <f t="shared" si="8"/>
        <v>0</v>
      </c>
    </row>
    <row r="35" spans="1:11" x14ac:dyDescent="0.25">
      <c r="A35" s="124" t="s">
        <v>1226</v>
      </c>
      <c r="B35" s="104" t="s">
        <v>1158</v>
      </c>
      <c r="C35" s="442"/>
      <c r="D35" s="442"/>
      <c r="E35" s="442"/>
      <c r="F35" s="442"/>
      <c r="G35" s="442">
        <v>13.141111111111108</v>
      </c>
      <c r="H35" s="140" t="s">
        <v>1159</v>
      </c>
      <c r="I35" s="150">
        <f t="shared" si="9"/>
        <v>3.3363801766385634E-2</v>
      </c>
      <c r="J35" s="167">
        <f>Insumos!D60</f>
        <v>0</v>
      </c>
      <c r="K35" s="151">
        <f t="shared" si="8"/>
        <v>0</v>
      </c>
    </row>
    <row r="36" spans="1:11" x14ac:dyDescent="0.25">
      <c r="A36" s="124" t="s">
        <v>1227</v>
      </c>
      <c r="B36" s="104" t="s">
        <v>1160</v>
      </c>
      <c r="C36" s="442"/>
      <c r="D36" s="442"/>
      <c r="E36" s="442"/>
      <c r="F36" s="442"/>
      <c r="G36" s="442">
        <v>9.3558333333333294</v>
      </c>
      <c r="H36" s="140" t="s">
        <v>1159</v>
      </c>
      <c r="I36" s="150">
        <f t="shared" si="9"/>
        <v>2.3753407611685852E-2</v>
      </c>
      <c r="J36" s="167">
        <f>Insumos!D61</f>
        <v>0</v>
      </c>
      <c r="K36" s="151">
        <f t="shared" si="8"/>
        <v>0</v>
      </c>
    </row>
    <row r="37" spans="1:11" x14ac:dyDescent="0.25">
      <c r="A37" s="124" t="s">
        <v>1229</v>
      </c>
      <c r="B37" s="104" t="s">
        <v>1161</v>
      </c>
      <c r="C37" s="442"/>
      <c r="D37" s="442"/>
      <c r="E37" s="442"/>
      <c r="F37" s="442"/>
      <c r="G37" s="442">
        <v>6.6827380952380899</v>
      </c>
      <c r="H37" s="140" t="s">
        <v>1162</v>
      </c>
      <c r="I37" s="150">
        <f t="shared" si="9"/>
        <v>1.6966719722632743E-2</v>
      </c>
      <c r="J37" s="167">
        <f>Insumos!D62</f>
        <v>0</v>
      </c>
      <c r="K37" s="151">
        <f t="shared" si="8"/>
        <v>0</v>
      </c>
    </row>
    <row r="38" spans="1:11" x14ac:dyDescent="0.25">
      <c r="A38" s="124" t="s">
        <v>1231</v>
      </c>
      <c r="B38" s="104" t="s">
        <v>1163</v>
      </c>
      <c r="C38" s="442"/>
      <c r="D38" s="442"/>
      <c r="E38" s="442"/>
      <c r="F38" s="442"/>
      <c r="G38" s="442">
        <v>8</v>
      </c>
      <c r="H38" s="140" t="s">
        <v>1068</v>
      </c>
      <c r="I38" s="150">
        <f t="shared" si="9"/>
        <v>2.0311099409653893E-2</v>
      </c>
      <c r="J38" s="167">
        <f>Insumos!D63</f>
        <v>0</v>
      </c>
      <c r="K38" s="151">
        <f t="shared" si="8"/>
        <v>0</v>
      </c>
    </row>
    <row r="39" spans="1:11" x14ac:dyDescent="0.25">
      <c r="A39" s="124" t="s">
        <v>1232</v>
      </c>
      <c r="B39" s="104" t="s">
        <v>1164</v>
      </c>
      <c r="C39" s="442"/>
      <c r="D39" s="442"/>
      <c r="E39" s="442"/>
      <c r="F39" s="442"/>
      <c r="G39" s="442">
        <v>4</v>
      </c>
      <c r="H39" s="140" t="s">
        <v>1068</v>
      </c>
      <c r="I39" s="150">
        <f t="shared" si="9"/>
        <v>1.0155549704826947E-2</v>
      </c>
      <c r="J39" s="167">
        <f>Insumos!D64</f>
        <v>0</v>
      </c>
      <c r="K39" s="151">
        <f t="shared" si="8"/>
        <v>0</v>
      </c>
    </row>
    <row r="40" spans="1:11" x14ac:dyDescent="0.25">
      <c r="A40" s="124" t="s">
        <v>1233</v>
      </c>
      <c r="B40" s="104" t="s">
        <v>1165</v>
      </c>
      <c r="C40" s="442"/>
      <c r="D40" s="442"/>
      <c r="E40" s="442"/>
      <c r="F40" s="442"/>
      <c r="G40" s="442">
        <v>6</v>
      </c>
      <c r="H40" s="140" t="s">
        <v>1068</v>
      </c>
      <c r="I40" s="150">
        <f t="shared" si="9"/>
        <v>1.523332455724042E-2</v>
      </c>
      <c r="J40" s="167">
        <f>Insumos!D65</f>
        <v>0</v>
      </c>
      <c r="K40" s="151">
        <f t="shared" si="8"/>
        <v>0</v>
      </c>
    </row>
    <row r="41" spans="1:11" x14ac:dyDescent="0.25">
      <c r="A41" s="124" t="s">
        <v>1234</v>
      </c>
      <c r="B41" s="104" t="s">
        <v>1166</v>
      </c>
      <c r="C41" s="442"/>
      <c r="D41" s="442"/>
      <c r="E41" s="442"/>
      <c r="F41" s="442"/>
      <c r="G41" s="442">
        <v>4.6526399999999999</v>
      </c>
      <c r="H41" s="140" t="s">
        <v>1096</v>
      </c>
      <c r="I41" s="150">
        <f t="shared" si="9"/>
        <v>1.1812529194666511E-2</v>
      </c>
      <c r="J41" s="167">
        <f>Insumos!D66</f>
        <v>0</v>
      </c>
      <c r="K41" s="151">
        <f t="shared" si="8"/>
        <v>0</v>
      </c>
    </row>
    <row r="42" spans="1:11" x14ac:dyDescent="0.25">
      <c r="A42" s="124" t="s">
        <v>1235</v>
      </c>
      <c r="B42" s="104" t="s">
        <v>1167</v>
      </c>
      <c r="C42" s="442"/>
      <c r="D42" s="442"/>
      <c r="E42" s="442"/>
      <c r="F42" s="442"/>
      <c r="G42" s="442">
        <v>3.5448685714285717</v>
      </c>
      <c r="H42" s="140" t="s">
        <v>1168</v>
      </c>
      <c r="I42" s="150">
        <f t="shared" si="9"/>
        <v>9.0000222435554379E-3</v>
      </c>
      <c r="J42" s="167">
        <f>Insumos!D67</f>
        <v>0</v>
      </c>
      <c r="K42" s="151">
        <f t="shared" si="8"/>
        <v>0</v>
      </c>
    </row>
    <row r="43" spans="1:11" x14ac:dyDescent="0.25">
      <c r="A43" s="124" t="s">
        <v>1236</v>
      </c>
      <c r="B43" s="104" t="s">
        <v>1240</v>
      </c>
      <c r="C43" s="442"/>
      <c r="D43" s="442"/>
      <c r="E43" s="442"/>
      <c r="F43" s="442"/>
      <c r="G43" s="442">
        <v>2.1269211428571428</v>
      </c>
      <c r="H43" s="140" t="s">
        <v>1170</v>
      </c>
      <c r="I43" s="150">
        <f t="shared" si="9"/>
        <v>5.4000133461332622E-3</v>
      </c>
      <c r="J43" s="167">
        <f>Insumos!D68</f>
        <v>0</v>
      </c>
      <c r="K43" s="151">
        <f t="shared" si="8"/>
        <v>0</v>
      </c>
    </row>
    <row r="44" spans="1:11" x14ac:dyDescent="0.25">
      <c r="A44" s="152"/>
      <c r="B44" s="159"/>
      <c r="C44" s="440"/>
      <c r="D44" s="440"/>
      <c r="E44" s="440"/>
      <c r="F44" s="440"/>
      <c r="G44" s="440"/>
      <c r="H44" s="159"/>
      <c r="I44" s="159"/>
      <c r="J44" s="181" t="s">
        <v>1064</v>
      </c>
      <c r="K44" s="182">
        <f>SUM(K32:K43)</f>
        <v>0</v>
      </c>
    </row>
    <row r="45" spans="1:11" x14ac:dyDescent="0.25">
      <c r="A45" s="146" t="s">
        <v>98</v>
      </c>
      <c r="B45" s="621" t="s">
        <v>1176</v>
      </c>
      <c r="C45" s="621"/>
      <c r="D45" s="621"/>
      <c r="E45" s="621"/>
      <c r="F45" s="621"/>
      <c r="G45" s="621"/>
      <c r="H45" s="621"/>
      <c r="I45" s="147"/>
      <c r="J45" s="177"/>
      <c r="K45" s="148"/>
    </row>
    <row r="46" spans="1:11" x14ac:dyDescent="0.25">
      <c r="A46" s="611" t="s">
        <v>1196</v>
      </c>
      <c r="B46" s="612" t="s">
        <v>1067</v>
      </c>
      <c r="C46" s="656" t="s">
        <v>1197</v>
      </c>
      <c r="D46" s="657"/>
      <c r="E46" s="649"/>
      <c r="F46" s="650"/>
      <c r="G46" s="654" t="s">
        <v>14</v>
      </c>
      <c r="H46" s="610" t="s">
        <v>1068</v>
      </c>
      <c r="I46" s="608" t="s">
        <v>35</v>
      </c>
      <c r="J46" s="647" t="s">
        <v>1249</v>
      </c>
      <c r="K46" s="630" t="s">
        <v>16</v>
      </c>
    </row>
    <row r="47" spans="1:11" x14ac:dyDescent="0.25">
      <c r="A47" s="611"/>
      <c r="B47" s="612"/>
      <c r="C47" s="651"/>
      <c r="D47" s="652"/>
      <c r="E47" s="652"/>
      <c r="F47" s="653"/>
      <c r="G47" s="655"/>
      <c r="H47" s="610"/>
      <c r="I47" s="609"/>
      <c r="J47" s="647"/>
      <c r="K47" s="630"/>
    </row>
    <row r="48" spans="1:11" x14ac:dyDescent="0.25">
      <c r="A48" s="124" t="s">
        <v>1237</v>
      </c>
      <c r="B48" s="6" t="s">
        <v>1242</v>
      </c>
      <c r="C48" s="644"/>
      <c r="D48" s="645"/>
      <c r="E48" s="645"/>
      <c r="F48" s="646"/>
      <c r="G48" s="442">
        <v>20</v>
      </c>
      <c r="H48" s="140" t="s">
        <v>1140</v>
      </c>
      <c r="I48" s="150">
        <v>1</v>
      </c>
      <c r="J48" s="167">
        <f>Insumos!D75</f>
        <v>0</v>
      </c>
      <c r="K48" s="151">
        <f>TRUNC(G48*I48*J48,2)</f>
        <v>0</v>
      </c>
    </row>
    <row r="49" spans="1:11" x14ac:dyDescent="0.25">
      <c r="A49" s="152"/>
      <c r="B49" s="159"/>
      <c r="C49" s="440"/>
      <c r="D49" s="440"/>
      <c r="E49" s="440"/>
      <c r="F49" s="440"/>
      <c r="G49" s="440"/>
      <c r="H49" s="159"/>
      <c r="I49" s="159"/>
      <c r="J49" s="181" t="s">
        <v>1064</v>
      </c>
      <c r="K49" s="182">
        <f>SUM(K48)</f>
        <v>0</v>
      </c>
    </row>
    <row r="50" spans="1:11" x14ac:dyDescent="0.25">
      <c r="A50" s="146" t="s">
        <v>99</v>
      </c>
      <c r="B50" s="621" t="s">
        <v>1178</v>
      </c>
      <c r="C50" s="621"/>
      <c r="D50" s="621"/>
      <c r="E50" s="621"/>
      <c r="F50" s="621"/>
      <c r="G50" s="621"/>
      <c r="H50" s="621"/>
      <c r="I50" s="147"/>
      <c r="J50" s="177"/>
      <c r="K50" s="148"/>
    </row>
    <row r="51" spans="1:11" x14ac:dyDescent="0.25">
      <c r="A51" s="611" t="s">
        <v>1196</v>
      </c>
      <c r="B51" s="612" t="s">
        <v>1067</v>
      </c>
      <c r="C51" s="656" t="s">
        <v>1197</v>
      </c>
      <c r="D51" s="657"/>
      <c r="E51" s="649"/>
      <c r="F51" s="650"/>
      <c r="G51" s="654" t="s">
        <v>14</v>
      </c>
      <c r="H51" s="610" t="s">
        <v>1068</v>
      </c>
      <c r="I51" s="608" t="s">
        <v>35</v>
      </c>
      <c r="J51" s="647" t="s">
        <v>1249</v>
      </c>
      <c r="K51" s="630" t="s">
        <v>16</v>
      </c>
    </row>
    <row r="52" spans="1:11" x14ac:dyDescent="0.25">
      <c r="A52" s="611"/>
      <c r="B52" s="612"/>
      <c r="C52" s="651"/>
      <c r="D52" s="652"/>
      <c r="E52" s="652"/>
      <c r="F52" s="653"/>
      <c r="G52" s="655"/>
      <c r="H52" s="610"/>
      <c r="I52" s="609"/>
      <c r="J52" s="647"/>
      <c r="K52" s="630"/>
    </row>
    <row r="53" spans="1:11" x14ac:dyDescent="0.25">
      <c r="A53" s="124" t="s">
        <v>1238</v>
      </c>
      <c r="B53" s="104" t="s">
        <v>1244</v>
      </c>
      <c r="C53" s="644"/>
      <c r="D53" s="645"/>
      <c r="E53" s="645"/>
      <c r="F53" s="646"/>
      <c r="G53" s="442">
        <v>20</v>
      </c>
      <c r="H53" s="140" t="s">
        <v>1140</v>
      </c>
      <c r="I53" s="150">
        <v>1</v>
      </c>
      <c r="J53" s="167">
        <f>Insumos!D78</f>
        <v>0</v>
      </c>
      <c r="K53" s="151">
        <f>TRUNC(G53*I53*J53,2)</f>
        <v>0</v>
      </c>
    </row>
    <row r="54" spans="1:11" x14ac:dyDescent="0.25">
      <c r="A54" s="152"/>
      <c r="B54" s="159"/>
      <c r="C54" s="440"/>
      <c r="D54" s="440"/>
      <c r="E54" s="440"/>
      <c r="F54" s="440"/>
      <c r="G54" s="440"/>
      <c r="H54" s="159"/>
      <c r="I54" s="159"/>
      <c r="J54" s="181" t="s">
        <v>1064</v>
      </c>
      <c r="K54" s="182">
        <f>SUM(K53)</f>
        <v>0</v>
      </c>
    </row>
    <row r="55" spans="1:11" x14ac:dyDescent="0.25">
      <c r="A55" s="146" t="s">
        <v>100</v>
      </c>
      <c r="B55" s="621" t="s">
        <v>1180</v>
      </c>
      <c r="C55" s="621"/>
      <c r="D55" s="621"/>
      <c r="E55" s="621"/>
      <c r="F55" s="621"/>
      <c r="G55" s="621"/>
      <c r="H55" s="621"/>
      <c r="I55" s="147"/>
      <c r="J55" s="177"/>
      <c r="K55" s="148"/>
    </row>
    <row r="56" spans="1:11" x14ac:dyDescent="0.25">
      <c r="A56" s="611" t="s">
        <v>1196</v>
      </c>
      <c r="B56" s="612" t="s">
        <v>1067</v>
      </c>
      <c r="C56" s="648" t="s">
        <v>1197</v>
      </c>
      <c r="D56" s="649"/>
      <c r="E56" s="649"/>
      <c r="F56" s="650"/>
      <c r="G56" s="654" t="s">
        <v>14</v>
      </c>
      <c r="H56" s="610" t="s">
        <v>1068</v>
      </c>
      <c r="I56" s="608" t="s">
        <v>35</v>
      </c>
      <c r="J56" s="647" t="s">
        <v>1249</v>
      </c>
      <c r="K56" s="630" t="s">
        <v>16</v>
      </c>
    </row>
    <row r="57" spans="1:11" x14ac:dyDescent="0.25">
      <c r="A57" s="611"/>
      <c r="B57" s="612"/>
      <c r="C57" s="651"/>
      <c r="D57" s="652"/>
      <c r="E57" s="652"/>
      <c r="F57" s="653"/>
      <c r="G57" s="655"/>
      <c r="H57" s="610"/>
      <c r="I57" s="609"/>
      <c r="J57" s="647"/>
      <c r="K57" s="630"/>
    </row>
    <row r="58" spans="1:11" x14ac:dyDescent="0.25">
      <c r="A58" s="124" t="s">
        <v>1239</v>
      </c>
      <c r="B58" s="6" t="s">
        <v>1181</v>
      </c>
      <c r="C58" s="644"/>
      <c r="D58" s="645"/>
      <c r="E58" s="645"/>
      <c r="F58" s="646"/>
      <c r="G58" s="442">
        <v>5</v>
      </c>
      <c r="H58" s="140" t="s">
        <v>1140</v>
      </c>
      <c r="I58" s="150">
        <f>G58/SUM($G$58:$G$60)</f>
        <v>0.33333333333333331</v>
      </c>
      <c r="J58" s="167">
        <f>Insumos!D81</f>
        <v>0</v>
      </c>
      <c r="K58" s="151">
        <f>TRUNC(G58*I58*J58,2)</f>
        <v>0</v>
      </c>
    </row>
    <row r="59" spans="1:11" x14ac:dyDescent="0.25">
      <c r="A59" s="124" t="s">
        <v>1241</v>
      </c>
      <c r="B59" s="6" t="s">
        <v>1182</v>
      </c>
      <c r="C59" s="644"/>
      <c r="D59" s="645"/>
      <c r="E59" s="645"/>
      <c r="F59" s="646"/>
      <c r="G59" s="442">
        <v>5</v>
      </c>
      <c r="H59" s="140" t="s">
        <v>1140</v>
      </c>
      <c r="I59" s="150">
        <f>G59/SUM($G$58:$G$60)</f>
        <v>0.33333333333333331</v>
      </c>
      <c r="J59" s="167">
        <f>Insumos!D82</f>
        <v>0</v>
      </c>
      <c r="K59" s="151">
        <f>TRUNC(G59*I59*J59,2)</f>
        <v>0</v>
      </c>
    </row>
    <row r="60" spans="1:11" x14ac:dyDescent="0.25">
      <c r="A60" s="124" t="s">
        <v>1243</v>
      </c>
      <c r="B60" s="6" t="s">
        <v>1183</v>
      </c>
      <c r="C60" s="644"/>
      <c r="D60" s="645"/>
      <c r="E60" s="645"/>
      <c r="F60" s="646"/>
      <c r="G60" s="442">
        <v>5</v>
      </c>
      <c r="H60" s="140" t="s">
        <v>1140</v>
      </c>
      <c r="I60" s="150">
        <f>G60/SUM($G$58:$G$60)</f>
        <v>0.33333333333333331</v>
      </c>
      <c r="J60" s="167">
        <f>Insumos!D83</f>
        <v>0</v>
      </c>
      <c r="K60" s="151">
        <f>TRUNC(G60*I60*J60,2)</f>
        <v>0</v>
      </c>
    </row>
    <row r="61" spans="1:11" x14ac:dyDescent="0.25">
      <c r="A61" s="152"/>
      <c r="B61" s="159"/>
      <c r="C61" s="440"/>
      <c r="D61" s="440"/>
      <c r="E61" s="440"/>
      <c r="F61" s="440"/>
      <c r="G61" s="440"/>
      <c r="H61" s="159"/>
      <c r="I61" s="159"/>
      <c r="J61" s="181" t="s">
        <v>1064</v>
      </c>
      <c r="K61" s="182">
        <f>SUM(K58:K60)</f>
        <v>0</v>
      </c>
    </row>
  </sheetData>
  <mergeCells count="61">
    <mergeCell ref="B19:H19"/>
    <mergeCell ref="B29:H29"/>
    <mergeCell ref="B45:H45"/>
    <mergeCell ref="B50:H50"/>
    <mergeCell ref="B55:H55"/>
    <mergeCell ref="C48:F48"/>
    <mergeCell ref="C53:F53"/>
    <mergeCell ref="A1:K1"/>
    <mergeCell ref="B2:K2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A20:A21"/>
    <mergeCell ref="B20:B21"/>
    <mergeCell ref="C20:F20"/>
    <mergeCell ref="G20:G21"/>
    <mergeCell ref="H20:H21"/>
    <mergeCell ref="I20:I21"/>
    <mergeCell ref="J20:J21"/>
    <mergeCell ref="K20:K21"/>
    <mergeCell ref="J30:J31"/>
    <mergeCell ref="K30:K31"/>
    <mergeCell ref="I46:I47"/>
    <mergeCell ref="J46:J47"/>
    <mergeCell ref="K46:K47"/>
    <mergeCell ref="A30:A31"/>
    <mergeCell ref="B30:B31"/>
    <mergeCell ref="C30:F31"/>
    <mergeCell ref="G30:G31"/>
    <mergeCell ref="H30:H31"/>
    <mergeCell ref="I30:I31"/>
    <mergeCell ref="A46:A47"/>
    <mergeCell ref="B46:B47"/>
    <mergeCell ref="C46:F47"/>
    <mergeCell ref="G46:G47"/>
    <mergeCell ref="H46:H47"/>
    <mergeCell ref="A51:A52"/>
    <mergeCell ref="B51:B52"/>
    <mergeCell ref="C51:F52"/>
    <mergeCell ref="G51:G52"/>
    <mergeCell ref="K51:K52"/>
    <mergeCell ref="K56:K57"/>
    <mergeCell ref="C58:F58"/>
    <mergeCell ref="A56:A57"/>
    <mergeCell ref="B56:B57"/>
    <mergeCell ref="C56:F57"/>
    <mergeCell ref="G56:G57"/>
    <mergeCell ref="H56:H57"/>
    <mergeCell ref="C59:F59"/>
    <mergeCell ref="C60:F60"/>
    <mergeCell ref="I51:I52"/>
    <mergeCell ref="J51:J52"/>
    <mergeCell ref="I56:I57"/>
    <mergeCell ref="H51:H52"/>
    <mergeCell ref="J56:J57"/>
  </mergeCells>
  <pageMargins left="0.511811024" right="0.511811024" top="0.78740157499999996" bottom="0.78740157499999996" header="0.31496062000000002" footer="0.31496062000000002"/>
  <pageSetup paperSize="9" scale="53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view="pageBreakPreview" topLeftCell="C1" zoomScale="80" zoomScaleNormal="85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54" customWidth="1"/>
    <col min="3" max="4" width="8.28515625" bestFit="1" customWidth="1"/>
    <col min="5" max="5" width="7" bestFit="1" customWidth="1"/>
    <col min="6" max="6" width="10.5703125" bestFit="1" customWidth="1"/>
    <col min="7" max="7" width="11.140625" bestFit="1" customWidth="1"/>
    <col min="8" max="8" width="11.5703125" bestFit="1" customWidth="1"/>
    <col min="9" max="9" width="9.42578125" bestFit="1" customWidth="1"/>
    <col min="10" max="10" width="18.7109375" customWidth="1"/>
    <col min="11" max="11" width="19.85546875" bestFit="1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7</v>
      </c>
      <c r="B2" s="184" t="s">
        <v>1259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78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48"/>
    </row>
    <row r="4" spans="1:11" x14ac:dyDescent="0.25">
      <c r="A4" s="611" t="s">
        <v>1196</v>
      </c>
      <c r="B4" s="612" t="s">
        <v>1067</v>
      </c>
      <c r="C4" s="620" t="s">
        <v>1197</v>
      </c>
      <c r="D4" s="620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2093</v>
      </c>
      <c r="C6" s="243">
        <v>30</v>
      </c>
      <c r="D6" s="243">
        <v>45</v>
      </c>
      <c r="E6" s="243"/>
      <c r="F6" s="243">
        <f>C6*D6</f>
        <v>1350</v>
      </c>
      <c r="G6" s="243">
        <f t="shared" ref="G6:G19" si="0">F6</f>
        <v>1350</v>
      </c>
      <c r="H6" s="244" t="s">
        <v>1076</v>
      </c>
      <c r="I6" s="257">
        <v>0.3</v>
      </c>
      <c r="J6" s="254">
        <f>Insumos!D19</f>
        <v>0</v>
      </c>
      <c r="K6" s="254">
        <f t="shared" ref="K6:K19" si="1">TRUNC(G6*I6*J6,2)</f>
        <v>0</v>
      </c>
    </row>
    <row r="7" spans="1:11" s="247" customFormat="1" x14ac:dyDescent="0.25">
      <c r="A7" s="34" t="s">
        <v>1203</v>
      </c>
      <c r="B7" s="251" t="s">
        <v>2094</v>
      </c>
      <c r="C7" s="243">
        <v>10</v>
      </c>
      <c r="D7" s="243">
        <v>30</v>
      </c>
      <c r="E7" s="243"/>
      <c r="F7" s="243">
        <f>C7*D7</f>
        <v>300</v>
      </c>
      <c r="G7" s="243">
        <f t="shared" si="0"/>
        <v>300</v>
      </c>
      <c r="H7" s="244" t="s">
        <v>1076</v>
      </c>
      <c r="I7" s="257">
        <v>0.3</v>
      </c>
      <c r="J7" s="254">
        <f>Insumos!D19</f>
        <v>0</v>
      </c>
      <c r="K7" s="254">
        <f t="shared" si="1"/>
        <v>0</v>
      </c>
    </row>
    <row r="8" spans="1:11" s="247" customFormat="1" x14ac:dyDescent="0.25">
      <c r="A8" s="34" t="s">
        <v>1203</v>
      </c>
      <c r="B8" s="251" t="s">
        <v>2428</v>
      </c>
      <c r="C8" s="243">
        <v>30</v>
      </c>
      <c r="D8" s="243">
        <v>3.25</v>
      </c>
      <c r="E8" s="243"/>
      <c r="F8" s="243">
        <f>C8*D8</f>
        <v>97.5</v>
      </c>
      <c r="G8" s="243">
        <f t="shared" ref="G8" si="2">F8</f>
        <v>97.5</v>
      </c>
      <c r="H8" s="244" t="s">
        <v>1076</v>
      </c>
      <c r="I8" s="257">
        <v>0.3</v>
      </c>
      <c r="J8" s="254">
        <f>Insumos!D19</f>
        <v>0</v>
      </c>
      <c r="K8" s="254">
        <f t="shared" ref="K8" si="3">TRUNC(G8*I8*J8,2)</f>
        <v>0</v>
      </c>
    </row>
    <row r="9" spans="1:11" s="247" customFormat="1" x14ac:dyDescent="0.25">
      <c r="A9" s="34" t="s">
        <v>1204</v>
      </c>
      <c r="B9" s="251" t="s">
        <v>1962</v>
      </c>
      <c r="C9" s="243">
        <v>6</v>
      </c>
      <c r="D9" s="243">
        <v>15</v>
      </c>
      <c r="E9" s="243"/>
      <c r="F9" s="243">
        <f>C9*D9</f>
        <v>90</v>
      </c>
      <c r="G9" s="243">
        <f t="shared" si="0"/>
        <v>90</v>
      </c>
      <c r="H9" s="244" t="s">
        <v>1076</v>
      </c>
      <c r="I9" s="257">
        <v>0.3</v>
      </c>
      <c r="J9" s="254">
        <f>Insumos!D19</f>
        <v>0</v>
      </c>
      <c r="K9" s="254">
        <f t="shared" si="1"/>
        <v>0</v>
      </c>
    </row>
    <row r="10" spans="1:11" s="247" customFormat="1" x14ac:dyDescent="0.25">
      <c r="A10" s="34" t="s">
        <v>1205</v>
      </c>
      <c r="B10" s="251" t="s">
        <v>1250</v>
      </c>
      <c r="C10" s="243">
        <v>10</v>
      </c>
      <c r="D10" s="243">
        <v>6</v>
      </c>
      <c r="E10" s="243"/>
      <c r="F10" s="243">
        <f>D10*C10</f>
        <v>60</v>
      </c>
      <c r="G10" s="243">
        <f t="shared" ref="G10:G11" si="4">F10</f>
        <v>60</v>
      </c>
      <c r="H10" s="244" t="s">
        <v>1076</v>
      </c>
      <c r="I10" s="257">
        <v>0.3</v>
      </c>
      <c r="J10" s="254">
        <f>Insumos!D5</f>
        <v>0</v>
      </c>
      <c r="K10" s="254">
        <f t="shared" ref="K10:K11" si="5">TRUNC(G10*I10*J10,2)</f>
        <v>0</v>
      </c>
    </row>
    <row r="11" spans="1:11" s="247" customFormat="1" x14ac:dyDescent="0.25">
      <c r="A11" s="34" t="s">
        <v>1206</v>
      </c>
      <c r="B11" s="251" t="s">
        <v>1085</v>
      </c>
      <c r="C11" s="243">
        <v>17.18</v>
      </c>
      <c r="D11" s="243">
        <v>4.55</v>
      </c>
      <c r="E11" s="243"/>
      <c r="F11" s="243">
        <f>D11*C11</f>
        <v>78.168999999999997</v>
      </c>
      <c r="G11" s="243">
        <f t="shared" si="4"/>
        <v>78.168999999999997</v>
      </c>
      <c r="H11" s="244" t="s">
        <v>1076</v>
      </c>
      <c r="I11" s="257">
        <v>0.3</v>
      </c>
      <c r="J11" s="254">
        <f>Insumos!D7</f>
        <v>0</v>
      </c>
      <c r="K11" s="254">
        <f t="shared" si="5"/>
        <v>0</v>
      </c>
    </row>
    <row r="12" spans="1:11" s="247" customFormat="1" x14ac:dyDescent="0.25">
      <c r="A12" s="34" t="s">
        <v>1207</v>
      </c>
      <c r="B12" s="251" t="s">
        <v>1260</v>
      </c>
      <c r="C12" s="242">
        <v>3</v>
      </c>
      <c r="D12" s="242">
        <v>3</v>
      </c>
      <c r="E12" s="242">
        <v>3</v>
      </c>
      <c r="F12" s="243">
        <f>D12*C12*E12</f>
        <v>27</v>
      </c>
      <c r="G12" s="243">
        <f t="shared" si="0"/>
        <v>27</v>
      </c>
      <c r="H12" s="244" t="s">
        <v>1076</v>
      </c>
      <c r="I12" s="257">
        <v>0.3</v>
      </c>
      <c r="J12" s="254">
        <f>Insumos!D19</f>
        <v>0</v>
      </c>
      <c r="K12" s="254">
        <f t="shared" si="1"/>
        <v>0</v>
      </c>
    </row>
    <row r="13" spans="1:11" s="247" customFormat="1" x14ac:dyDescent="0.25">
      <c r="A13" s="34" t="s">
        <v>1208</v>
      </c>
      <c r="B13" s="255" t="s">
        <v>1133</v>
      </c>
      <c r="C13" s="243"/>
      <c r="D13" s="243"/>
      <c r="E13" s="243"/>
      <c r="F13" s="243">
        <v>3</v>
      </c>
      <c r="G13" s="243">
        <f>F13</f>
        <v>3</v>
      </c>
      <c r="H13" s="244" t="s">
        <v>1124</v>
      </c>
      <c r="I13" s="257">
        <v>0.3</v>
      </c>
      <c r="J13" s="254">
        <f>Insumos!D34</f>
        <v>0</v>
      </c>
      <c r="K13" s="254">
        <f t="shared" ref="K13:K18" si="6">TRUNC(G13*I13*J13,2)</f>
        <v>0</v>
      </c>
    </row>
    <row r="14" spans="1:11" s="247" customFormat="1" x14ac:dyDescent="0.25">
      <c r="A14" s="34" t="s">
        <v>1209</v>
      </c>
      <c r="B14" s="255" t="s">
        <v>1090</v>
      </c>
      <c r="C14" s="243">
        <v>1.5</v>
      </c>
      <c r="D14" s="243">
        <v>1.8</v>
      </c>
      <c r="E14" s="243"/>
      <c r="F14" s="243">
        <f>C14*D14</f>
        <v>2.7</v>
      </c>
      <c r="G14" s="243">
        <f>F14</f>
        <v>2.7</v>
      </c>
      <c r="H14" s="244" t="s">
        <v>1076</v>
      </c>
      <c r="I14" s="257">
        <v>0.3</v>
      </c>
      <c r="J14" s="254">
        <f>Insumos!D9</f>
        <v>0</v>
      </c>
      <c r="K14" s="254">
        <f t="shared" si="6"/>
        <v>0</v>
      </c>
    </row>
    <row r="15" spans="1:11" s="247" customFormat="1" x14ac:dyDescent="0.25">
      <c r="A15" s="34" t="s">
        <v>1210</v>
      </c>
      <c r="B15" s="255" t="s">
        <v>1106</v>
      </c>
      <c r="C15" s="243">
        <v>1.8</v>
      </c>
      <c r="D15" s="243">
        <v>2</v>
      </c>
      <c r="E15" s="243">
        <v>1.1000000000000001</v>
      </c>
      <c r="F15" s="243">
        <f>C15*D15*E15</f>
        <v>3.9600000000000004</v>
      </c>
      <c r="G15" s="243">
        <f>F15</f>
        <v>3.9600000000000004</v>
      </c>
      <c r="H15" s="244" t="s">
        <v>1076</v>
      </c>
      <c r="I15" s="257">
        <v>0.3</v>
      </c>
      <c r="J15" s="254">
        <f>Insumos!D16</f>
        <v>0</v>
      </c>
      <c r="K15" s="254">
        <f t="shared" si="6"/>
        <v>0</v>
      </c>
    </row>
    <row r="16" spans="1:11" s="247" customFormat="1" x14ac:dyDescent="0.25">
      <c r="A16" s="34" t="s">
        <v>1211</v>
      </c>
      <c r="B16" s="255" t="s">
        <v>2095</v>
      </c>
      <c r="C16" s="243">
        <v>2</v>
      </c>
      <c r="D16" s="243">
        <v>2</v>
      </c>
      <c r="E16" s="243">
        <v>2</v>
      </c>
      <c r="F16" s="243">
        <f>C16*D16*E16</f>
        <v>8</v>
      </c>
      <c r="G16" s="243">
        <f>F16</f>
        <v>8</v>
      </c>
      <c r="H16" s="244" t="s">
        <v>1076</v>
      </c>
      <c r="I16" s="257">
        <v>0.3</v>
      </c>
      <c r="J16" s="254">
        <f>Insumos!D14</f>
        <v>0</v>
      </c>
      <c r="K16" s="254">
        <f t="shared" si="6"/>
        <v>0</v>
      </c>
    </row>
    <row r="17" spans="1:11" s="247" customFormat="1" ht="30" x14ac:dyDescent="0.25">
      <c r="A17" s="34" t="s">
        <v>1212</v>
      </c>
      <c r="B17" s="255" t="s">
        <v>1087</v>
      </c>
      <c r="C17" s="243">
        <v>13.2</v>
      </c>
      <c r="D17" s="243">
        <v>2</v>
      </c>
      <c r="E17" s="243">
        <v>5.6</v>
      </c>
      <c r="F17" s="243">
        <f>C17*D17*E17</f>
        <v>147.83999999999997</v>
      </c>
      <c r="G17" s="243">
        <f t="shared" ref="G17" si="7">F17</f>
        <v>147.83999999999997</v>
      </c>
      <c r="H17" s="244" t="s">
        <v>1076</v>
      </c>
      <c r="I17" s="257">
        <v>0.3</v>
      </c>
      <c r="J17" s="254">
        <f>Insumos!D8</f>
        <v>0</v>
      </c>
      <c r="K17" s="254">
        <f t="shared" ref="K17" si="8">TRUNC(G17*I17*J17,2)</f>
        <v>0</v>
      </c>
    </row>
    <row r="18" spans="1:11" s="247" customFormat="1" x14ac:dyDescent="0.25">
      <c r="A18" s="34" t="s">
        <v>1213</v>
      </c>
      <c r="B18" s="255" t="s">
        <v>1108</v>
      </c>
      <c r="C18" s="243">
        <v>4</v>
      </c>
      <c r="D18" s="243">
        <v>4</v>
      </c>
      <c r="E18" s="243"/>
      <c r="F18" s="243">
        <f>C18*D18</f>
        <v>16</v>
      </c>
      <c r="G18" s="243">
        <f t="shared" ref="G18" si="9">F18</f>
        <v>16</v>
      </c>
      <c r="H18" s="244" t="s">
        <v>1076</v>
      </c>
      <c r="I18" s="257">
        <v>0.3</v>
      </c>
      <c r="J18" s="254">
        <f>Insumos!D18</f>
        <v>0</v>
      </c>
      <c r="K18" s="254">
        <f t="shared" si="6"/>
        <v>0</v>
      </c>
    </row>
    <row r="19" spans="1:11" s="247" customFormat="1" ht="30" x14ac:dyDescent="0.25">
      <c r="A19" s="34" t="s">
        <v>1214</v>
      </c>
      <c r="B19" s="255" t="s">
        <v>1126</v>
      </c>
      <c r="C19" s="243"/>
      <c r="D19" s="243"/>
      <c r="E19" s="243"/>
      <c r="F19" s="243">
        <f>F6+F8+F9+F7</f>
        <v>1837.5</v>
      </c>
      <c r="G19" s="243">
        <f t="shared" si="0"/>
        <v>1837.5</v>
      </c>
      <c r="H19" s="244" t="s">
        <v>1076</v>
      </c>
      <c r="I19" s="257">
        <v>0.3</v>
      </c>
      <c r="J19" s="254">
        <f>Insumos!D27</f>
        <v>0</v>
      </c>
      <c r="K19" s="254">
        <f t="shared" si="1"/>
        <v>0</v>
      </c>
    </row>
    <row r="20" spans="1:11" x14ac:dyDescent="0.25">
      <c r="A20" s="152"/>
      <c r="B20" s="159"/>
      <c r="C20" s="387"/>
      <c r="D20" s="387"/>
      <c r="E20" s="387"/>
      <c r="F20" s="387"/>
      <c r="G20" s="154"/>
      <c r="H20" s="154"/>
      <c r="I20" s="154"/>
      <c r="J20" s="191" t="s">
        <v>1064</v>
      </c>
      <c r="K20" s="190">
        <f>SUM(K6:K19)</f>
        <v>0</v>
      </c>
    </row>
    <row r="21" spans="1:11" x14ac:dyDescent="0.25">
      <c r="A21" s="146" t="s">
        <v>79</v>
      </c>
      <c r="B21" s="179" t="s">
        <v>1219</v>
      </c>
      <c r="C21" s="388"/>
      <c r="D21" s="388"/>
      <c r="E21" s="388"/>
      <c r="F21" s="388"/>
      <c r="G21" s="148"/>
      <c r="H21" s="148"/>
      <c r="I21" s="148"/>
      <c r="J21" s="148"/>
      <c r="K21" s="188"/>
    </row>
    <row r="22" spans="1:11" x14ac:dyDescent="0.25">
      <c r="A22" s="611" t="s">
        <v>1196</v>
      </c>
      <c r="B22" s="612" t="s">
        <v>1067</v>
      </c>
      <c r="C22" s="643" t="s">
        <v>1197</v>
      </c>
      <c r="D22" s="643"/>
      <c r="E22" s="643"/>
      <c r="F22" s="643"/>
      <c r="G22" s="619" t="s">
        <v>14</v>
      </c>
      <c r="H22" s="610" t="s">
        <v>1068</v>
      </c>
      <c r="I22" s="608" t="s">
        <v>35</v>
      </c>
      <c r="J22" s="610" t="s">
        <v>1069</v>
      </c>
      <c r="K22" s="610" t="s">
        <v>16</v>
      </c>
    </row>
    <row r="23" spans="1:11" x14ac:dyDescent="0.25">
      <c r="A23" s="611"/>
      <c r="B23" s="612"/>
      <c r="C23" s="389"/>
      <c r="D23" s="389"/>
      <c r="E23" s="389"/>
      <c r="F23" s="389"/>
      <c r="G23" s="620"/>
      <c r="H23" s="610"/>
      <c r="I23" s="609"/>
      <c r="J23" s="610"/>
      <c r="K23" s="610"/>
    </row>
    <row r="24" spans="1:11" x14ac:dyDescent="0.25">
      <c r="A24" s="124" t="s">
        <v>1215</v>
      </c>
      <c r="B24" s="6" t="s">
        <v>1147</v>
      </c>
      <c r="C24" s="313"/>
      <c r="D24" s="313"/>
      <c r="E24" s="313"/>
      <c r="F24" s="313"/>
      <c r="G24" s="143">
        <v>4</v>
      </c>
      <c r="H24" s="140" t="s">
        <v>1140</v>
      </c>
      <c r="I24" s="150">
        <f>G24/SUM($G$24:$G$29)</f>
        <v>9.7560975609756101E-2</v>
      </c>
      <c r="J24" s="167">
        <f>Insumos!D49</f>
        <v>0</v>
      </c>
      <c r="K24" s="167">
        <f t="shared" ref="K24:K29" si="10">TRUNC(G24*I24*J24,2)</f>
        <v>0</v>
      </c>
    </row>
    <row r="25" spans="1:11" x14ac:dyDescent="0.25">
      <c r="A25" s="124" t="s">
        <v>1216</v>
      </c>
      <c r="B25" s="6" t="s">
        <v>1148</v>
      </c>
      <c r="C25" s="313"/>
      <c r="D25" s="313"/>
      <c r="E25" s="313"/>
      <c r="F25" s="313"/>
      <c r="G25" s="143">
        <v>2</v>
      </c>
      <c r="H25" s="140" t="s">
        <v>1140</v>
      </c>
      <c r="I25" s="150">
        <f t="shared" ref="I25:I29" si="11">G25/SUM($G$24:$G$29)</f>
        <v>4.878048780487805E-2</v>
      </c>
      <c r="J25" s="167">
        <f>Insumos!D50</f>
        <v>0</v>
      </c>
      <c r="K25" s="167">
        <f t="shared" si="10"/>
        <v>0</v>
      </c>
    </row>
    <row r="26" spans="1:11" x14ac:dyDescent="0.25">
      <c r="A26" s="124" t="s">
        <v>1217</v>
      </c>
      <c r="B26" s="6" t="s">
        <v>1149</v>
      </c>
      <c r="C26" s="143"/>
      <c r="D26" s="143"/>
      <c r="E26" s="143"/>
      <c r="F26" s="143"/>
      <c r="G26" s="143">
        <v>6</v>
      </c>
      <c r="H26" s="140" t="s">
        <v>1140</v>
      </c>
      <c r="I26" s="150">
        <f t="shared" si="11"/>
        <v>0.14634146341463414</v>
      </c>
      <c r="J26" s="167">
        <f>Insumos!D51</f>
        <v>0</v>
      </c>
      <c r="K26" s="167">
        <f t="shared" si="10"/>
        <v>0</v>
      </c>
    </row>
    <row r="27" spans="1:11" x14ac:dyDescent="0.25">
      <c r="A27" s="124" t="s">
        <v>1220</v>
      </c>
      <c r="B27" s="6" t="s">
        <v>1150</v>
      </c>
      <c r="C27" s="143"/>
      <c r="D27" s="143"/>
      <c r="E27" s="143"/>
      <c r="F27" s="143"/>
      <c r="G27" s="143">
        <v>18</v>
      </c>
      <c r="H27" s="140" t="s">
        <v>1151</v>
      </c>
      <c r="I27" s="150">
        <f t="shared" si="11"/>
        <v>0.43902439024390244</v>
      </c>
      <c r="J27" s="167">
        <f>Insumos!D52</f>
        <v>0</v>
      </c>
      <c r="K27" s="167">
        <f t="shared" si="10"/>
        <v>0</v>
      </c>
    </row>
    <row r="28" spans="1:11" x14ac:dyDescent="0.25">
      <c r="A28" s="124" t="s">
        <v>1222</v>
      </c>
      <c r="B28" s="6" t="s">
        <v>1152</v>
      </c>
      <c r="C28" s="143"/>
      <c r="D28" s="143"/>
      <c r="E28" s="143"/>
      <c r="F28" s="143"/>
      <c r="G28" s="143">
        <v>5</v>
      </c>
      <c r="H28" s="140" t="s">
        <v>1124</v>
      </c>
      <c r="I28" s="150">
        <f t="shared" si="11"/>
        <v>0.12195121951219512</v>
      </c>
      <c r="J28" s="167">
        <f>Insumos!D53</f>
        <v>0</v>
      </c>
      <c r="K28" s="167">
        <f t="shared" si="10"/>
        <v>0</v>
      </c>
    </row>
    <row r="29" spans="1:11" x14ac:dyDescent="0.25">
      <c r="A29" s="124" t="s">
        <v>1223</v>
      </c>
      <c r="B29" s="6" t="s">
        <v>1248</v>
      </c>
      <c r="C29" s="143"/>
      <c r="D29" s="143"/>
      <c r="E29" s="143"/>
      <c r="F29" s="143"/>
      <c r="G29" s="143">
        <v>6</v>
      </c>
      <c r="H29" s="140" t="s">
        <v>1154</v>
      </c>
      <c r="I29" s="150">
        <f t="shared" si="11"/>
        <v>0.14634146341463414</v>
      </c>
      <c r="J29" s="167">
        <f>Insumos!D54</f>
        <v>0</v>
      </c>
      <c r="K29" s="167">
        <f t="shared" si="10"/>
        <v>0</v>
      </c>
    </row>
    <row r="30" spans="1:11" x14ac:dyDescent="0.25">
      <c r="A30" s="152"/>
      <c r="B30" s="159"/>
      <c r="C30" s="154"/>
      <c r="D30" s="154"/>
      <c r="E30" s="154"/>
      <c r="F30" s="154"/>
      <c r="G30" s="154"/>
      <c r="H30" s="157"/>
      <c r="I30" s="157"/>
      <c r="J30" s="192" t="s">
        <v>1064</v>
      </c>
      <c r="K30" s="193">
        <f>SUM(K24:K29)</f>
        <v>0</v>
      </c>
    </row>
    <row r="31" spans="1:11" x14ac:dyDescent="0.25">
      <c r="A31" s="146" t="s">
        <v>80</v>
      </c>
      <c r="B31" s="179" t="s">
        <v>1155</v>
      </c>
      <c r="C31" s="148"/>
      <c r="D31" s="148"/>
      <c r="E31" s="148"/>
      <c r="F31" s="148"/>
      <c r="G31" s="148"/>
      <c r="H31" s="148"/>
      <c r="I31" s="148"/>
      <c r="J31" s="148"/>
      <c r="K31" s="188"/>
    </row>
    <row r="32" spans="1:11" x14ac:dyDescent="0.25">
      <c r="A32" s="611" t="s">
        <v>1196</v>
      </c>
      <c r="B32" s="612" t="s">
        <v>1067</v>
      </c>
      <c r="C32" s="613" t="s">
        <v>1197</v>
      </c>
      <c r="D32" s="614"/>
      <c r="E32" s="614"/>
      <c r="F32" s="615"/>
      <c r="G32" s="619" t="s">
        <v>14</v>
      </c>
      <c r="H32" s="610" t="s">
        <v>1068</v>
      </c>
      <c r="I32" s="608" t="s">
        <v>35</v>
      </c>
      <c r="J32" s="610" t="s">
        <v>1249</v>
      </c>
      <c r="K32" s="610" t="s">
        <v>16</v>
      </c>
    </row>
    <row r="33" spans="1:11" x14ac:dyDescent="0.25">
      <c r="A33" s="611"/>
      <c r="B33" s="612"/>
      <c r="C33" s="616"/>
      <c r="D33" s="617"/>
      <c r="E33" s="617"/>
      <c r="F33" s="618"/>
      <c r="G33" s="620"/>
      <c r="H33" s="610"/>
      <c r="I33" s="609"/>
      <c r="J33" s="610"/>
      <c r="K33" s="610"/>
    </row>
    <row r="34" spans="1:11" x14ac:dyDescent="0.25">
      <c r="A34" s="124" t="s">
        <v>1224</v>
      </c>
      <c r="B34" s="104" t="s">
        <v>1156</v>
      </c>
      <c r="C34" s="143"/>
      <c r="D34" s="143"/>
      <c r="E34" s="143"/>
      <c r="F34" s="143"/>
      <c r="G34" s="143">
        <f>G19/60</f>
        <v>30.625</v>
      </c>
      <c r="H34" s="140" t="s">
        <v>1228</v>
      </c>
      <c r="I34" s="150">
        <f>G34/SUM($G$34:$G$44)</f>
        <v>0.20594240890116527</v>
      </c>
      <c r="J34" s="167">
        <f>Insumos!D58</f>
        <v>0</v>
      </c>
      <c r="K34" s="167">
        <f t="shared" ref="K34:K44" si="12">TRUNC(G34*I34*J34,2)</f>
        <v>0</v>
      </c>
    </row>
    <row r="35" spans="1:11" x14ac:dyDescent="0.25">
      <c r="A35" s="124" t="s">
        <v>1225</v>
      </c>
      <c r="B35" s="104" t="s">
        <v>1171</v>
      </c>
      <c r="C35" s="143"/>
      <c r="D35" s="143"/>
      <c r="E35" s="143"/>
      <c r="F35" s="143"/>
      <c r="G35" s="143">
        <f>F11</f>
        <v>78.168999999999997</v>
      </c>
      <c r="H35" s="140" t="s">
        <v>1089</v>
      </c>
      <c r="I35" s="150">
        <f t="shared" ref="I35:I44" si="13">G35/SUM($G$34:$G$44)</f>
        <v>0.52565917261698569</v>
      </c>
      <c r="J35" s="167">
        <f>Insumos!D69</f>
        <v>0</v>
      </c>
      <c r="K35" s="167">
        <f t="shared" si="12"/>
        <v>0</v>
      </c>
    </row>
    <row r="36" spans="1:11" x14ac:dyDescent="0.25">
      <c r="A36" s="124" t="s">
        <v>1226</v>
      </c>
      <c r="B36" s="104" t="s">
        <v>1158</v>
      </c>
      <c r="C36" s="143"/>
      <c r="D36" s="143"/>
      <c r="E36" s="143"/>
      <c r="F36" s="143"/>
      <c r="G36" s="143">
        <f>(G35*0.08)/3.6</f>
        <v>1.7370888888888889</v>
      </c>
      <c r="H36" s="140" t="s">
        <v>1261</v>
      </c>
      <c r="I36" s="150">
        <f t="shared" si="13"/>
        <v>1.1681314947044127E-2</v>
      </c>
      <c r="J36" s="167">
        <f>Insumos!D60</f>
        <v>0</v>
      </c>
      <c r="K36" s="167">
        <f t="shared" si="12"/>
        <v>0</v>
      </c>
    </row>
    <row r="37" spans="1:11" x14ac:dyDescent="0.25">
      <c r="A37" s="124" t="s">
        <v>1227</v>
      </c>
      <c r="B37" s="104" t="s">
        <v>1160</v>
      </c>
      <c r="C37" s="143"/>
      <c r="D37" s="143"/>
      <c r="E37" s="143"/>
      <c r="F37" s="143"/>
      <c r="G37" s="143">
        <f>((G19-G35)/3*0.06)/3.6</f>
        <v>9.7740611111111111</v>
      </c>
      <c r="H37" s="140" t="s">
        <v>1261</v>
      </c>
      <c r="I37" s="150">
        <f t="shared" si="13"/>
        <v>6.5727140896960731E-2</v>
      </c>
      <c r="J37" s="167">
        <f>Insumos!D61</f>
        <v>0</v>
      </c>
      <c r="K37" s="167">
        <f t="shared" si="12"/>
        <v>0</v>
      </c>
    </row>
    <row r="38" spans="1:11" x14ac:dyDescent="0.25">
      <c r="A38" s="124" t="s">
        <v>1229</v>
      </c>
      <c r="B38" s="104" t="s">
        <v>1161</v>
      </c>
      <c r="C38" s="143"/>
      <c r="D38" s="143"/>
      <c r="E38" s="143"/>
      <c r="F38" s="143"/>
      <c r="G38" s="143">
        <f>G37/1.4</f>
        <v>6.981472222222223</v>
      </c>
      <c r="H38" s="140" t="s">
        <v>1162</v>
      </c>
      <c r="I38" s="150">
        <f t="shared" si="13"/>
        <v>4.6947957783543381E-2</v>
      </c>
      <c r="J38" s="167">
        <f>Insumos!D62</f>
        <v>0</v>
      </c>
      <c r="K38" s="167">
        <f t="shared" si="12"/>
        <v>0</v>
      </c>
    </row>
    <row r="39" spans="1:11" x14ac:dyDescent="0.25">
      <c r="A39" s="124" t="s">
        <v>1231</v>
      </c>
      <c r="B39" s="104" t="s">
        <v>1163</v>
      </c>
      <c r="C39" s="143"/>
      <c r="D39" s="143"/>
      <c r="E39" s="143"/>
      <c r="F39" s="143"/>
      <c r="G39" s="195">
        <v>6</v>
      </c>
      <c r="H39" s="140" t="s">
        <v>1068</v>
      </c>
      <c r="I39" s="150">
        <f t="shared" si="13"/>
        <v>4.0347900519411971E-2</v>
      </c>
      <c r="J39" s="167">
        <f>Insumos!D63</f>
        <v>0</v>
      </c>
      <c r="K39" s="167">
        <f t="shared" si="12"/>
        <v>0</v>
      </c>
    </row>
    <row r="40" spans="1:11" x14ac:dyDescent="0.25">
      <c r="A40" s="124" t="s">
        <v>1232</v>
      </c>
      <c r="B40" s="104" t="s">
        <v>1164</v>
      </c>
      <c r="C40" s="143"/>
      <c r="D40" s="143"/>
      <c r="E40" s="143"/>
      <c r="F40" s="143"/>
      <c r="G40" s="143">
        <v>2</v>
      </c>
      <c r="H40" s="140" t="s">
        <v>1068</v>
      </c>
      <c r="I40" s="150">
        <f t="shared" si="13"/>
        <v>1.3449300173137325E-2</v>
      </c>
      <c r="J40" s="167">
        <f>Insumos!D64</f>
        <v>0</v>
      </c>
      <c r="K40" s="167">
        <f t="shared" si="12"/>
        <v>0</v>
      </c>
    </row>
    <row r="41" spans="1:11" x14ac:dyDescent="0.25">
      <c r="A41" s="124" t="s">
        <v>1233</v>
      </c>
      <c r="B41" s="104" t="s">
        <v>1165</v>
      </c>
      <c r="C41" s="143"/>
      <c r="D41" s="143"/>
      <c r="E41" s="143"/>
      <c r="F41" s="143"/>
      <c r="G41" s="143">
        <v>4</v>
      </c>
      <c r="H41" s="140" t="s">
        <v>1068</v>
      </c>
      <c r="I41" s="150">
        <f t="shared" si="13"/>
        <v>2.689860034627465E-2</v>
      </c>
      <c r="J41" s="167">
        <f>Insumos!D65</f>
        <v>0</v>
      </c>
      <c r="K41" s="167">
        <f t="shared" si="12"/>
        <v>0</v>
      </c>
    </row>
    <row r="42" spans="1:11" x14ac:dyDescent="0.25">
      <c r="A42" s="124" t="s">
        <v>1234</v>
      </c>
      <c r="B42" s="104" t="s">
        <v>1166</v>
      </c>
      <c r="C42" s="143"/>
      <c r="D42" s="143"/>
      <c r="E42" s="143"/>
      <c r="F42" s="143"/>
      <c r="G42" s="143">
        <v>3.25</v>
      </c>
      <c r="H42" s="140" t="s">
        <v>1228</v>
      </c>
      <c r="I42" s="150">
        <f t="shared" si="13"/>
        <v>2.1855112781348152E-2</v>
      </c>
      <c r="J42" s="167">
        <f>Insumos!D66</f>
        <v>0</v>
      </c>
      <c r="K42" s="167">
        <f t="shared" si="12"/>
        <v>0</v>
      </c>
    </row>
    <row r="43" spans="1:11" x14ac:dyDescent="0.25">
      <c r="A43" s="124" t="s">
        <v>1235</v>
      </c>
      <c r="B43" s="104" t="s">
        <v>1167</v>
      </c>
      <c r="C43" s="143"/>
      <c r="D43" s="143"/>
      <c r="E43" s="143"/>
      <c r="F43" s="143"/>
      <c r="G43" s="143">
        <v>4.05</v>
      </c>
      <c r="H43" s="140" t="s">
        <v>1168</v>
      </c>
      <c r="I43" s="150">
        <f t="shared" si="13"/>
        <v>2.7234832850603082E-2</v>
      </c>
      <c r="J43" s="167">
        <f>Insumos!D67</f>
        <v>0</v>
      </c>
      <c r="K43" s="167">
        <f t="shared" si="12"/>
        <v>0</v>
      </c>
    </row>
    <row r="44" spans="1:11" x14ac:dyDescent="0.25">
      <c r="A44" s="124" t="s">
        <v>1236</v>
      </c>
      <c r="B44" s="104" t="s">
        <v>1169</v>
      </c>
      <c r="C44" s="143"/>
      <c r="D44" s="143"/>
      <c r="E44" s="143"/>
      <c r="F44" s="143"/>
      <c r="G44" s="143">
        <v>2.12</v>
      </c>
      <c r="H44" s="140" t="s">
        <v>1170</v>
      </c>
      <c r="I44" s="150">
        <f t="shared" si="13"/>
        <v>1.4256258183525564E-2</v>
      </c>
      <c r="J44" s="167">
        <f>Insumos!D68</f>
        <v>0</v>
      </c>
      <c r="K44" s="167">
        <f t="shared" si="12"/>
        <v>0</v>
      </c>
    </row>
    <row r="45" spans="1:11" x14ac:dyDescent="0.25">
      <c r="A45" s="152"/>
      <c r="B45" s="159"/>
      <c r="C45" s="159"/>
      <c r="D45" s="159"/>
      <c r="E45" s="159"/>
      <c r="F45" s="159"/>
      <c r="G45" s="159"/>
      <c r="H45" s="159"/>
      <c r="I45" s="159"/>
      <c r="J45" s="170" t="s">
        <v>1064</v>
      </c>
      <c r="K45" s="175">
        <f>SUM(K34:K44)</f>
        <v>0</v>
      </c>
    </row>
    <row r="46" spans="1:11" x14ac:dyDescent="0.25">
      <c r="A46" s="146" t="s">
        <v>81</v>
      </c>
      <c r="B46" s="179" t="s">
        <v>1176</v>
      </c>
      <c r="C46" s="148"/>
      <c r="D46" s="148"/>
      <c r="E46" s="148"/>
      <c r="F46" s="148"/>
      <c r="G46" s="148"/>
      <c r="H46" s="148"/>
      <c r="I46" s="148"/>
      <c r="J46" s="148"/>
      <c r="K46" s="188"/>
    </row>
    <row r="47" spans="1:11" x14ac:dyDescent="0.25">
      <c r="A47" s="611" t="s">
        <v>1196</v>
      </c>
      <c r="B47" s="612" t="s">
        <v>1067</v>
      </c>
      <c r="C47" s="613" t="s">
        <v>1197</v>
      </c>
      <c r="D47" s="614"/>
      <c r="E47" s="614"/>
      <c r="F47" s="615"/>
      <c r="G47" s="619" t="s">
        <v>14</v>
      </c>
      <c r="H47" s="610" t="s">
        <v>1068</v>
      </c>
      <c r="I47" s="608" t="s">
        <v>35</v>
      </c>
      <c r="J47" s="610" t="s">
        <v>1249</v>
      </c>
      <c r="K47" s="610" t="s">
        <v>16</v>
      </c>
    </row>
    <row r="48" spans="1:11" x14ac:dyDescent="0.25">
      <c r="A48" s="611"/>
      <c r="B48" s="612"/>
      <c r="C48" s="616"/>
      <c r="D48" s="617"/>
      <c r="E48" s="617"/>
      <c r="F48" s="618"/>
      <c r="G48" s="620"/>
      <c r="H48" s="610"/>
      <c r="I48" s="609"/>
      <c r="J48" s="610"/>
      <c r="K48" s="610"/>
    </row>
    <row r="49" spans="1:11" x14ac:dyDescent="0.25">
      <c r="A49" s="124" t="s">
        <v>1237</v>
      </c>
      <c r="B49" s="6" t="s">
        <v>1242</v>
      </c>
      <c r="C49" s="605"/>
      <c r="D49" s="606"/>
      <c r="E49" s="606"/>
      <c r="F49" s="607"/>
      <c r="G49" s="143">
        <v>5</v>
      </c>
      <c r="H49" s="140" t="s">
        <v>1140</v>
      </c>
      <c r="I49" s="150">
        <v>1</v>
      </c>
      <c r="J49" s="167">
        <f>Insumos!D75</f>
        <v>0</v>
      </c>
      <c r="K49" s="167">
        <f>TRUNC(G49*I49*J49,2)</f>
        <v>0</v>
      </c>
    </row>
    <row r="50" spans="1:11" x14ac:dyDescent="0.25">
      <c r="A50" s="152"/>
      <c r="B50" s="159"/>
      <c r="C50" s="159"/>
      <c r="D50" s="159"/>
      <c r="E50" s="159"/>
      <c r="F50" s="159"/>
      <c r="G50" s="159"/>
      <c r="H50" s="159"/>
      <c r="I50" s="159"/>
      <c r="J50" s="170" t="s">
        <v>1064</v>
      </c>
      <c r="K50" s="175">
        <f>SUM(K49)</f>
        <v>0</v>
      </c>
    </row>
    <row r="51" spans="1:11" x14ac:dyDescent="0.25">
      <c r="A51" s="146" t="s">
        <v>82</v>
      </c>
      <c r="B51" s="179" t="s">
        <v>1178</v>
      </c>
      <c r="C51" s="148"/>
      <c r="D51" s="148"/>
      <c r="E51" s="148"/>
      <c r="F51" s="148"/>
      <c r="G51" s="148"/>
      <c r="H51" s="148"/>
      <c r="I51" s="148"/>
      <c r="J51" s="148"/>
      <c r="K51" s="188"/>
    </row>
    <row r="52" spans="1:11" x14ac:dyDescent="0.25">
      <c r="A52" s="611" t="s">
        <v>1196</v>
      </c>
      <c r="B52" s="612" t="s">
        <v>1067</v>
      </c>
      <c r="C52" s="613" t="s">
        <v>1197</v>
      </c>
      <c r="D52" s="614"/>
      <c r="E52" s="614"/>
      <c r="F52" s="615"/>
      <c r="G52" s="619" t="s">
        <v>14</v>
      </c>
      <c r="H52" s="610" t="s">
        <v>1068</v>
      </c>
      <c r="I52" s="608" t="s">
        <v>35</v>
      </c>
      <c r="J52" s="610" t="s">
        <v>1249</v>
      </c>
      <c r="K52" s="610" t="s">
        <v>16</v>
      </c>
    </row>
    <row r="53" spans="1:11" x14ac:dyDescent="0.25">
      <c r="A53" s="611"/>
      <c r="B53" s="612"/>
      <c r="C53" s="616"/>
      <c r="D53" s="617"/>
      <c r="E53" s="617"/>
      <c r="F53" s="618"/>
      <c r="G53" s="620"/>
      <c r="H53" s="610"/>
      <c r="I53" s="609"/>
      <c r="J53" s="610"/>
      <c r="K53" s="610"/>
    </row>
    <row r="54" spans="1:11" x14ac:dyDescent="0.25">
      <c r="A54" s="124" t="s">
        <v>1238</v>
      </c>
      <c r="B54" s="104" t="s">
        <v>1179</v>
      </c>
      <c r="C54" s="605"/>
      <c r="D54" s="606"/>
      <c r="E54" s="606"/>
      <c r="F54" s="607"/>
      <c r="G54" s="143">
        <v>5</v>
      </c>
      <c r="H54" s="140" t="s">
        <v>1140</v>
      </c>
      <c r="I54" s="150">
        <v>1</v>
      </c>
      <c r="J54" s="167">
        <f>Insumos!D78</f>
        <v>0</v>
      </c>
      <c r="K54" s="167">
        <f>TRUNC(G54*I54*J54,2)</f>
        <v>0</v>
      </c>
    </row>
    <row r="55" spans="1:11" x14ac:dyDescent="0.25">
      <c r="A55" s="152"/>
      <c r="B55" s="159"/>
      <c r="C55" s="159"/>
      <c r="D55" s="159"/>
      <c r="E55" s="159"/>
      <c r="F55" s="159"/>
      <c r="G55" s="159"/>
      <c r="H55" s="159"/>
      <c r="I55" s="159"/>
      <c r="J55" s="170" t="s">
        <v>1064</v>
      </c>
      <c r="K55" s="175">
        <f>K54</f>
        <v>0</v>
      </c>
    </row>
    <row r="56" spans="1:11" x14ac:dyDescent="0.25">
      <c r="A56" s="146" t="s">
        <v>83</v>
      </c>
      <c r="B56" s="179" t="s">
        <v>1180</v>
      </c>
      <c r="C56" s="148"/>
      <c r="D56" s="148"/>
      <c r="E56" s="148"/>
      <c r="F56" s="148"/>
      <c r="G56" s="148"/>
      <c r="H56" s="148"/>
      <c r="I56" s="148"/>
      <c r="J56" s="148"/>
      <c r="K56" s="188"/>
    </row>
    <row r="57" spans="1:11" x14ac:dyDescent="0.25">
      <c r="A57" s="611" t="s">
        <v>1196</v>
      </c>
      <c r="B57" s="612" t="s">
        <v>1067</v>
      </c>
      <c r="C57" s="613" t="s">
        <v>1197</v>
      </c>
      <c r="D57" s="614"/>
      <c r="E57" s="614"/>
      <c r="F57" s="615"/>
      <c r="G57" s="619" t="s">
        <v>14</v>
      </c>
      <c r="H57" s="610" t="s">
        <v>1068</v>
      </c>
      <c r="I57" s="608" t="s">
        <v>35</v>
      </c>
      <c r="J57" s="610" t="s">
        <v>1249</v>
      </c>
      <c r="K57" s="610" t="s">
        <v>16</v>
      </c>
    </row>
    <row r="58" spans="1:11" x14ac:dyDescent="0.25">
      <c r="A58" s="611"/>
      <c r="B58" s="612"/>
      <c r="C58" s="616"/>
      <c r="D58" s="617"/>
      <c r="E58" s="617"/>
      <c r="F58" s="618"/>
      <c r="G58" s="620"/>
      <c r="H58" s="610"/>
      <c r="I58" s="609"/>
      <c r="J58" s="610"/>
      <c r="K58" s="610"/>
    </row>
    <row r="59" spans="1:11" x14ac:dyDescent="0.25">
      <c r="A59" s="124" t="s">
        <v>1239</v>
      </c>
      <c r="B59" s="6" t="s">
        <v>1181</v>
      </c>
      <c r="C59" s="605"/>
      <c r="D59" s="606"/>
      <c r="E59" s="606"/>
      <c r="F59" s="607"/>
      <c r="G59" s="143">
        <v>2</v>
      </c>
      <c r="H59" s="140" t="s">
        <v>1140</v>
      </c>
      <c r="I59" s="150">
        <f>G59/SUM($G$59:$G$61)</f>
        <v>0.33333333333333331</v>
      </c>
      <c r="J59" s="167">
        <f>Insumos!D81</f>
        <v>0</v>
      </c>
      <c r="K59" s="167">
        <f>TRUNC(G59*I59*J59,2)</f>
        <v>0</v>
      </c>
    </row>
    <row r="60" spans="1:11" x14ac:dyDescent="0.25">
      <c r="A60" s="124" t="s">
        <v>1241</v>
      </c>
      <c r="B60" s="6" t="s">
        <v>1182</v>
      </c>
      <c r="C60" s="605"/>
      <c r="D60" s="606"/>
      <c r="E60" s="606"/>
      <c r="F60" s="607"/>
      <c r="G60" s="143">
        <v>2</v>
      </c>
      <c r="H60" s="140" t="s">
        <v>1140</v>
      </c>
      <c r="I60" s="150">
        <f t="shared" ref="I60:I61" si="14">G60/SUM($G$59:$G$61)</f>
        <v>0.33333333333333331</v>
      </c>
      <c r="J60" s="167">
        <f>Insumos!D82</f>
        <v>0</v>
      </c>
      <c r="K60" s="167">
        <f>TRUNC(G60*I60*J60,2)</f>
        <v>0</v>
      </c>
    </row>
    <row r="61" spans="1:11" x14ac:dyDescent="0.25">
      <c r="A61" s="124" t="s">
        <v>1243</v>
      </c>
      <c r="B61" s="6" t="s">
        <v>1183</v>
      </c>
      <c r="C61" s="605"/>
      <c r="D61" s="606"/>
      <c r="E61" s="606"/>
      <c r="F61" s="607"/>
      <c r="G61" s="143">
        <v>2</v>
      </c>
      <c r="H61" s="140" t="s">
        <v>1140</v>
      </c>
      <c r="I61" s="150">
        <f t="shared" si="14"/>
        <v>0.33333333333333331</v>
      </c>
      <c r="J61" s="167">
        <f>Insumos!D83</f>
        <v>0</v>
      </c>
      <c r="K61" s="167">
        <f>TRUNC(G61*I61*J61,2)</f>
        <v>0</v>
      </c>
    </row>
    <row r="62" spans="1:11" x14ac:dyDescent="0.25">
      <c r="A62" s="152"/>
      <c r="B62" s="159"/>
      <c r="C62" s="159"/>
      <c r="D62" s="159"/>
      <c r="E62" s="159"/>
      <c r="F62" s="159"/>
      <c r="G62" s="159"/>
      <c r="H62" s="159"/>
      <c r="I62" s="159"/>
      <c r="J62" s="160" t="s">
        <v>1064</v>
      </c>
      <c r="K62" s="182">
        <f>SUM(K59:K61)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22:J23"/>
    <mergeCell ref="K22:K23"/>
    <mergeCell ref="A32:A33"/>
    <mergeCell ref="B32:B33"/>
    <mergeCell ref="C32:F33"/>
    <mergeCell ref="G32:G33"/>
    <mergeCell ref="H32:H33"/>
    <mergeCell ref="I32:I33"/>
    <mergeCell ref="J32:J33"/>
    <mergeCell ref="K32:K33"/>
    <mergeCell ref="A22:A23"/>
    <mergeCell ref="B22:B23"/>
    <mergeCell ref="C22:F22"/>
    <mergeCell ref="G22:G23"/>
    <mergeCell ref="H22:H23"/>
    <mergeCell ref="I22:I23"/>
    <mergeCell ref="J47:J48"/>
    <mergeCell ref="K47:K48"/>
    <mergeCell ref="C49:F49"/>
    <mergeCell ref="A52:A53"/>
    <mergeCell ref="B52:B53"/>
    <mergeCell ref="C52:F53"/>
    <mergeCell ref="G52:G53"/>
    <mergeCell ref="H52:H53"/>
    <mergeCell ref="I52:I53"/>
    <mergeCell ref="J52:J53"/>
    <mergeCell ref="A47:A48"/>
    <mergeCell ref="B47:B48"/>
    <mergeCell ref="C47:F48"/>
    <mergeCell ref="G47:G48"/>
    <mergeCell ref="H47:H48"/>
    <mergeCell ref="I47:I48"/>
    <mergeCell ref="A57:A58"/>
    <mergeCell ref="B57:B58"/>
    <mergeCell ref="C57:F58"/>
    <mergeCell ref="G57:G58"/>
    <mergeCell ref="H57:H58"/>
    <mergeCell ref="C59:F59"/>
    <mergeCell ref="C60:F60"/>
    <mergeCell ref="C61:F61"/>
    <mergeCell ref="K52:K53"/>
    <mergeCell ref="C54:F54"/>
    <mergeCell ref="I57:I58"/>
    <mergeCell ref="J57:J58"/>
    <mergeCell ref="K57:K58"/>
  </mergeCells>
  <pageMargins left="0.511811024" right="0.511811024" top="0.78740157499999996" bottom="0.78740157499999996" header="0.31496062000000002" footer="0.31496062000000002"/>
  <pageSetup paperSize="9" scale="54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view="pageBreakPreview" zoomScale="80" zoomScaleNormal="85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54" customWidth="1"/>
    <col min="3" max="4" width="8.42578125" customWidth="1"/>
    <col min="5" max="5" width="7.7109375" customWidth="1"/>
    <col min="6" max="7" width="10.85546875" customWidth="1"/>
    <col min="8" max="8" width="10.7109375" customWidth="1"/>
    <col min="9" max="9" width="8.5703125" bestFit="1" customWidth="1"/>
    <col min="10" max="10" width="15.28515625" customWidth="1"/>
    <col min="11" max="11" width="16.42578125" bestFit="1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8</v>
      </c>
      <c r="B2" s="196" t="s">
        <v>2129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84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4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ht="30" x14ac:dyDescent="0.25">
      <c r="A6" s="124" t="s">
        <v>1202</v>
      </c>
      <c r="B6" s="104" t="s">
        <v>2113</v>
      </c>
      <c r="C6" s="143">
        <v>4</v>
      </c>
      <c r="D6" s="143"/>
      <c r="E6" s="143"/>
      <c r="F6" s="143">
        <f>C6*D6*E6</f>
        <v>0</v>
      </c>
      <c r="G6" s="143">
        <f>C6</f>
        <v>4</v>
      </c>
      <c r="H6" s="140" t="s">
        <v>1076</v>
      </c>
      <c r="I6" s="150">
        <v>1</v>
      </c>
      <c r="J6" s="167">
        <f>Insumos!D45</f>
        <v>0</v>
      </c>
      <c r="K6" s="254">
        <f t="shared" ref="K6:K11" si="0">TRUNC(G6*I6*J6,2)</f>
        <v>0</v>
      </c>
    </row>
    <row r="7" spans="1:11" s="247" customFormat="1" ht="30" x14ac:dyDescent="0.25">
      <c r="A7" s="124" t="s">
        <v>1203</v>
      </c>
      <c r="B7" s="104" t="s">
        <v>2114</v>
      </c>
      <c r="C7" s="143"/>
      <c r="D7" s="143"/>
      <c r="E7" s="143">
        <f>4*6</f>
        <v>24</v>
      </c>
      <c r="F7" s="143"/>
      <c r="G7" s="143">
        <f>E7</f>
        <v>24</v>
      </c>
      <c r="H7" s="140" t="s">
        <v>1277</v>
      </c>
      <c r="I7" s="150">
        <f>$I$6</f>
        <v>1</v>
      </c>
      <c r="J7" s="167">
        <f>Insumos!D25</f>
        <v>0</v>
      </c>
      <c r="K7" s="254">
        <f t="shared" si="0"/>
        <v>0</v>
      </c>
    </row>
    <row r="8" spans="1:11" s="247" customFormat="1" x14ac:dyDescent="0.25">
      <c r="A8" s="124" t="s">
        <v>1204</v>
      </c>
      <c r="B8" s="104" t="s">
        <v>2115</v>
      </c>
      <c r="C8" s="143">
        <v>1.2</v>
      </c>
      <c r="D8" s="143">
        <v>4</v>
      </c>
      <c r="E8" s="143">
        <f>2*C6</f>
        <v>8</v>
      </c>
      <c r="F8" s="143">
        <f>C8*D8*E8</f>
        <v>38.4</v>
      </c>
      <c r="G8" s="143">
        <f>F8</f>
        <v>38.4</v>
      </c>
      <c r="H8" s="140" t="s">
        <v>1076</v>
      </c>
      <c r="I8" s="150">
        <f t="shared" ref="I8:I11" si="1">$I$6</f>
        <v>1</v>
      </c>
      <c r="J8" s="167">
        <f>Insumos!D16</f>
        <v>0</v>
      </c>
      <c r="K8" s="254">
        <f t="shared" si="0"/>
        <v>0</v>
      </c>
    </row>
    <row r="9" spans="1:11" s="247" customFormat="1" ht="30" x14ac:dyDescent="0.25">
      <c r="A9" s="124" t="s">
        <v>1205</v>
      </c>
      <c r="B9" s="104" t="s">
        <v>2116</v>
      </c>
      <c r="C9" s="141">
        <v>1.5</v>
      </c>
      <c r="D9" s="141">
        <v>1.6</v>
      </c>
      <c r="E9" s="141">
        <v>3</v>
      </c>
      <c r="F9" s="143">
        <f t="shared" ref="F9" si="2">C9*D9*E9</f>
        <v>7.2000000000000011</v>
      </c>
      <c r="G9" s="143">
        <f>F9</f>
        <v>7.2000000000000011</v>
      </c>
      <c r="H9" s="140" t="s">
        <v>1076</v>
      </c>
      <c r="I9" s="150">
        <f t="shared" si="1"/>
        <v>1</v>
      </c>
      <c r="J9" s="167">
        <f>Insumos!D16</f>
        <v>0</v>
      </c>
      <c r="K9" s="254">
        <f t="shared" si="0"/>
        <v>0</v>
      </c>
    </row>
    <row r="10" spans="1:11" s="247" customFormat="1" ht="30" x14ac:dyDescent="0.25">
      <c r="A10" s="124" t="s">
        <v>1206</v>
      </c>
      <c r="B10" s="104" t="s">
        <v>2117</v>
      </c>
      <c r="C10" s="143">
        <v>1.2</v>
      </c>
      <c r="D10" s="143">
        <v>1.5</v>
      </c>
      <c r="E10" s="143">
        <v>4</v>
      </c>
      <c r="F10" s="143">
        <f>C10*D10*E10</f>
        <v>7.1999999999999993</v>
      </c>
      <c r="G10" s="143">
        <f>F10</f>
        <v>7.1999999999999993</v>
      </c>
      <c r="H10" s="140" t="s">
        <v>1076</v>
      </c>
      <c r="I10" s="150">
        <f t="shared" si="1"/>
        <v>1</v>
      </c>
      <c r="J10" s="167">
        <f>Insumos!D8</f>
        <v>0</v>
      </c>
      <c r="K10" s="254">
        <f t="shared" si="0"/>
        <v>0</v>
      </c>
    </row>
    <row r="11" spans="1:11" s="247" customFormat="1" ht="30" x14ac:dyDescent="0.25">
      <c r="A11" s="124" t="s">
        <v>1207</v>
      </c>
      <c r="B11" s="104" t="s">
        <v>1126</v>
      </c>
      <c r="C11" s="143">
        <v>2.5</v>
      </c>
      <c r="D11" s="143">
        <v>6</v>
      </c>
      <c r="E11" s="143"/>
      <c r="F11" s="143">
        <f>D11*C11</f>
        <v>15</v>
      </c>
      <c r="G11" s="143">
        <f>F11</f>
        <v>15</v>
      </c>
      <c r="H11" s="140" t="s">
        <v>1076</v>
      </c>
      <c r="I11" s="150">
        <f t="shared" si="1"/>
        <v>1</v>
      </c>
      <c r="J11" s="167">
        <f>Insumos!D27</f>
        <v>0</v>
      </c>
      <c r="K11" s="254">
        <f t="shared" si="0"/>
        <v>0</v>
      </c>
    </row>
    <row r="12" spans="1:11" s="247" customFormat="1" x14ac:dyDescent="0.25">
      <c r="A12" s="394"/>
      <c r="B12" s="386"/>
      <c r="C12" s="382"/>
      <c r="D12" s="382"/>
      <c r="E12" s="382"/>
      <c r="F12" s="382"/>
      <c r="G12" s="382"/>
      <c r="H12" s="382"/>
      <c r="I12" s="382"/>
      <c r="J12" s="399" t="s">
        <v>1064</v>
      </c>
      <c r="K12" s="407">
        <f>SUM(K6:K11)</f>
        <v>0</v>
      </c>
    </row>
    <row r="13" spans="1:11" s="247" customFormat="1" x14ac:dyDescent="0.25">
      <c r="A13" s="401" t="s">
        <v>85</v>
      </c>
      <c r="B13" s="402" t="s">
        <v>1219</v>
      </c>
      <c r="C13" s="383"/>
      <c r="D13" s="383"/>
      <c r="E13" s="383"/>
      <c r="F13" s="383"/>
      <c r="G13" s="383"/>
      <c r="H13" s="383"/>
      <c r="I13" s="383"/>
      <c r="J13" s="383"/>
      <c r="K13" s="408"/>
    </row>
    <row r="14" spans="1:11" s="247" customFormat="1" x14ac:dyDescent="0.25">
      <c r="A14" s="611" t="s">
        <v>1196</v>
      </c>
      <c r="B14" s="612" t="s">
        <v>1067</v>
      </c>
      <c r="C14" s="643" t="s">
        <v>1197</v>
      </c>
      <c r="D14" s="643"/>
      <c r="E14" s="643"/>
      <c r="F14" s="643"/>
      <c r="G14" s="619" t="s">
        <v>14</v>
      </c>
      <c r="H14" s="610" t="s">
        <v>1068</v>
      </c>
      <c r="I14" s="608" t="s">
        <v>35</v>
      </c>
      <c r="J14" s="610" t="s">
        <v>1069</v>
      </c>
      <c r="K14" s="610" t="s">
        <v>16</v>
      </c>
    </row>
    <row r="15" spans="1:11" x14ac:dyDescent="0.25">
      <c r="A15" s="611"/>
      <c r="B15" s="612"/>
      <c r="C15" s="389"/>
      <c r="D15" s="389"/>
      <c r="E15" s="389"/>
      <c r="F15" s="389"/>
      <c r="G15" s="620"/>
      <c r="H15" s="610"/>
      <c r="I15" s="609"/>
      <c r="J15" s="610"/>
      <c r="K15" s="610"/>
    </row>
    <row r="16" spans="1:11" x14ac:dyDescent="0.25">
      <c r="A16" s="124" t="s">
        <v>1208</v>
      </c>
      <c r="B16" s="6" t="s">
        <v>1147</v>
      </c>
      <c r="C16" s="313"/>
      <c r="D16" s="313"/>
      <c r="E16" s="313"/>
      <c r="F16" s="313"/>
      <c r="G16" s="143">
        <v>4</v>
      </c>
      <c r="H16" s="140" t="s">
        <v>1140</v>
      </c>
      <c r="I16" s="150">
        <f>G16/SUM($G$17:$G$21)</f>
        <v>9.5238095238095233E-2</v>
      </c>
      <c r="J16" s="167">
        <f>Insumos!D49</f>
        <v>0</v>
      </c>
      <c r="K16" s="167">
        <f t="shared" ref="K16:K21" si="3">TRUNC(G16*I16*J16,2)</f>
        <v>0</v>
      </c>
    </row>
    <row r="17" spans="1:11" x14ac:dyDescent="0.25">
      <c r="A17" s="124" t="s">
        <v>1209</v>
      </c>
      <c r="B17" s="6" t="s">
        <v>1148</v>
      </c>
      <c r="C17" s="313"/>
      <c r="D17" s="313"/>
      <c r="E17" s="313"/>
      <c r="F17" s="313"/>
      <c r="G17" s="143">
        <v>4</v>
      </c>
      <c r="H17" s="140" t="s">
        <v>1140</v>
      </c>
      <c r="I17" s="150">
        <f t="shared" ref="I17:I21" si="4">G17/SUM($G$17:$G$21)</f>
        <v>9.5238095238095233E-2</v>
      </c>
      <c r="J17" s="167">
        <f>Insumos!D50</f>
        <v>0</v>
      </c>
      <c r="K17" s="167">
        <f t="shared" si="3"/>
        <v>0</v>
      </c>
    </row>
    <row r="18" spans="1:11" x14ac:dyDescent="0.25">
      <c r="A18" s="124" t="s">
        <v>1210</v>
      </c>
      <c r="B18" s="6" t="s">
        <v>1149</v>
      </c>
      <c r="C18" s="313"/>
      <c r="D18" s="313"/>
      <c r="E18" s="313"/>
      <c r="F18" s="313"/>
      <c r="G18" s="143">
        <v>6</v>
      </c>
      <c r="H18" s="140" t="s">
        <v>1140</v>
      </c>
      <c r="I18" s="150">
        <f t="shared" si="4"/>
        <v>0.14285714285714285</v>
      </c>
      <c r="J18" s="167">
        <f>Insumos!D51</f>
        <v>0</v>
      </c>
      <c r="K18" s="167">
        <f t="shared" si="3"/>
        <v>0</v>
      </c>
    </row>
    <row r="19" spans="1:11" x14ac:dyDescent="0.25">
      <c r="A19" s="124" t="s">
        <v>1211</v>
      </c>
      <c r="B19" s="6" t="s">
        <v>1150</v>
      </c>
      <c r="C19" s="313"/>
      <c r="D19" s="313"/>
      <c r="E19" s="313"/>
      <c r="F19" s="313"/>
      <c r="G19" s="143">
        <v>20</v>
      </c>
      <c r="H19" s="140" t="s">
        <v>1151</v>
      </c>
      <c r="I19" s="150">
        <f t="shared" si="4"/>
        <v>0.47619047619047616</v>
      </c>
      <c r="J19" s="167">
        <f>Insumos!D52</f>
        <v>0</v>
      </c>
      <c r="K19" s="167">
        <f t="shared" si="3"/>
        <v>0</v>
      </c>
    </row>
    <row r="20" spans="1:11" x14ac:dyDescent="0.25">
      <c r="A20" s="124" t="s">
        <v>1212</v>
      </c>
      <c r="B20" s="6" t="s">
        <v>1152</v>
      </c>
      <c r="C20" s="313"/>
      <c r="D20" s="313"/>
      <c r="E20" s="313"/>
      <c r="F20" s="313"/>
      <c r="G20" s="143">
        <v>2</v>
      </c>
      <c r="H20" s="140" t="s">
        <v>1124</v>
      </c>
      <c r="I20" s="150">
        <f t="shared" si="4"/>
        <v>4.7619047619047616E-2</v>
      </c>
      <c r="J20" s="167">
        <f>Insumos!D53</f>
        <v>0</v>
      </c>
      <c r="K20" s="167">
        <f t="shared" si="3"/>
        <v>0</v>
      </c>
    </row>
    <row r="21" spans="1:11" x14ac:dyDescent="0.25">
      <c r="A21" s="124" t="s">
        <v>1213</v>
      </c>
      <c r="B21" s="6" t="s">
        <v>1248</v>
      </c>
      <c r="C21" s="313"/>
      <c r="D21" s="313"/>
      <c r="E21" s="313"/>
      <c r="F21" s="313"/>
      <c r="G21" s="143">
        <v>10</v>
      </c>
      <c r="H21" s="140" t="s">
        <v>1154</v>
      </c>
      <c r="I21" s="150">
        <f t="shared" si="4"/>
        <v>0.23809523809523808</v>
      </c>
      <c r="J21" s="167">
        <f>Insumos!D54</f>
        <v>0</v>
      </c>
      <c r="K21" s="167">
        <f t="shared" si="3"/>
        <v>0</v>
      </c>
    </row>
    <row r="22" spans="1:11" x14ac:dyDescent="0.25">
      <c r="A22" s="152"/>
      <c r="B22" s="159"/>
      <c r="C22" s="387"/>
      <c r="D22" s="387"/>
      <c r="E22" s="387"/>
      <c r="F22" s="387"/>
      <c r="G22" s="154"/>
      <c r="H22" s="157"/>
      <c r="I22" s="157"/>
      <c r="J22" s="192" t="s">
        <v>1064</v>
      </c>
      <c r="K22" s="193">
        <f>SUM(K16:K21)</f>
        <v>0</v>
      </c>
    </row>
    <row r="23" spans="1:11" x14ac:dyDescent="0.25">
      <c r="A23" s="146" t="s">
        <v>86</v>
      </c>
      <c r="B23" s="179" t="s">
        <v>1155</v>
      </c>
      <c r="C23" s="388"/>
      <c r="D23" s="388"/>
      <c r="E23" s="388"/>
      <c r="F23" s="388"/>
      <c r="G23" s="148"/>
      <c r="H23" s="148"/>
      <c r="I23" s="148"/>
      <c r="J23" s="148"/>
      <c r="K23" s="188"/>
    </row>
    <row r="24" spans="1:11" x14ac:dyDescent="0.25">
      <c r="A24" s="611" t="s">
        <v>1196</v>
      </c>
      <c r="B24" s="612" t="s">
        <v>1067</v>
      </c>
      <c r="C24" s="637" t="s">
        <v>1197</v>
      </c>
      <c r="D24" s="638"/>
      <c r="E24" s="638"/>
      <c r="F24" s="639"/>
      <c r="G24" s="619" t="s">
        <v>14</v>
      </c>
      <c r="H24" s="610" t="s">
        <v>1068</v>
      </c>
      <c r="I24" s="608" t="s">
        <v>35</v>
      </c>
      <c r="J24" s="610" t="s">
        <v>1249</v>
      </c>
      <c r="K24" s="610" t="s">
        <v>16</v>
      </c>
    </row>
    <row r="25" spans="1:11" x14ac:dyDescent="0.25">
      <c r="A25" s="611"/>
      <c r="B25" s="612"/>
      <c r="C25" s="640"/>
      <c r="D25" s="641"/>
      <c r="E25" s="641"/>
      <c r="F25" s="642"/>
      <c r="G25" s="620"/>
      <c r="H25" s="610"/>
      <c r="I25" s="609"/>
      <c r="J25" s="610"/>
      <c r="K25" s="610"/>
    </row>
    <row r="26" spans="1:11" x14ac:dyDescent="0.25">
      <c r="A26" s="124" t="s">
        <v>1214</v>
      </c>
      <c r="B26" s="104" t="s">
        <v>1156</v>
      </c>
      <c r="C26" s="313"/>
      <c r="D26" s="313"/>
      <c r="E26" s="313"/>
      <c r="F26" s="313"/>
      <c r="G26" s="143">
        <f>G11/30</f>
        <v>0.5</v>
      </c>
      <c r="H26" s="140" t="s">
        <v>1228</v>
      </c>
      <c r="I26" s="150">
        <f>G26/SUM($G$26:$G$36)</f>
        <v>1.02454350894768E-2</v>
      </c>
      <c r="J26" s="167">
        <f>Insumos!D58</f>
        <v>0</v>
      </c>
      <c r="K26" s="167">
        <f t="shared" ref="K26:K36" si="5">TRUNC(G26*I26*J26,2)</f>
        <v>0</v>
      </c>
    </row>
    <row r="27" spans="1:11" x14ac:dyDescent="0.25">
      <c r="A27" s="124" t="s">
        <v>1215</v>
      </c>
      <c r="B27" s="104" t="s">
        <v>1171</v>
      </c>
      <c r="C27" s="313"/>
      <c r="D27" s="313"/>
      <c r="E27" s="313"/>
      <c r="F27" s="313"/>
      <c r="G27" s="143">
        <f>G6</f>
        <v>4</v>
      </c>
      <c r="H27" s="140" t="s">
        <v>1089</v>
      </c>
      <c r="I27" s="150">
        <f t="shared" ref="I27:I36" si="6">G27/SUM($G$26:$G$36)</f>
        <v>8.1963480715814399E-2</v>
      </c>
      <c r="J27" s="167">
        <f>Insumos!D69</f>
        <v>0</v>
      </c>
      <c r="K27" s="167">
        <f t="shared" si="5"/>
        <v>0</v>
      </c>
    </row>
    <row r="28" spans="1:11" x14ac:dyDescent="0.25">
      <c r="A28" s="124" t="s">
        <v>1216</v>
      </c>
      <c r="B28" s="104" t="s">
        <v>1158</v>
      </c>
      <c r="C28" s="143"/>
      <c r="D28" s="143"/>
      <c r="E28" s="143"/>
      <c r="F28" s="143"/>
      <c r="G28" s="143">
        <f>G27*0.2/3.6/2</f>
        <v>0.11111111111111112</v>
      </c>
      <c r="H28" s="140" t="s">
        <v>1261</v>
      </c>
      <c r="I28" s="150">
        <f t="shared" si="6"/>
        <v>2.2767633532170669E-3</v>
      </c>
      <c r="J28" s="167">
        <f>Insumos!D60</f>
        <v>0</v>
      </c>
      <c r="K28" s="167">
        <f t="shared" si="5"/>
        <v>0</v>
      </c>
    </row>
    <row r="29" spans="1:11" x14ac:dyDescent="0.25">
      <c r="A29" s="124" t="s">
        <v>1217</v>
      </c>
      <c r="B29" s="104" t="s">
        <v>1160</v>
      </c>
      <c r="C29" s="143"/>
      <c r="D29" s="143"/>
      <c r="E29" s="143"/>
      <c r="F29" s="143"/>
      <c r="G29" s="143">
        <f>G28</f>
        <v>0.11111111111111112</v>
      </c>
      <c r="H29" s="140" t="s">
        <v>1261</v>
      </c>
      <c r="I29" s="150">
        <f t="shared" si="6"/>
        <v>2.2767633532170669E-3</v>
      </c>
      <c r="J29" s="167">
        <f>Insumos!D61</f>
        <v>0</v>
      </c>
      <c r="K29" s="167">
        <f t="shared" si="5"/>
        <v>0</v>
      </c>
    </row>
    <row r="30" spans="1:11" x14ac:dyDescent="0.25">
      <c r="A30" s="124" t="s">
        <v>1220</v>
      </c>
      <c r="B30" s="104" t="s">
        <v>1161</v>
      </c>
      <c r="C30" s="143"/>
      <c r="D30" s="143"/>
      <c r="E30" s="143"/>
      <c r="F30" s="143"/>
      <c r="G30" s="143">
        <f>G27*0.02</f>
        <v>0.08</v>
      </c>
      <c r="H30" s="140" t="s">
        <v>1162</v>
      </c>
      <c r="I30" s="150">
        <f t="shared" si="6"/>
        <v>1.639269614316288E-3</v>
      </c>
      <c r="J30" s="167">
        <f>Insumos!D62</f>
        <v>0</v>
      </c>
      <c r="K30" s="167">
        <f t="shared" si="5"/>
        <v>0</v>
      </c>
    </row>
    <row r="31" spans="1:11" x14ac:dyDescent="0.25">
      <c r="A31" s="124" t="s">
        <v>1222</v>
      </c>
      <c r="B31" s="104" t="s">
        <v>1163</v>
      </c>
      <c r="C31" s="143"/>
      <c r="D31" s="143"/>
      <c r="E31" s="143"/>
      <c r="F31" s="143"/>
      <c r="G31" s="195">
        <v>8</v>
      </c>
      <c r="H31" s="140" t="s">
        <v>1068</v>
      </c>
      <c r="I31" s="150">
        <f t="shared" si="6"/>
        <v>0.1639269614316288</v>
      </c>
      <c r="J31" s="167">
        <f>Insumos!D63</f>
        <v>0</v>
      </c>
      <c r="K31" s="167">
        <f t="shared" si="5"/>
        <v>0</v>
      </c>
    </row>
    <row r="32" spans="1:11" x14ac:dyDescent="0.25">
      <c r="A32" s="124" t="s">
        <v>1223</v>
      </c>
      <c r="B32" s="104" t="s">
        <v>1164</v>
      </c>
      <c r="C32" s="143"/>
      <c r="D32" s="143"/>
      <c r="E32" s="143"/>
      <c r="F32" s="143"/>
      <c r="G32" s="143">
        <v>8</v>
      </c>
      <c r="H32" s="140" t="s">
        <v>1068</v>
      </c>
      <c r="I32" s="150">
        <f t="shared" si="6"/>
        <v>0.1639269614316288</v>
      </c>
      <c r="J32" s="167">
        <f>Insumos!D64</f>
        <v>0</v>
      </c>
      <c r="K32" s="167">
        <f t="shared" si="5"/>
        <v>0</v>
      </c>
    </row>
    <row r="33" spans="1:11" x14ac:dyDescent="0.25">
      <c r="A33" s="124" t="s">
        <v>1224</v>
      </c>
      <c r="B33" s="104" t="s">
        <v>1165</v>
      </c>
      <c r="C33" s="143"/>
      <c r="D33" s="143"/>
      <c r="E33" s="143"/>
      <c r="F33" s="143"/>
      <c r="G33" s="143">
        <v>8</v>
      </c>
      <c r="H33" s="140" t="s">
        <v>1068</v>
      </c>
      <c r="I33" s="150">
        <f t="shared" si="6"/>
        <v>0.1639269614316288</v>
      </c>
      <c r="J33" s="167">
        <f>Insumos!D65</f>
        <v>0</v>
      </c>
      <c r="K33" s="167">
        <f t="shared" si="5"/>
        <v>0</v>
      </c>
    </row>
    <row r="34" spans="1:11" x14ac:dyDescent="0.25">
      <c r="A34" s="124" t="s">
        <v>1225</v>
      </c>
      <c r="B34" s="104" t="s">
        <v>1166</v>
      </c>
      <c r="C34" s="143"/>
      <c r="D34" s="143"/>
      <c r="E34" s="143"/>
      <c r="F34" s="143"/>
      <c r="G34" s="143">
        <v>8</v>
      </c>
      <c r="H34" s="140" t="s">
        <v>1228</v>
      </c>
      <c r="I34" s="150">
        <f t="shared" si="6"/>
        <v>0.1639269614316288</v>
      </c>
      <c r="J34" s="167">
        <f>Insumos!D66</f>
        <v>0</v>
      </c>
      <c r="K34" s="167">
        <f t="shared" si="5"/>
        <v>0</v>
      </c>
    </row>
    <row r="35" spans="1:11" x14ac:dyDescent="0.25">
      <c r="A35" s="124" t="s">
        <v>1226</v>
      </c>
      <c r="B35" s="104" t="s">
        <v>1167</v>
      </c>
      <c r="C35" s="143"/>
      <c r="D35" s="143"/>
      <c r="E35" s="143"/>
      <c r="F35" s="143"/>
      <c r="G35" s="143">
        <v>4</v>
      </c>
      <c r="H35" s="140" t="s">
        <v>1168</v>
      </c>
      <c r="I35" s="150">
        <f t="shared" si="6"/>
        <v>8.1963480715814399E-2</v>
      </c>
      <c r="J35" s="167">
        <f>Insumos!D67</f>
        <v>0</v>
      </c>
      <c r="K35" s="167">
        <f t="shared" si="5"/>
        <v>0</v>
      </c>
    </row>
    <row r="36" spans="1:11" x14ac:dyDescent="0.25">
      <c r="A36" s="124" t="s">
        <v>1227</v>
      </c>
      <c r="B36" s="104" t="s">
        <v>1169</v>
      </c>
      <c r="C36" s="143"/>
      <c r="D36" s="143"/>
      <c r="E36" s="143"/>
      <c r="F36" s="143"/>
      <c r="G36" s="143">
        <v>8</v>
      </c>
      <c r="H36" s="140" t="s">
        <v>1170</v>
      </c>
      <c r="I36" s="150">
        <f t="shared" si="6"/>
        <v>0.1639269614316288</v>
      </c>
      <c r="J36" s="167">
        <f>Insumos!D68</f>
        <v>0</v>
      </c>
      <c r="K36" s="167">
        <f t="shared" si="5"/>
        <v>0</v>
      </c>
    </row>
    <row r="37" spans="1:11" x14ac:dyDescent="0.25">
      <c r="A37" s="152"/>
      <c r="B37" s="159"/>
      <c r="C37" s="159"/>
      <c r="D37" s="159"/>
      <c r="E37" s="159"/>
      <c r="F37" s="159"/>
      <c r="G37" s="159"/>
      <c r="H37" s="159"/>
      <c r="I37" s="159"/>
      <c r="J37" s="170" t="s">
        <v>1064</v>
      </c>
      <c r="K37" s="175">
        <f>SUM(K26:K36)</f>
        <v>0</v>
      </c>
    </row>
    <row r="38" spans="1:11" x14ac:dyDescent="0.25">
      <c r="A38" s="146" t="s">
        <v>87</v>
      </c>
      <c r="B38" s="179" t="s">
        <v>1176</v>
      </c>
      <c r="C38" s="148"/>
      <c r="D38" s="148"/>
      <c r="E38" s="148"/>
      <c r="F38" s="148"/>
      <c r="G38" s="148"/>
      <c r="H38" s="148"/>
      <c r="I38" s="148"/>
      <c r="J38" s="148"/>
      <c r="K38" s="188"/>
    </row>
    <row r="39" spans="1:11" x14ac:dyDescent="0.25">
      <c r="A39" s="611" t="s">
        <v>1196</v>
      </c>
      <c r="B39" s="612" t="s">
        <v>1067</v>
      </c>
      <c r="C39" s="613" t="s">
        <v>1197</v>
      </c>
      <c r="D39" s="614"/>
      <c r="E39" s="614"/>
      <c r="F39" s="615"/>
      <c r="G39" s="619" t="s">
        <v>14</v>
      </c>
      <c r="H39" s="610" t="s">
        <v>1068</v>
      </c>
      <c r="I39" s="608" t="s">
        <v>35</v>
      </c>
      <c r="J39" s="610" t="s">
        <v>1249</v>
      </c>
      <c r="K39" s="610" t="s">
        <v>16</v>
      </c>
    </row>
    <row r="40" spans="1:11" x14ac:dyDescent="0.25">
      <c r="A40" s="611"/>
      <c r="B40" s="612"/>
      <c r="C40" s="616"/>
      <c r="D40" s="617"/>
      <c r="E40" s="617"/>
      <c r="F40" s="618"/>
      <c r="G40" s="620"/>
      <c r="H40" s="610"/>
      <c r="I40" s="609"/>
      <c r="J40" s="610"/>
      <c r="K40" s="610"/>
    </row>
    <row r="41" spans="1:11" x14ac:dyDescent="0.25">
      <c r="A41" s="124" t="s">
        <v>1229</v>
      </c>
      <c r="B41" s="6" t="s">
        <v>1242</v>
      </c>
      <c r="C41" s="605"/>
      <c r="D41" s="606"/>
      <c r="E41" s="606"/>
      <c r="F41" s="607"/>
      <c r="G41" s="143">
        <v>4</v>
      </c>
      <c r="H41" s="140" t="s">
        <v>1140</v>
      </c>
      <c r="I41" s="150">
        <v>1</v>
      </c>
      <c r="J41" s="167">
        <f>Insumos!D75</f>
        <v>0</v>
      </c>
      <c r="K41" s="167">
        <f>TRUNC(G41*I41*J41,2)</f>
        <v>0</v>
      </c>
    </row>
    <row r="42" spans="1:11" x14ac:dyDescent="0.25">
      <c r="A42" s="152"/>
      <c r="B42" s="159"/>
      <c r="C42" s="159"/>
      <c r="D42" s="159"/>
      <c r="E42" s="159"/>
      <c r="F42" s="159"/>
      <c r="G42" s="159"/>
      <c r="H42" s="159"/>
      <c r="I42" s="159"/>
      <c r="J42" s="170" t="s">
        <v>1064</v>
      </c>
      <c r="K42" s="175">
        <f>SUM(K41)</f>
        <v>0</v>
      </c>
    </row>
    <row r="43" spans="1:11" x14ac:dyDescent="0.25">
      <c r="A43" s="146" t="s">
        <v>88</v>
      </c>
      <c r="B43" s="179" t="s">
        <v>1178</v>
      </c>
      <c r="C43" s="148"/>
      <c r="D43" s="148"/>
      <c r="E43" s="148"/>
      <c r="F43" s="148"/>
      <c r="G43" s="148"/>
      <c r="H43" s="148"/>
      <c r="I43" s="148"/>
      <c r="J43" s="148"/>
      <c r="K43" s="188"/>
    </row>
    <row r="44" spans="1:11" x14ac:dyDescent="0.25">
      <c r="A44" s="611" t="s">
        <v>1196</v>
      </c>
      <c r="B44" s="612" t="s">
        <v>1067</v>
      </c>
      <c r="C44" s="613" t="s">
        <v>1197</v>
      </c>
      <c r="D44" s="614"/>
      <c r="E44" s="614"/>
      <c r="F44" s="615"/>
      <c r="G44" s="619" t="s">
        <v>14</v>
      </c>
      <c r="H44" s="610" t="s">
        <v>1068</v>
      </c>
      <c r="I44" s="608" t="s">
        <v>35</v>
      </c>
      <c r="J44" s="610" t="s">
        <v>1249</v>
      </c>
      <c r="K44" s="610" t="s">
        <v>16</v>
      </c>
    </row>
    <row r="45" spans="1:11" x14ac:dyDescent="0.25">
      <c r="A45" s="611"/>
      <c r="B45" s="612"/>
      <c r="C45" s="616"/>
      <c r="D45" s="617"/>
      <c r="E45" s="617"/>
      <c r="F45" s="618"/>
      <c r="G45" s="620"/>
      <c r="H45" s="610"/>
      <c r="I45" s="609"/>
      <c r="J45" s="610"/>
      <c r="K45" s="610"/>
    </row>
    <row r="46" spans="1:11" x14ac:dyDescent="0.25">
      <c r="A46" s="124" t="s">
        <v>1231</v>
      </c>
      <c r="B46" s="104" t="s">
        <v>1179</v>
      </c>
      <c r="C46" s="605"/>
      <c r="D46" s="606"/>
      <c r="E46" s="606"/>
      <c r="F46" s="607"/>
      <c r="G46" s="143">
        <v>4</v>
      </c>
      <c r="H46" s="140" t="s">
        <v>1140</v>
      </c>
      <c r="I46" s="150">
        <v>1</v>
      </c>
      <c r="J46" s="167">
        <f>Insumos!D78</f>
        <v>0</v>
      </c>
      <c r="K46" s="167">
        <f>TRUNC(G46*I46*J46,2)</f>
        <v>0</v>
      </c>
    </row>
    <row r="47" spans="1:11" x14ac:dyDescent="0.25">
      <c r="A47" s="152"/>
      <c r="B47" s="159"/>
      <c r="C47" s="159"/>
      <c r="D47" s="159"/>
      <c r="E47" s="159"/>
      <c r="F47" s="159"/>
      <c r="G47" s="159"/>
      <c r="H47" s="159"/>
      <c r="I47" s="159"/>
      <c r="J47" s="170" t="s">
        <v>1064</v>
      </c>
      <c r="K47" s="175">
        <f>K46</f>
        <v>0</v>
      </c>
    </row>
    <row r="48" spans="1:11" x14ac:dyDescent="0.25">
      <c r="A48" s="146" t="s">
        <v>89</v>
      </c>
      <c r="B48" s="179" t="s">
        <v>1180</v>
      </c>
      <c r="C48" s="148"/>
      <c r="D48" s="148"/>
      <c r="E48" s="148"/>
      <c r="F48" s="148"/>
      <c r="G48" s="148"/>
      <c r="H48" s="148"/>
      <c r="I48" s="148"/>
      <c r="J48" s="148"/>
      <c r="K48" s="188"/>
    </row>
    <row r="49" spans="1:11" x14ac:dyDescent="0.25">
      <c r="A49" s="611" t="s">
        <v>1196</v>
      </c>
      <c r="B49" s="612" t="s">
        <v>1067</v>
      </c>
      <c r="C49" s="613" t="s">
        <v>1197</v>
      </c>
      <c r="D49" s="614"/>
      <c r="E49" s="614"/>
      <c r="F49" s="615"/>
      <c r="G49" s="619" t="s">
        <v>14</v>
      </c>
      <c r="H49" s="610" t="s">
        <v>1068</v>
      </c>
      <c r="I49" s="608" t="s">
        <v>35</v>
      </c>
      <c r="J49" s="610" t="s">
        <v>1249</v>
      </c>
      <c r="K49" s="610" t="s">
        <v>16</v>
      </c>
    </row>
    <row r="50" spans="1:11" x14ac:dyDescent="0.25">
      <c r="A50" s="611"/>
      <c r="B50" s="612"/>
      <c r="C50" s="616"/>
      <c r="D50" s="617"/>
      <c r="E50" s="617"/>
      <c r="F50" s="618"/>
      <c r="G50" s="620"/>
      <c r="H50" s="610"/>
      <c r="I50" s="609"/>
      <c r="J50" s="610"/>
      <c r="K50" s="610"/>
    </row>
    <row r="51" spans="1:11" x14ac:dyDescent="0.25">
      <c r="A51" s="124" t="s">
        <v>1232</v>
      </c>
      <c r="B51" s="6" t="s">
        <v>1181</v>
      </c>
      <c r="C51" s="605"/>
      <c r="D51" s="606"/>
      <c r="E51" s="606"/>
      <c r="F51" s="607"/>
      <c r="G51" s="143">
        <v>2</v>
      </c>
      <c r="H51" s="140" t="s">
        <v>1140</v>
      </c>
      <c r="I51" s="150">
        <f>G51/SUM($G$51:$G$53)</f>
        <v>0.33333333333333331</v>
      </c>
      <c r="J51" s="167">
        <f>Insumos!D81</f>
        <v>0</v>
      </c>
      <c r="K51" s="167">
        <f>TRUNC(G51*I51*J51,2)</f>
        <v>0</v>
      </c>
    </row>
    <row r="52" spans="1:11" x14ac:dyDescent="0.25">
      <c r="A52" s="124" t="s">
        <v>1233</v>
      </c>
      <c r="B52" s="6" t="s">
        <v>1182</v>
      </c>
      <c r="C52" s="605"/>
      <c r="D52" s="606"/>
      <c r="E52" s="606"/>
      <c r="F52" s="607"/>
      <c r="G52" s="143">
        <v>2</v>
      </c>
      <c r="H52" s="140" t="s">
        <v>1140</v>
      </c>
      <c r="I52" s="150">
        <f t="shared" ref="I52:I53" si="7">G52/SUM($G$51:$G$53)</f>
        <v>0.33333333333333331</v>
      </c>
      <c r="J52" s="167">
        <f>Insumos!D82</f>
        <v>0</v>
      </c>
      <c r="K52" s="167">
        <f>TRUNC(G52*I52*J52,2)</f>
        <v>0</v>
      </c>
    </row>
    <row r="53" spans="1:11" x14ac:dyDescent="0.25">
      <c r="A53" s="124" t="s">
        <v>1234</v>
      </c>
      <c r="B53" s="6" t="s">
        <v>1183</v>
      </c>
      <c r="C53" s="605"/>
      <c r="D53" s="606"/>
      <c r="E53" s="606"/>
      <c r="F53" s="607"/>
      <c r="G53" s="143">
        <v>2</v>
      </c>
      <c r="H53" s="140" t="s">
        <v>1140</v>
      </c>
      <c r="I53" s="150">
        <f t="shared" si="7"/>
        <v>0.33333333333333331</v>
      </c>
      <c r="J53" s="167">
        <f>Insumos!D83</f>
        <v>0</v>
      </c>
      <c r="K53" s="167">
        <f>TRUNC(G53*I53*J53,2)</f>
        <v>0</v>
      </c>
    </row>
    <row r="54" spans="1:11" x14ac:dyDescent="0.25">
      <c r="A54" s="152"/>
      <c r="B54" s="159"/>
      <c r="C54" s="159"/>
      <c r="D54" s="159"/>
      <c r="E54" s="159"/>
      <c r="F54" s="159"/>
      <c r="G54" s="159"/>
      <c r="H54" s="159"/>
      <c r="I54" s="159"/>
      <c r="J54" s="170" t="s">
        <v>1064</v>
      </c>
      <c r="K54" s="175">
        <f>SUM(K51:K53)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4:J15"/>
    <mergeCell ref="K14:K15"/>
    <mergeCell ref="A24:A25"/>
    <mergeCell ref="B24:B25"/>
    <mergeCell ref="C24:F25"/>
    <mergeCell ref="G24:G25"/>
    <mergeCell ref="H24:H25"/>
    <mergeCell ref="I24:I25"/>
    <mergeCell ref="J24:J25"/>
    <mergeCell ref="K24:K25"/>
    <mergeCell ref="A14:A15"/>
    <mergeCell ref="B14:B15"/>
    <mergeCell ref="C14:F14"/>
    <mergeCell ref="G14:G15"/>
    <mergeCell ref="H14:H15"/>
    <mergeCell ref="I14:I15"/>
    <mergeCell ref="J39:J40"/>
    <mergeCell ref="K39:K40"/>
    <mergeCell ref="C41:F41"/>
    <mergeCell ref="A44:A45"/>
    <mergeCell ref="B44:B45"/>
    <mergeCell ref="C44:F45"/>
    <mergeCell ref="G44:G45"/>
    <mergeCell ref="H44:H45"/>
    <mergeCell ref="I44:I45"/>
    <mergeCell ref="J44:J45"/>
    <mergeCell ref="A39:A40"/>
    <mergeCell ref="B39:B40"/>
    <mergeCell ref="C39:F40"/>
    <mergeCell ref="G39:G40"/>
    <mergeCell ref="H39:H40"/>
    <mergeCell ref="I39:I40"/>
    <mergeCell ref="A49:A50"/>
    <mergeCell ref="B49:B50"/>
    <mergeCell ref="C49:F50"/>
    <mergeCell ref="G49:G50"/>
    <mergeCell ref="H49:H50"/>
    <mergeCell ref="C51:F51"/>
    <mergeCell ref="C52:F52"/>
    <mergeCell ref="C53:F53"/>
    <mergeCell ref="K44:K45"/>
    <mergeCell ref="C46:F46"/>
    <mergeCell ref="I49:I50"/>
    <mergeCell ref="J49:J50"/>
    <mergeCell ref="K49:K50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view="pageBreakPreview" zoomScale="80" zoomScaleNormal="100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54" customWidth="1"/>
    <col min="3" max="4" width="8.42578125" customWidth="1"/>
    <col min="5" max="5" width="7.7109375" customWidth="1"/>
    <col min="6" max="7" width="10.85546875" customWidth="1"/>
    <col min="8" max="8" width="9.7109375" customWidth="1"/>
    <col min="9" max="9" width="9.42578125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9</v>
      </c>
      <c r="B2" s="184" t="s">
        <v>1262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56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1109</v>
      </c>
      <c r="C6" s="243">
        <v>10.6</v>
      </c>
      <c r="D6" s="243">
        <v>25.3</v>
      </c>
      <c r="E6" s="243"/>
      <c r="F6" s="243">
        <f t="shared" ref="F6:F8" si="0">C6*D6</f>
        <v>268.18</v>
      </c>
      <c r="G6" s="243">
        <f t="shared" ref="G6:G10" si="1">F6</f>
        <v>268.18</v>
      </c>
      <c r="H6" s="244" t="s">
        <v>1076</v>
      </c>
      <c r="I6" s="253">
        <v>0.3</v>
      </c>
      <c r="J6" s="254">
        <f>Insumos!D19</f>
        <v>0</v>
      </c>
      <c r="K6" s="254">
        <f>TRUNC(G6*I6*J6,2)</f>
        <v>0</v>
      </c>
    </row>
    <row r="7" spans="1:11" s="247" customFormat="1" x14ac:dyDescent="0.25">
      <c r="A7" s="34" t="s">
        <v>1203</v>
      </c>
      <c r="B7" s="251" t="s">
        <v>1250</v>
      </c>
      <c r="C7" s="243">
        <v>8</v>
      </c>
      <c r="D7" s="243">
        <v>3</v>
      </c>
      <c r="E7" s="243"/>
      <c r="F7" s="243">
        <f t="shared" si="0"/>
        <v>24</v>
      </c>
      <c r="G7" s="243">
        <f t="shared" si="1"/>
        <v>24</v>
      </c>
      <c r="H7" s="244" t="s">
        <v>1076</v>
      </c>
      <c r="I7" s="253">
        <v>0.3</v>
      </c>
      <c r="J7" s="254">
        <f>Insumos!D5</f>
        <v>0</v>
      </c>
      <c r="K7" s="254">
        <f t="shared" ref="K7:K13" si="2">TRUNC(G7*I7*J7,2)</f>
        <v>0</v>
      </c>
    </row>
    <row r="8" spans="1:11" s="247" customFormat="1" x14ac:dyDescent="0.25">
      <c r="A8" s="34" t="s">
        <v>1204</v>
      </c>
      <c r="B8" s="251" t="s">
        <v>1251</v>
      </c>
      <c r="C8" s="243">
        <v>10.6</v>
      </c>
      <c r="D8" s="243">
        <v>25.3</v>
      </c>
      <c r="E8" s="243"/>
      <c r="F8" s="243">
        <f t="shared" si="0"/>
        <v>268.18</v>
      </c>
      <c r="G8" s="243">
        <f t="shared" si="1"/>
        <v>268.18</v>
      </c>
      <c r="H8" s="244" t="s">
        <v>1076</v>
      </c>
      <c r="I8" s="253">
        <v>0.3</v>
      </c>
      <c r="J8" s="254">
        <f>Insumos!D6</f>
        <v>0</v>
      </c>
      <c r="K8" s="254">
        <f t="shared" si="2"/>
        <v>0</v>
      </c>
    </row>
    <row r="9" spans="1:11" s="247" customFormat="1" x14ac:dyDescent="0.25">
      <c r="A9" s="34" t="s">
        <v>1205</v>
      </c>
      <c r="B9" s="251" t="s">
        <v>1085</v>
      </c>
      <c r="C9" s="242">
        <v>7.3</v>
      </c>
      <c r="D9" s="242">
        <v>20.3</v>
      </c>
      <c r="E9" s="242"/>
      <c r="F9" s="243">
        <f>C9*D9</f>
        <v>148.19</v>
      </c>
      <c r="G9" s="243">
        <f>F9</f>
        <v>148.19</v>
      </c>
      <c r="H9" s="244" t="s">
        <v>1076</v>
      </c>
      <c r="I9" s="253">
        <v>0.3</v>
      </c>
      <c r="J9" s="254">
        <f>Insumos!D7</f>
        <v>0</v>
      </c>
      <c r="K9" s="254">
        <f>TRUNC(G9*I9*J9,2)</f>
        <v>0</v>
      </c>
    </row>
    <row r="10" spans="1:11" s="247" customFormat="1" x14ac:dyDescent="0.25">
      <c r="A10" s="34" t="s">
        <v>1206</v>
      </c>
      <c r="B10" s="251" t="s">
        <v>1122</v>
      </c>
      <c r="C10" s="242">
        <v>3</v>
      </c>
      <c r="D10" s="242">
        <v>3</v>
      </c>
      <c r="E10" s="242">
        <v>2</v>
      </c>
      <c r="F10" s="243">
        <f>C10*D10*E10</f>
        <v>18</v>
      </c>
      <c r="G10" s="243">
        <f t="shared" si="1"/>
        <v>18</v>
      </c>
      <c r="H10" s="244" t="s">
        <v>1076</v>
      </c>
      <c r="I10" s="253">
        <v>0.3</v>
      </c>
      <c r="J10" s="254">
        <f>Insumos!D24</f>
        <v>0</v>
      </c>
      <c r="K10" s="254">
        <f t="shared" si="2"/>
        <v>0</v>
      </c>
    </row>
    <row r="11" spans="1:11" x14ac:dyDescent="0.25">
      <c r="A11" s="34" t="s">
        <v>1207</v>
      </c>
      <c r="B11" s="258" t="s">
        <v>1263</v>
      </c>
      <c r="C11" s="372"/>
      <c r="D11" s="372"/>
      <c r="E11" s="372"/>
      <c r="F11" s="313"/>
      <c r="G11" s="259">
        <v>2</v>
      </c>
      <c r="H11" s="260" t="s">
        <v>1984</v>
      </c>
      <c r="I11" s="253">
        <v>0.3</v>
      </c>
      <c r="J11" s="261">
        <f>Insumos!D34</f>
        <v>0</v>
      </c>
      <c r="K11" s="261">
        <f t="shared" si="2"/>
        <v>0</v>
      </c>
    </row>
    <row r="12" spans="1:11" x14ac:dyDescent="0.25">
      <c r="A12" s="34" t="s">
        <v>1208</v>
      </c>
      <c r="B12" s="262" t="s">
        <v>1094</v>
      </c>
      <c r="C12" s="243">
        <f>5+5+7.3</f>
        <v>17.3</v>
      </c>
      <c r="D12" s="243"/>
      <c r="E12" s="243">
        <v>2.5</v>
      </c>
      <c r="F12" s="243">
        <f>E12*C12</f>
        <v>43.25</v>
      </c>
      <c r="G12" s="259">
        <f>F12</f>
        <v>43.25</v>
      </c>
      <c r="H12" s="260" t="s">
        <v>1076</v>
      </c>
      <c r="I12" s="253">
        <v>0.3</v>
      </c>
      <c r="J12" s="261">
        <f>Insumos!D11</f>
        <v>0</v>
      </c>
      <c r="K12" s="261">
        <f t="shared" ref="K12" si="3">TRUNC(G12*I12*J12,2)</f>
        <v>0</v>
      </c>
    </row>
    <row r="13" spans="1:11" ht="30" x14ac:dyDescent="0.25">
      <c r="A13" s="34" t="s">
        <v>1209</v>
      </c>
      <c r="B13" s="262" t="s">
        <v>1126</v>
      </c>
      <c r="C13" s="243"/>
      <c r="D13" s="243"/>
      <c r="E13" s="243"/>
      <c r="F13" s="243">
        <f>F6</f>
        <v>268.18</v>
      </c>
      <c r="G13" s="259">
        <f>F13</f>
        <v>268.18</v>
      </c>
      <c r="H13" s="260" t="s">
        <v>1076</v>
      </c>
      <c r="I13" s="253">
        <v>0.3</v>
      </c>
      <c r="J13" s="261">
        <f>Insumos!D27</f>
        <v>0</v>
      </c>
      <c r="K13" s="261">
        <f t="shared" si="2"/>
        <v>0</v>
      </c>
    </row>
    <row r="14" spans="1:11" x14ac:dyDescent="0.25">
      <c r="A14" s="152"/>
      <c r="B14" s="159"/>
      <c r="C14" s="382"/>
      <c r="D14" s="382"/>
      <c r="E14" s="382"/>
      <c r="F14" s="382"/>
      <c r="G14" s="154"/>
      <c r="H14" s="154"/>
      <c r="I14" s="154"/>
      <c r="J14" s="191" t="s">
        <v>1064</v>
      </c>
      <c r="K14" s="190">
        <f>SUM(K6:K13)</f>
        <v>0</v>
      </c>
    </row>
    <row r="15" spans="1:11" x14ac:dyDescent="0.25">
      <c r="A15" s="146" t="s">
        <v>57</v>
      </c>
      <c r="B15" s="179" t="s">
        <v>1219</v>
      </c>
      <c r="C15" s="383"/>
      <c r="D15" s="383"/>
      <c r="E15" s="383"/>
      <c r="F15" s="383"/>
      <c r="G15" s="148"/>
      <c r="H15" s="148"/>
      <c r="I15" s="148"/>
      <c r="J15" s="148"/>
      <c r="K15" s="188"/>
    </row>
    <row r="16" spans="1:11" x14ac:dyDescent="0.25">
      <c r="A16" s="611" t="s">
        <v>1196</v>
      </c>
      <c r="B16" s="612" t="s">
        <v>1067</v>
      </c>
      <c r="C16" s="643" t="s">
        <v>1197</v>
      </c>
      <c r="D16" s="643"/>
      <c r="E16" s="643"/>
      <c r="F16" s="643"/>
      <c r="G16" s="619" t="s">
        <v>14</v>
      </c>
      <c r="H16" s="610" t="s">
        <v>1068</v>
      </c>
      <c r="I16" s="608" t="s">
        <v>35</v>
      </c>
      <c r="J16" s="610" t="s">
        <v>1069</v>
      </c>
      <c r="K16" s="610" t="s">
        <v>16</v>
      </c>
    </row>
    <row r="17" spans="1:11" x14ac:dyDescent="0.25">
      <c r="A17" s="611"/>
      <c r="B17" s="612"/>
      <c r="C17" s="384"/>
      <c r="D17" s="384"/>
      <c r="E17" s="384"/>
      <c r="F17" s="384"/>
      <c r="G17" s="620"/>
      <c r="H17" s="610"/>
      <c r="I17" s="609"/>
      <c r="J17" s="610"/>
      <c r="K17" s="610"/>
    </row>
    <row r="18" spans="1:11" x14ac:dyDescent="0.25">
      <c r="A18" s="124" t="s">
        <v>1210</v>
      </c>
      <c r="B18" s="6" t="s">
        <v>1147</v>
      </c>
      <c r="C18" s="243"/>
      <c r="D18" s="243"/>
      <c r="E18" s="243"/>
      <c r="F18" s="243"/>
      <c r="G18" s="143">
        <v>4</v>
      </c>
      <c r="H18" s="140" t="s">
        <v>1140</v>
      </c>
      <c r="I18" s="150">
        <f>G18/SUM($G$18:$G$23)</f>
        <v>4.6511627906976744E-2</v>
      </c>
      <c r="J18" s="167">
        <f>Insumos!D49</f>
        <v>0</v>
      </c>
      <c r="K18" s="167">
        <f t="shared" ref="K18:K23" si="4">TRUNC(G18*I18*J18,2)</f>
        <v>0</v>
      </c>
    </row>
    <row r="19" spans="1:11" x14ac:dyDescent="0.25">
      <c r="A19" s="124" t="s">
        <v>1211</v>
      </c>
      <c r="B19" s="6" t="s">
        <v>1148</v>
      </c>
      <c r="C19" s="243"/>
      <c r="D19" s="243"/>
      <c r="E19" s="243"/>
      <c r="F19" s="243"/>
      <c r="G19" s="143">
        <v>4</v>
      </c>
      <c r="H19" s="140" t="s">
        <v>1140</v>
      </c>
      <c r="I19" s="150">
        <f t="shared" ref="I19:I23" si="5">G19/SUM($G$18:$G$23)</f>
        <v>4.6511627906976744E-2</v>
      </c>
      <c r="J19" s="167">
        <f>Insumos!D50</f>
        <v>0</v>
      </c>
      <c r="K19" s="167">
        <f t="shared" si="4"/>
        <v>0</v>
      </c>
    </row>
    <row r="20" spans="1:11" x14ac:dyDescent="0.25">
      <c r="A20" s="124" t="s">
        <v>1212</v>
      </c>
      <c r="B20" s="6" t="s">
        <v>1149</v>
      </c>
      <c r="C20" s="243"/>
      <c r="D20" s="243"/>
      <c r="E20" s="243"/>
      <c r="F20" s="243"/>
      <c r="G20" s="143">
        <v>4</v>
      </c>
      <c r="H20" s="140" t="s">
        <v>1140</v>
      </c>
      <c r="I20" s="150">
        <f t="shared" si="5"/>
        <v>4.6511627906976744E-2</v>
      </c>
      <c r="J20" s="167">
        <f>Insumos!D51</f>
        <v>0</v>
      </c>
      <c r="K20" s="167">
        <f t="shared" si="4"/>
        <v>0</v>
      </c>
    </row>
    <row r="21" spans="1:11" x14ac:dyDescent="0.25">
      <c r="A21" s="124" t="s">
        <v>1213</v>
      </c>
      <c r="B21" s="6" t="s">
        <v>1150</v>
      </c>
      <c r="C21" s="243"/>
      <c r="D21" s="243"/>
      <c r="E21" s="243"/>
      <c r="F21" s="243"/>
      <c r="G21" s="143">
        <v>20</v>
      </c>
      <c r="H21" s="140" t="s">
        <v>1151</v>
      </c>
      <c r="I21" s="150">
        <f t="shared" si="5"/>
        <v>0.23255813953488372</v>
      </c>
      <c r="J21" s="167">
        <f>Insumos!D52</f>
        <v>0</v>
      </c>
      <c r="K21" s="167">
        <f t="shared" si="4"/>
        <v>0</v>
      </c>
    </row>
    <row r="22" spans="1:11" x14ac:dyDescent="0.25">
      <c r="A22" s="124" t="s">
        <v>1214</v>
      </c>
      <c r="B22" s="6" t="s">
        <v>1152</v>
      </c>
      <c r="C22" s="243"/>
      <c r="D22" s="243"/>
      <c r="E22" s="243"/>
      <c r="F22" s="243"/>
      <c r="G22" s="143">
        <v>4</v>
      </c>
      <c r="H22" s="140" t="s">
        <v>1124</v>
      </c>
      <c r="I22" s="150">
        <f t="shared" si="5"/>
        <v>4.6511627906976744E-2</v>
      </c>
      <c r="J22" s="167">
        <f>Insumos!D53</f>
        <v>0</v>
      </c>
      <c r="K22" s="167">
        <f t="shared" si="4"/>
        <v>0</v>
      </c>
    </row>
    <row r="23" spans="1:11" x14ac:dyDescent="0.25">
      <c r="A23" s="124" t="s">
        <v>1215</v>
      </c>
      <c r="B23" s="6" t="s">
        <v>1248</v>
      </c>
      <c r="C23" s="243"/>
      <c r="D23" s="243"/>
      <c r="E23" s="243"/>
      <c r="F23" s="243"/>
      <c r="G23" s="143">
        <v>50</v>
      </c>
      <c r="H23" s="140" t="s">
        <v>1154</v>
      </c>
      <c r="I23" s="150">
        <f t="shared" si="5"/>
        <v>0.58139534883720934</v>
      </c>
      <c r="J23" s="167">
        <f>Insumos!D54</f>
        <v>0</v>
      </c>
      <c r="K23" s="167">
        <f t="shared" si="4"/>
        <v>0</v>
      </c>
    </row>
    <row r="24" spans="1:11" x14ac:dyDescent="0.25">
      <c r="A24" s="152"/>
      <c r="B24" s="159"/>
      <c r="C24" s="382"/>
      <c r="D24" s="382"/>
      <c r="E24" s="382"/>
      <c r="F24" s="382"/>
      <c r="G24" s="154"/>
      <c r="H24" s="157"/>
      <c r="I24" s="157"/>
      <c r="J24" s="192" t="s">
        <v>1064</v>
      </c>
      <c r="K24" s="193">
        <f>SUM(K18:K23)</f>
        <v>0</v>
      </c>
    </row>
    <row r="25" spans="1:11" x14ac:dyDescent="0.25">
      <c r="A25" s="146" t="s">
        <v>58</v>
      </c>
      <c r="B25" s="179" t="s">
        <v>1155</v>
      </c>
      <c r="C25" s="383"/>
      <c r="D25" s="383"/>
      <c r="E25" s="383"/>
      <c r="F25" s="383"/>
      <c r="G25" s="148"/>
      <c r="H25" s="148"/>
      <c r="I25" s="148"/>
      <c r="J25" s="148"/>
      <c r="K25" s="188"/>
    </row>
    <row r="26" spans="1:11" x14ac:dyDescent="0.25">
      <c r="A26" s="611" t="s">
        <v>1196</v>
      </c>
      <c r="B26" s="612" t="s">
        <v>1067</v>
      </c>
      <c r="C26" s="637" t="s">
        <v>1197</v>
      </c>
      <c r="D26" s="638"/>
      <c r="E26" s="638"/>
      <c r="F26" s="639"/>
      <c r="G26" s="619" t="s">
        <v>14</v>
      </c>
      <c r="H26" s="610" t="s">
        <v>1068</v>
      </c>
      <c r="I26" s="608" t="s">
        <v>35</v>
      </c>
      <c r="J26" s="610" t="s">
        <v>1249</v>
      </c>
      <c r="K26" s="610" t="s">
        <v>16</v>
      </c>
    </row>
    <row r="27" spans="1:11" x14ac:dyDescent="0.25">
      <c r="A27" s="611"/>
      <c r="B27" s="612"/>
      <c r="C27" s="640"/>
      <c r="D27" s="641"/>
      <c r="E27" s="641"/>
      <c r="F27" s="642"/>
      <c r="G27" s="620"/>
      <c r="H27" s="610"/>
      <c r="I27" s="609"/>
      <c r="J27" s="610"/>
      <c r="K27" s="610"/>
    </row>
    <row r="28" spans="1:11" x14ac:dyDescent="0.25">
      <c r="A28" s="124" t="s">
        <v>1216</v>
      </c>
      <c r="B28" s="104" t="s">
        <v>1156</v>
      </c>
      <c r="C28" s="143"/>
      <c r="D28" s="143"/>
      <c r="E28" s="143"/>
      <c r="F28" s="143"/>
      <c r="G28" s="143">
        <f>G13/30</f>
        <v>8.9393333333333338</v>
      </c>
      <c r="H28" s="140" t="s">
        <v>1228</v>
      </c>
      <c r="I28" s="150">
        <f>G28/SUM($G$28:$G$39)</f>
        <v>2.2544702703817518E-2</v>
      </c>
      <c r="J28" s="167">
        <f>Insumos!D58</f>
        <v>0</v>
      </c>
      <c r="K28" s="167">
        <f t="shared" ref="K28:K39" si="6">TRUNC(G28*I28*J28,2)</f>
        <v>0</v>
      </c>
    </row>
    <row r="29" spans="1:11" x14ac:dyDescent="0.25">
      <c r="A29" s="124" t="s">
        <v>1217</v>
      </c>
      <c r="B29" s="6" t="s">
        <v>1171</v>
      </c>
      <c r="C29" s="143"/>
      <c r="D29" s="143"/>
      <c r="E29" s="143"/>
      <c r="F29" s="143"/>
      <c r="G29" s="143">
        <f>G9</f>
        <v>148.19</v>
      </c>
      <c r="H29" s="140" t="s">
        <v>1089</v>
      </c>
      <c r="I29" s="150">
        <f t="shared" ref="I29:I39" si="7">G29/SUM($G$28:$G$39)</f>
        <v>0.37373027373540735</v>
      </c>
      <c r="J29" s="167">
        <f>Insumos!D69</f>
        <v>0</v>
      </c>
      <c r="K29" s="167">
        <f t="shared" si="6"/>
        <v>0</v>
      </c>
    </row>
    <row r="30" spans="1:11" x14ac:dyDescent="0.25">
      <c r="A30" s="124" t="s">
        <v>1220</v>
      </c>
      <c r="B30" s="6" t="s">
        <v>1157</v>
      </c>
      <c r="C30" s="143"/>
      <c r="D30" s="143"/>
      <c r="E30" s="143"/>
      <c r="F30" s="143"/>
      <c r="G30" s="143">
        <f>F9</f>
        <v>148.19</v>
      </c>
      <c r="H30" s="140" t="s">
        <v>1089</v>
      </c>
      <c r="I30" s="150">
        <f t="shared" si="7"/>
        <v>0.37373027373540735</v>
      </c>
      <c r="J30" s="167">
        <f>Insumos!D59</f>
        <v>0</v>
      </c>
      <c r="K30" s="167">
        <f t="shared" si="6"/>
        <v>0</v>
      </c>
    </row>
    <row r="31" spans="1:11" x14ac:dyDescent="0.25">
      <c r="A31" s="124" t="s">
        <v>1222</v>
      </c>
      <c r="B31" s="104" t="s">
        <v>1158</v>
      </c>
      <c r="C31" s="143"/>
      <c r="D31" s="143"/>
      <c r="E31" s="143"/>
      <c r="F31" s="143"/>
      <c r="G31" s="143">
        <f>G29*0.2/3.6/2</f>
        <v>4.1163888888888893</v>
      </c>
      <c r="H31" s="140" t="s">
        <v>1159</v>
      </c>
      <c r="I31" s="150">
        <f t="shared" si="7"/>
        <v>1.0381396492650205E-2</v>
      </c>
      <c r="J31" s="167">
        <f>Insumos!D60</f>
        <v>0</v>
      </c>
      <c r="K31" s="167">
        <f t="shared" si="6"/>
        <v>0</v>
      </c>
    </row>
    <row r="32" spans="1:11" x14ac:dyDescent="0.25">
      <c r="A32" s="124" t="s">
        <v>1223</v>
      </c>
      <c r="B32" s="104" t="s">
        <v>1160</v>
      </c>
      <c r="C32" s="143"/>
      <c r="D32" s="143"/>
      <c r="E32" s="143"/>
      <c r="F32" s="143"/>
      <c r="G32" s="143">
        <f>G31</f>
        <v>4.1163888888888893</v>
      </c>
      <c r="H32" s="140" t="s">
        <v>1159</v>
      </c>
      <c r="I32" s="150">
        <f t="shared" si="7"/>
        <v>1.0381396492650205E-2</v>
      </c>
      <c r="J32" s="167">
        <f>Insumos!D61</f>
        <v>0</v>
      </c>
      <c r="K32" s="167">
        <f t="shared" si="6"/>
        <v>0</v>
      </c>
    </row>
    <row r="33" spans="1:11" x14ac:dyDescent="0.25">
      <c r="A33" s="124" t="s">
        <v>1224</v>
      </c>
      <c r="B33" s="104" t="s">
        <v>1161</v>
      </c>
      <c r="C33" s="143"/>
      <c r="D33" s="143"/>
      <c r="E33" s="143"/>
      <c r="F33" s="143"/>
      <c r="G33" s="143">
        <f>G29*0.02</f>
        <v>2.9638</v>
      </c>
      <c r="H33" s="140" t="s">
        <v>1162</v>
      </c>
      <c r="I33" s="150">
        <f t="shared" si="7"/>
        <v>7.4746054747081465E-3</v>
      </c>
      <c r="J33" s="167">
        <f>Insumos!D62</f>
        <v>0</v>
      </c>
      <c r="K33" s="167">
        <f t="shared" si="6"/>
        <v>0</v>
      </c>
    </row>
    <row r="34" spans="1:11" x14ac:dyDescent="0.25">
      <c r="A34" s="124" t="s">
        <v>1225</v>
      </c>
      <c r="B34" s="104" t="s">
        <v>1163</v>
      </c>
      <c r="C34" s="143"/>
      <c r="D34" s="143"/>
      <c r="E34" s="143"/>
      <c r="F34" s="143"/>
      <c r="G34" s="143">
        <v>5</v>
      </c>
      <c r="H34" s="140" t="s">
        <v>1068</v>
      </c>
      <c r="I34" s="150">
        <f t="shared" si="7"/>
        <v>1.2609834460334953E-2</v>
      </c>
      <c r="J34" s="167">
        <f>Insumos!D63</f>
        <v>0</v>
      </c>
      <c r="K34" s="167">
        <f t="shared" si="6"/>
        <v>0</v>
      </c>
    </row>
    <row r="35" spans="1:11" x14ac:dyDescent="0.25">
      <c r="A35" s="124" t="s">
        <v>1226</v>
      </c>
      <c r="B35" s="104" t="s">
        <v>1164</v>
      </c>
      <c r="C35" s="143"/>
      <c r="D35" s="143"/>
      <c r="E35" s="143"/>
      <c r="F35" s="143"/>
      <c r="G35" s="143">
        <v>5</v>
      </c>
      <c r="H35" s="140" t="s">
        <v>1068</v>
      </c>
      <c r="I35" s="150">
        <f t="shared" si="7"/>
        <v>1.2609834460334953E-2</v>
      </c>
      <c r="J35" s="167">
        <f>Insumos!D64</f>
        <v>0</v>
      </c>
      <c r="K35" s="167">
        <f t="shared" si="6"/>
        <v>0</v>
      </c>
    </row>
    <row r="36" spans="1:11" x14ac:dyDescent="0.25">
      <c r="A36" s="124" t="s">
        <v>1227</v>
      </c>
      <c r="B36" s="104" t="s">
        <v>1165</v>
      </c>
      <c r="C36" s="143"/>
      <c r="D36" s="143"/>
      <c r="E36" s="143"/>
      <c r="F36" s="143"/>
      <c r="G36" s="143">
        <v>5</v>
      </c>
      <c r="H36" s="140" t="s">
        <v>1068</v>
      </c>
      <c r="I36" s="150">
        <f t="shared" si="7"/>
        <v>1.2609834460334953E-2</v>
      </c>
      <c r="J36" s="167">
        <f>Insumos!D65</f>
        <v>0</v>
      </c>
      <c r="K36" s="167">
        <f t="shared" si="6"/>
        <v>0</v>
      </c>
    </row>
    <row r="37" spans="1:11" x14ac:dyDescent="0.25">
      <c r="A37" s="124" t="s">
        <v>1229</v>
      </c>
      <c r="B37" s="104" t="s">
        <v>1166</v>
      </c>
      <c r="C37" s="143"/>
      <c r="D37" s="143"/>
      <c r="E37" s="143"/>
      <c r="F37" s="143"/>
      <c r="G37" s="143">
        <v>10</v>
      </c>
      <c r="H37" s="140" t="s">
        <v>1096</v>
      </c>
      <c r="I37" s="150">
        <f t="shared" si="7"/>
        <v>2.5219668920669906E-2</v>
      </c>
      <c r="J37" s="167">
        <f>Insumos!D66</f>
        <v>0</v>
      </c>
      <c r="K37" s="167">
        <f t="shared" si="6"/>
        <v>0</v>
      </c>
    </row>
    <row r="38" spans="1:11" x14ac:dyDescent="0.25">
      <c r="A38" s="124" t="s">
        <v>1231</v>
      </c>
      <c r="B38" s="104" t="s">
        <v>1167</v>
      </c>
      <c r="C38" s="143"/>
      <c r="D38" s="143"/>
      <c r="E38" s="143"/>
      <c r="F38" s="143"/>
      <c r="G38" s="143">
        <v>5</v>
      </c>
      <c r="H38" s="140" t="s">
        <v>1168</v>
      </c>
      <c r="I38" s="150">
        <f t="shared" si="7"/>
        <v>1.2609834460334953E-2</v>
      </c>
      <c r="J38" s="167">
        <f>Insumos!D67</f>
        <v>0</v>
      </c>
      <c r="K38" s="167">
        <f t="shared" si="6"/>
        <v>0</v>
      </c>
    </row>
    <row r="39" spans="1:11" x14ac:dyDescent="0.25">
      <c r="A39" s="124" t="s">
        <v>1232</v>
      </c>
      <c r="B39" s="104" t="s">
        <v>1169</v>
      </c>
      <c r="C39" s="143"/>
      <c r="D39" s="143"/>
      <c r="E39" s="143"/>
      <c r="F39" s="143"/>
      <c r="G39" s="143">
        <v>50</v>
      </c>
      <c r="H39" s="140" t="s">
        <v>1170</v>
      </c>
      <c r="I39" s="150">
        <f t="shared" si="7"/>
        <v>0.12609834460334954</v>
      </c>
      <c r="J39" s="167">
        <f>Insumos!D68</f>
        <v>0</v>
      </c>
      <c r="K39" s="167">
        <f t="shared" si="6"/>
        <v>0</v>
      </c>
    </row>
    <row r="40" spans="1:11" x14ac:dyDescent="0.25">
      <c r="A40" s="124"/>
      <c r="B40" s="159"/>
      <c r="C40" s="159"/>
      <c r="D40" s="159"/>
      <c r="E40" s="159"/>
      <c r="F40" s="159"/>
      <c r="G40" s="159"/>
      <c r="H40" s="159"/>
      <c r="I40" s="159"/>
      <c r="J40" s="170" t="s">
        <v>1064</v>
      </c>
      <c r="K40" s="175">
        <f>SUM(K28:K39)</f>
        <v>0</v>
      </c>
    </row>
    <row r="41" spans="1:11" x14ac:dyDescent="0.25">
      <c r="A41" s="146" t="s">
        <v>59</v>
      </c>
      <c r="B41" s="179" t="s">
        <v>1176</v>
      </c>
      <c r="C41" s="148"/>
      <c r="D41" s="148"/>
      <c r="E41" s="148"/>
      <c r="F41" s="148"/>
      <c r="G41" s="148"/>
      <c r="H41" s="148"/>
      <c r="I41" s="148"/>
      <c r="J41" s="148"/>
      <c r="K41" s="188"/>
    </row>
    <row r="42" spans="1:11" x14ac:dyDescent="0.25">
      <c r="A42" s="611" t="s">
        <v>1196</v>
      </c>
      <c r="B42" s="612" t="s">
        <v>1067</v>
      </c>
      <c r="C42" s="613" t="s">
        <v>1197</v>
      </c>
      <c r="D42" s="614"/>
      <c r="E42" s="614"/>
      <c r="F42" s="615"/>
      <c r="G42" s="619" t="s">
        <v>14</v>
      </c>
      <c r="H42" s="610" t="s">
        <v>1068</v>
      </c>
      <c r="I42" s="608" t="s">
        <v>35</v>
      </c>
      <c r="J42" s="610" t="s">
        <v>1249</v>
      </c>
      <c r="K42" s="610" t="s">
        <v>16</v>
      </c>
    </row>
    <row r="43" spans="1:11" x14ac:dyDescent="0.25">
      <c r="A43" s="611"/>
      <c r="B43" s="612"/>
      <c r="C43" s="616"/>
      <c r="D43" s="617"/>
      <c r="E43" s="617"/>
      <c r="F43" s="618"/>
      <c r="G43" s="620"/>
      <c r="H43" s="610"/>
      <c r="I43" s="609"/>
      <c r="J43" s="610"/>
      <c r="K43" s="610"/>
    </row>
    <row r="44" spans="1:11" x14ac:dyDescent="0.25">
      <c r="A44" s="124" t="s">
        <v>1233</v>
      </c>
      <c r="B44" s="6" t="s">
        <v>1242</v>
      </c>
      <c r="C44" s="605"/>
      <c r="D44" s="606"/>
      <c r="E44" s="606"/>
      <c r="F44" s="607"/>
      <c r="G44" s="143">
        <v>4</v>
      </c>
      <c r="H44" s="140" t="s">
        <v>1140</v>
      </c>
      <c r="I44" s="150">
        <v>6</v>
      </c>
      <c r="J44" s="167">
        <f>Insumos!D75</f>
        <v>0</v>
      </c>
      <c r="K44" s="167">
        <f>TRUNC(G44*I44*J44,2)</f>
        <v>0</v>
      </c>
    </row>
    <row r="45" spans="1:11" x14ac:dyDescent="0.25">
      <c r="A45" s="152"/>
      <c r="B45" s="159"/>
      <c r="C45" s="159"/>
      <c r="D45" s="159"/>
      <c r="E45" s="159"/>
      <c r="F45" s="159"/>
      <c r="G45" s="159"/>
      <c r="H45" s="159"/>
      <c r="I45" s="159"/>
      <c r="J45" s="170" t="s">
        <v>1064</v>
      </c>
      <c r="K45" s="175">
        <f>SUM(K44)</f>
        <v>0</v>
      </c>
    </row>
    <row r="46" spans="1:11" x14ac:dyDescent="0.25">
      <c r="A46" s="146" t="s">
        <v>60</v>
      </c>
      <c r="B46" s="179" t="s">
        <v>1178</v>
      </c>
      <c r="C46" s="148"/>
      <c r="D46" s="148"/>
      <c r="E46" s="148"/>
      <c r="F46" s="148"/>
      <c r="G46" s="148"/>
      <c r="H46" s="148"/>
      <c r="I46" s="148"/>
      <c r="J46" s="148"/>
      <c r="K46" s="188"/>
    </row>
    <row r="47" spans="1:11" x14ac:dyDescent="0.25">
      <c r="A47" s="611" t="s">
        <v>1196</v>
      </c>
      <c r="B47" s="612" t="s">
        <v>1067</v>
      </c>
      <c r="C47" s="613" t="s">
        <v>1197</v>
      </c>
      <c r="D47" s="614"/>
      <c r="E47" s="614"/>
      <c r="F47" s="615"/>
      <c r="G47" s="619" t="s">
        <v>14</v>
      </c>
      <c r="H47" s="610" t="s">
        <v>1068</v>
      </c>
      <c r="I47" s="608" t="s">
        <v>35</v>
      </c>
      <c r="J47" s="610" t="s">
        <v>1249</v>
      </c>
      <c r="K47" s="610" t="s">
        <v>16</v>
      </c>
    </row>
    <row r="48" spans="1:11" x14ac:dyDescent="0.25">
      <c r="A48" s="611"/>
      <c r="B48" s="612"/>
      <c r="C48" s="616"/>
      <c r="D48" s="617"/>
      <c r="E48" s="617"/>
      <c r="F48" s="618"/>
      <c r="G48" s="620"/>
      <c r="H48" s="610"/>
      <c r="I48" s="609"/>
      <c r="J48" s="610"/>
      <c r="K48" s="610"/>
    </row>
    <row r="49" spans="1:11" x14ac:dyDescent="0.25">
      <c r="A49" s="124" t="s">
        <v>1234</v>
      </c>
      <c r="B49" s="6" t="s">
        <v>42</v>
      </c>
      <c r="C49" s="605"/>
      <c r="D49" s="606"/>
      <c r="E49" s="606"/>
      <c r="F49" s="607"/>
      <c r="G49" s="143">
        <v>4</v>
      </c>
      <c r="H49" s="140" t="s">
        <v>1140</v>
      </c>
      <c r="I49" s="150">
        <v>6</v>
      </c>
      <c r="J49" s="167">
        <f>Insumos!D78</f>
        <v>0</v>
      </c>
      <c r="K49" s="167">
        <f>TRUNC(G49*I49*J49,2)</f>
        <v>0</v>
      </c>
    </row>
    <row r="50" spans="1:11" x14ac:dyDescent="0.25">
      <c r="A50" s="152"/>
      <c r="B50" s="159"/>
      <c r="C50" s="159"/>
      <c r="D50" s="159"/>
      <c r="E50" s="159"/>
      <c r="F50" s="159"/>
      <c r="G50" s="159"/>
      <c r="H50" s="159"/>
      <c r="I50" s="159"/>
      <c r="J50" s="170" t="s">
        <v>1064</v>
      </c>
      <c r="K50" s="175">
        <f>K49</f>
        <v>0</v>
      </c>
    </row>
    <row r="51" spans="1:11" x14ac:dyDescent="0.25">
      <c r="A51" s="146" t="s">
        <v>61</v>
      </c>
      <c r="B51" s="179" t="s">
        <v>1180</v>
      </c>
      <c r="C51" s="148"/>
      <c r="D51" s="148"/>
      <c r="E51" s="148"/>
      <c r="F51" s="148"/>
      <c r="G51" s="148"/>
      <c r="H51" s="148"/>
      <c r="I51" s="148"/>
      <c r="J51" s="148"/>
      <c r="K51" s="188"/>
    </row>
    <row r="52" spans="1:11" x14ac:dyDescent="0.25">
      <c r="A52" s="611" t="s">
        <v>1196</v>
      </c>
      <c r="B52" s="612" t="s">
        <v>1067</v>
      </c>
      <c r="C52" s="613" t="s">
        <v>1197</v>
      </c>
      <c r="D52" s="614"/>
      <c r="E52" s="614"/>
      <c r="F52" s="615"/>
      <c r="G52" s="619" t="s">
        <v>14</v>
      </c>
      <c r="H52" s="610" t="s">
        <v>1068</v>
      </c>
      <c r="I52" s="608" t="s">
        <v>35</v>
      </c>
      <c r="J52" s="610" t="s">
        <v>1249</v>
      </c>
      <c r="K52" s="610" t="s">
        <v>16</v>
      </c>
    </row>
    <row r="53" spans="1:11" x14ac:dyDescent="0.25">
      <c r="A53" s="611"/>
      <c r="B53" s="612"/>
      <c r="C53" s="616"/>
      <c r="D53" s="617"/>
      <c r="E53" s="617"/>
      <c r="F53" s="618"/>
      <c r="G53" s="620"/>
      <c r="H53" s="610"/>
      <c r="I53" s="609"/>
      <c r="J53" s="610"/>
      <c r="K53" s="610"/>
    </row>
    <row r="54" spans="1:11" x14ac:dyDescent="0.25">
      <c r="A54" s="124" t="s">
        <v>1235</v>
      </c>
      <c r="B54" s="6" t="s">
        <v>1181</v>
      </c>
      <c r="C54" s="605"/>
      <c r="D54" s="606"/>
      <c r="E54" s="606"/>
      <c r="F54" s="607"/>
      <c r="G54" s="143">
        <v>2</v>
      </c>
      <c r="H54" s="140" t="s">
        <v>1140</v>
      </c>
      <c r="I54" s="150">
        <f>G54/SUM($G$54:$G$56)</f>
        <v>0.33333333333333331</v>
      </c>
      <c r="J54" s="167">
        <f>Insumos!D81</f>
        <v>0</v>
      </c>
      <c r="K54" s="167">
        <f>TRUNC(G54*I54*J54,2)</f>
        <v>0</v>
      </c>
    </row>
    <row r="55" spans="1:11" x14ac:dyDescent="0.25">
      <c r="A55" s="124" t="s">
        <v>1236</v>
      </c>
      <c r="B55" s="6" t="s">
        <v>1182</v>
      </c>
      <c r="C55" s="605"/>
      <c r="D55" s="606"/>
      <c r="E55" s="606"/>
      <c r="F55" s="607"/>
      <c r="G55" s="143">
        <v>2</v>
      </c>
      <c r="H55" s="140" t="s">
        <v>1140</v>
      </c>
      <c r="I55" s="150">
        <f t="shared" ref="I55:I56" si="8">G55/SUM($G$54:$G$56)</f>
        <v>0.33333333333333331</v>
      </c>
      <c r="J55" s="167">
        <f>Insumos!D82</f>
        <v>0</v>
      </c>
      <c r="K55" s="167">
        <f>TRUNC(G55*I55*J55,2)</f>
        <v>0</v>
      </c>
    </row>
    <row r="56" spans="1:11" x14ac:dyDescent="0.25">
      <c r="A56" s="124" t="s">
        <v>1237</v>
      </c>
      <c r="B56" s="6" t="s">
        <v>1183</v>
      </c>
      <c r="C56" s="605"/>
      <c r="D56" s="606"/>
      <c r="E56" s="606"/>
      <c r="F56" s="607"/>
      <c r="G56" s="143">
        <v>2</v>
      </c>
      <c r="H56" s="140" t="s">
        <v>1140</v>
      </c>
      <c r="I56" s="150">
        <f t="shared" si="8"/>
        <v>0.33333333333333331</v>
      </c>
      <c r="J56" s="167">
        <f>Insumos!D83</f>
        <v>0</v>
      </c>
      <c r="K56" s="167">
        <f>TRUNC(G56*I56*J56,2)</f>
        <v>0</v>
      </c>
    </row>
    <row r="57" spans="1:11" x14ac:dyDescent="0.25">
      <c r="A57" s="152"/>
      <c r="B57" s="159"/>
      <c r="C57" s="159"/>
      <c r="D57" s="159"/>
      <c r="E57" s="159"/>
      <c r="F57" s="159"/>
      <c r="G57" s="159"/>
      <c r="H57" s="159"/>
      <c r="I57" s="159"/>
      <c r="J57" s="170" t="s">
        <v>1064</v>
      </c>
      <c r="K57" s="175">
        <f>SUM(K54:K56)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6:J17"/>
    <mergeCell ref="K16:K17"/>
    <mergeCell ref="A26:A27"/>
    <mergeCell ref="B26:B27"/>
    <mergeCell ref="C26:F27"/>
    <mergeCell ref="G26:G27"/>
    <mergeCell ref="H26:H27"/>
    <mergeCell ref="I26:I27"/>
    <mergeCell ref="J26:J27"/>
    <mergeCell ref="K26:K27"/>
    <mergeCell ref="A16:A17"/>
    <mergeCell ref="B16:B17"/>
    <mergeCell ref="C16:F16"/>
    <mergeCell ref="G16:G17"/>
    <mergeCell ref="H16:H17"/>
    <mergeCell ref="I16:I17"/>
    <mergeCell ref="J42:J43"/>
    <mergeCell ref="K42:K43"/>
    <mergeCell ref="C44:F44"/>
    <mergeCell ref="A47:A48"/>
    <mergeCell ref="B47:B48"/>
    <mergeCell ref="C47:F48"/>
    <mergeCell ref="G47:G48"/>
    <mergeCell ref="H47:H48"/>
    <mergeCell ref="I47:I48"/>
    <mergeCell ref="J47:J48"/>
    <mergeCell ref="A42:A43"/>
    <mergeCell ref="B42:B43"/>
    <mergeCell ref="C42:F43"/>
    <mergeCell ref="G42:G43"/>
    <mergeCell ref="H42:H43"/>
    <mergeCell ref="I42:I43"/>
    <mergeCell ref="A52:A53"/>
    <mergeCell ref="B52:B53"/>
    <mergeCell ref="C52:F53"/>
    <mergeCell ref="G52:G53"/>
    <mergeCell ref="H52:H53"/>
    <mergeCell ref="C54:F54"/>
    <mergeCell ref="C55:F55"/>
    <mergeCell ref="C56:F56"/>
    <mergeCell ref="K47:K48"/>
    <mergeCell ref="C49:F49"/>
    <mergeCell ref="I52:I53"/>
    <mergeCell ref="J52:J53"/>
    <mergeCell ref="K52:K53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view="pageBreakPreview" zoomScale="80" zoomScaleNormal="100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54" customWidth="1"/>
    <col min="3" max="4" width="8.42578125" customWidth="1"/>
    <col min="5" max="5" width="7.7109375" customWidth="1"/>
    <col min="6" max="7" width="10.85546875" customWidth="1"/>
    <col min="8" max="8" width="9.7109375" customWidth="1"/>
    <col min="9" max="9" width="9.42578125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10</v>
      </c>
      <c r="B2" s="184" t="s">
        <v>2119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1393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ht="30" x14ac:dyDescent="0.25">
      <c r="A6" s="34" t="s">
        <v>1202</v>
      </c>
      <c r="B6" s="446" t="s">
        <v>2122</v>
      </c>
      <c r="C6" s="243"/>
      <c r="D6" s="243"/>
      <c r="E6" s="243"/>
      <c r="F6" s="243">
        <v>127.78</v>
      </c>
      <c r="G6" s="243">
        <f t="shared" ref="G6:G15" si="0">F6</f>
        <v>127.78</v>
      </c>
      <c r="H6" s="244" t="s">
        <v>1076</v>
      </c>
      <c r="I6" s="253">
        <v>0.5</v>
      </c>
      <c r="J6" s="254">
        <f>Insumos!D24</f>
        <v>0</v>
      </c>
      <c r="K6" s="254">
        <f t="shared" ref="K6:K15" si="1">TRUNC(G6*I6*J6,2)</f>
        <v>0</v>
      </c>
    </row>
    <row r="7" spans="1:11" s="247" customFormat="1" ht="30" x14ac:dyDescent="0.25">
      <c r="A7" s="34" t="s">
        <v>1203</v>
      </c>
      <c r="B7" s="446" t="s">
        <v>2123</v>
      </c>
      <c r="C7" s="243"/>
      <c r="D7" s="243"/>
      <c r="E7" s="243"/>
      <c r="F7" s="243">
        <v>127.72</v>
      </c>
      <c r="G7" s="243">
        <f t="shared" si="0"/>
        <v>127.72</v>
      </c>
      <c r="H7" s="244" t="s">
        <v>1076</v>
      </c>
      <c r="I7" s="253">
        <v>0.5</v>
      </c>
      <c r="J7" s="254">
        <f>Insumos!D24</f>
        <v>0</v>
      </c>
      <c r="K7" s="254">
        <f t="shared" ref="K7:K9" si="2">TRUNC(G7*I7*J7,2)</f>
        <v>0</v>
      </c>
    </row>
    <row r="8" spans="1:11" s="247" customFormat="1" ht="30" x14ac:dyDescent="0.25">
      <c r="A8" s="34" t="s">
        <v>1204</v>
      </c>
      <c r="B8" s="446" t="s">
        <v>2124</v>
      </c>
      <c r="C8" s="243"/>
      <c r="D8" s="243"/>
      <c r="E8" s="243"/>
      <c r="F8" s="243">
        <v>144.32</v>
      </c>
      <c r="G8" s="243">
        <f t="shared" si="0"/>
        <v>144.32</v>
      </c>
      <c r="H8" s="244" t="s">
        <v>1076</v>
      </c>
      <c r="I8" s="253">
        <v>0.5</v>
      </c>
      <c r="J8" s="254">
        <f>Insumos!D24</f>
        <v>0</v>
      </c>
      <c r="K8" s="254">
        <f t="shared" ref="K8" si="3">TRUNC(G8*I8*J8,2)</f>
        <v>0</v>
      </c>
    </row>
    <row r="9" spans="1:11" s="247" customFormat="1" ht="30" x14ac:dyDescent="0.25">
      <c r="A9" s="34" t="s">
        <v>1205</v>
      </c>
      <c r="B9" s="446" t="s">
        <v>2125</v>
      </c>
      <c r="C9" s="243"/>
      <c r="D9" s="243"/>
      <c r="E9" s="243"/>
      <c r="F9" s="243">
        <v>196.03</v>
      </c>
      <c r="G9" s="243">
        <f t="shared" si="0"/>
        <v>196.03</v>
      </c>
      <c r="H9" s="244" t="s">
        <v>1076</v>
      </c>
      <c r="I9" s="253">
        <v>0.5</v>
      </c>
      <c r="J9" s="254">
        <f>Insumos!D24</f>
        <v>0</v>
      </c>
      <c r="K9" s="254">
        <f t="shared" si="2"/>
        <v>0</v>
      </c>
    </row>
    <row r="10" spans="1:11" s="247" customFormat="1" ht="30" x14ac:dyDescent="0.25">
      <c r="A10" s="34" t="s">
        <v>1206</v>
      </c>
      <c r="B10" s="446" t="s">
        <v>2126</v>
      </c>
      <c r="C10" s="243"/>
      <c r="D10" s="243"/>
      <c r="E10" s="243"/>
      <c r="F10" s="243">
        <v>83.66</v>
      </c>
      <c r="G10" s="243">
        <f t="shared" si="0"/>
        <v>83.66</v>
      </c>
      <c r="H10" s="244" t="s">
        <v>1076</v>
      </c>
      <c r="I10" s="253">
        <v>0.5</v>
      </c>
      <c r="J10" s="254">
        <f>Insumos!D24</f>
        <v>0</v>
      </c>
      <c r="K10" s="254">
        <f t="shared" si="1"/>
        <v>0</v>
      </c>
    </row>
    <row r="11" spans="1:11" s="247" customFormat="1" ht="30" x14ac:dyDescent="0.25">
      <c r="A11" s="34" t="s">
        <v>1207</v>
      </c>
      <c r="B11" s="446" t="s">
        <v>2127</v>
      </c>
      <c r="C11" s="243"/>
      <c r="D11" s="243"/>
      <c r="E11" s="243"/>
      <c r="F11" s="243">
        <v>90.08</v>
      </c>
      <c r="G11" s="243">
        <f t="shared" si="0"/>
        <v>90.08</v>
      </c>
      <c r="H11" s="244" t="s">
        <v>1076</v>
      </c>
      <c r="I11" s="253">
        <v>0.5</v>
      </c>
      <c r="J11" s="254">
        <f>Insumos!D24</f>
        <v>0</v>
      </c>
      <c r="K11" s="254">
        <f t="shared" si="1"/>
        <v>0</v>
      </c>
    </row>
    <row r="12" spans="1:11" s="247" customFormat="1" x14ac:dyDescent="0.25">
      <c r="A12" s="34" t="s">
        <v>1208</v>
      </c>
      <c r="B12" s="241" t="s">
        <v>2128</v>
      </c>
      <c r="C12" s="243"/>
      <c r="D12" s="243"/>
      <c r="E12" s="243"/>
      <c r="F12" s="243">
        <f>F15</f>
        <v>769.59</v>
      </c>
      <c r="G12" s="243">
        <f t="shared" si="0"/>
        <v>769.59</v>
      </c>
      <c r="H12" s="244" t="s">
        <v>1076</v>
      </c>
      <c r="I12" s="253">
        <v>0.5</v>
      </c>
      <c r="J12" s="254">
        <f>Insumos!D7</f>
        <v>0</v>
      </c>
      <c r="K12" s="254">
        <f t="shared" si="1"/>
        <v>0</v>
      </c>
    </row>
    <row r="13" spans="1:11" s="247" customFormat="1" ht="28.5" customHeight="1" x14ac:dyDescent="0.25">
      <c r="A13" s="34" t="s">
        <v>1209</v>
      </c>
      <c r="B13" s="241" t="s">
        <v>1285</v>
      </c>
      <c r="C13" s="242"/>
      <c r="D13" s="242"/>
      <c r="E13" s="242"/>
      <c r="F13" s="243">
        <f>8+12+15+18+2+7</f>
        <v>62</v>
      </c>
      <c r="G13" s="242">
        <f t="shared" si="0"/>
        <v>62</v>
      </c>
      <c r="H13" s="244" t="s">
        <v>1076</v>
      </c>
      <c r="I13" s="253">
        <v>0.5</v>
      </c>
      <c r="J13" s="254">
        <f>Insumos!D34</f>
        <v>0</v>
      </c>
      <c r="K13" s="254">
        <f t="shared" ref="K13:K14" si="4">TRUNC(G13*I13*J13,2)</f>
        <v>0</v>
      </c>
    </row>
    <row r="14" spans="1:11" s="247" customFormat="1" ht="28.5" customHeight="1" x14ac:dyDescent="0.25">
      <c r="A14" s="34" t="s">
        <v>1210</v>
      </c>
      <c r="B14" s="255" t="s">
        <v>1322</v>
      </c>
      <c r="C14" s="243">
        <v>46.64</v>
      </c>
      <c r="D14" s="243"/>
      <c r="E14" s="243">
        <v>3</v>
      </c>
      <c r="F14" s="243">
        <f>E14*C14</f>
        <v>139.92000000000002</v>
      </c>
      <c r="G14" s="243">
        <f t="shared" si="0"/>
        <v>139.92000000000002</v>
      </c>
      <c r="H14" s="244" t="s">
        <v>1076</v>
      </c>
      <c r="I14" s="253">
        <v>0.5</v>
      </c>
      <c r="J14" s="254">
        <f>Insumos!D35</f>
        <v>0</v>
      </c>
      <c r="K14" s="254">
        <f t="shared" si="4"/>
        <v>0</v>
      </c>
    </row>
    <row r="15" spans="1:11" s="247" customFormat="1" ht="28.5" customHeight="1" x14ac:dyDescent="0.25">
      <c r="A15" s="34" t="s">
        <v>1211</v>
      </c>
      <c r="B15" s="255" t="s">
        <v>1126</v>
      </c>
      <c r="C15" s="243"/>
      <c r="D15" s="243"/>
      <c r="E15" s="243"/>
      <c r="F15" s="243">
        <f>F6+F7+F8+F9+F10+F11</f>
        <v>769.59</v>
      </c>
      <c r="G15" s="243">
        <f t="shared" si="0"/>
        <v>769.59</v>
      </c>
      <c r="H15" s="244" t="s">
        <v>1076</v>
      </c>
      <c r="I15" s="253">
        <v>0.5</v>
      </c>
      <c r="J15" s="254">
        <f>Insumos!D27</f>
        <v>0</v>
      </c>
      <c r="K15" s="254">
        <f t="shared" si="1"/>
        <v>0</v>
      </c>
    </row>
    <row r="16" spans="1:11" s="247" customFormat="1" x14ac:dyDescent="0.25">
      <c r="A16" s="394"/>
      <c r="B16" s="386"/>
      <c r="C16" s="382"/>
      <c r="D16" s="382"/>
      <c r="E16" s="382"/>
      <c r="F16" s="382"/>
      <c r="G16" s="382"/>
      <c r="H16" s="382"/>
      <c r="I16" s="382"/>
      <c r="J16" s="399" t="s">
        <v>1064</v>
      </c>
      <c r="K16" s="407">
        <f>SUM(K6:K15)</f>
        <v>0</v>
      </c>
    </row>
    <row r="17" spans="1:11" x14ac:dyDescent="0.25">
      <c r="A17" s="146" t="s">
        <v>1394</v>
      </c>
      <c r="B17" s="179" t="s">
        <v>1219</v>
      </c>
      <c r="C17" s="388"/>
      <c r="D17" s="388"/>
      <c r="E17" s="388"/>
      <c r="F17" s="388"/>
      <c r="G17" s="148"/>
      <c r="H17" s="148"/>
      <c r="I17" s="148"/>
      <c r="J17" s="148"/>
      <c r="K17" s="188"/>
    </row>
    <row r="18" spans="1:11" x14ac:dyDescent="0.25">
      <c r="A18" s="611" t="s">
        <v>1196</v>
      </c>
      <c r="B18" s="612" t="s">
        <v>1067</v>
      </c>
      <c r="C18" s="643" t="s">
        <v>1197</v>
      </c>
      <c r="D18" s="643"/>
      <c r="E18" s="643"/>
      <c r="F18" s="643"/>
      <c r="G18" s="619" t="s">
        <v>14</v>
      </c>
      <c r="H18" s="610" t="s">
        <v>1068</v>
      </c>
      <c r="I18" s="608" t="s">
        <v>35</v>
      </c>
      <c r="J18" s="610" t="s">
        <v>1069</v>
      </c>
      <c r="K18" s="610" t="s">
        <v>16</v>
      </c>
    </row>
    <row r="19" spans="1:11" x14ac:dyDescent="0.25">
      <c r="A19" s="611"/>
      <c r="B19" s="612"/>
      <c r="C19" s="384"/>
      <c r="D19" s="384"/>
      <c r="E19" s="384"/>
      <c r="F19" s="384"/>
      <c r="G19" s="620"/>
      <c r="H19" s="610"/>
      <c r="I19" s="609"/>
      <c r="J19" s="610"/>
      <c r="K19" s="610"/>
    </row>
    <row r="20" spans="1:11" x14ac:dyDescent="0.25">
      <c r="A20" s="124" t="s">
        <v>1212</v>
      </c>
      <c r="B20" s="6" t="s">
        <v>1147</v>
      </c>
      <c r="C20" s="243"/>
      <c r="D20" s="243"/>
      <c r="E20" s="243"/>
      <c r="F20" s="243"/>
      <c r="G20" s="143">
        <v>5</v>
      </c>
      <c r="H20" s="140" t="s">
        <v>1140</v>
      </c>
      <c r="I20" s="150">
        <f>G20/SUM($G$20:$G$25)</f>
        <v>5.0505050505050504E-2</v>
      </c>
      <c r="J20" s="167">
        <f>Insumos!D49</f>
        <v>0</v>
      </c>
      <c r="K20" s="167">
        <f t="shared" ref="K20:K25" si="5">TRUNC(G20*I20*J20,2)</f>
        <v>0</v>
      </c>
    </row>
    <row r="21" spans="1:11" x14ac:dyDescent="0.25">
      <c r="A21" s="124" t="s">
        <v>1213</v>
      </c>
      <c r="B21" s="6" t="s">
        <v>1148</v>
      </c>
      <c r="C21" s="243"/>
      <c r="D21" s="243"/>
      <c r="E21" s="243"/>
      <c r="F21" s="243"/>
      <c r="G21" s="143">
        <v>5</v>
      </c>
      <c r="H21" s="140" t="s">
        <v>1140</v>
      </c>
      <c r="I21" s="150">
        <f t="shared" ref="I21:I25" si="6">G21/SUM($G$20:$G$25)</f>
        <v>5.0505050505050504E-2</v>
      </c>
      <c r="J21" s="167">
        <f>Insumos!D50</f>
        <v>0</v>
      </c>
      <c r="K21" s="167">
        <f t="shared" si="5"/>
        <v>0</v>
      </c>
    </row>
    <row r="22" spans="1:11" x14ac:dyDescent="0.25">
      <c r="A22" s="124" t="s">
        <v>1214</v>
      </c>
      <c r="B22" s="6" t="s">
        <v>1149</v>
      </c>
      <c r="C22" s="243"/>
      <c r="D22" s="243"/>
      <c r="E22" s="243"/>
      <c r="F22" s="243"/>
      <c r="G22" s="143">
        <v>5</v>
      </c>
      <c r="H22" s="140" t="s">
        <v>1140</v>
      </c>
      <c r="I22" s="150">
        <f t="shared" si="6"/>
        <v>5.0505050505050504E-2</v>
      </c>
      <c r="J22" s="167">
        <f>Insumos!D51</f>
        <v>0</v>
      </c>
      <c r="K22" s="167">
        <f t="shared" si="5"/>
        <v>0</v>
      </c>
    </row>
    <row r="23" spans="1:11" x14ac:dyDescent="0.25">
      <c r="A23" s="124" t="s">
        <v>1215</v>
      </c>
      <c r="B23" s="6" t="s">
        <v>1150</v>
      </c>
      <c r="C23" s="243"/>
      <c r="D23" s="243"/>
      <c r="E23" s="243"/>
      <c r="F23" s="243"/>
      <c r="G23" s="143">
        <v>50</v>
      </c>
      <c r="H23" s="140" t="s">
        <v>1151</v>
      </c>
      <c r="I23" s="150">
        <f t="shared" si="6"/>
        <v>0.50505050505050508</v>
      </c>
      <c r="J23" s="167">
        <f>Insumos!D52</f>
        <v>0</v>
      </c>
      <c r="K23" s="167">
        <f t="shared" si="5"/>
        <v>0</v>
      </c>
    </row>
    <row r="24" spans="1:11" x14ac:dyDescent="0.25">
      <c r="A24" s="124" t="s">
        <v>1216</v>
      </c>
      <c r="B24" s="6" t="s">
        <v>1152</v>
      </c>
      <c r="C24" s="243"/>
      <c r="D24" s="243"/>
      <c r="E24" s="243"/>
      <c r="F24" s="243"/>
      <c r="G24" s="143">
        <v>4</v>
      </c>
      <c r="H24" s="140" t="s">
        <v>1124</v>
      </c>
      <c r="I24" s="150">
        <f t="shared" si="6"/>
        <v>4.0404040404040407E-2</v>
      </c>
      <c r="J24" s="167">
        <f>Insumos!D53</f>
        <v>0</v>
      </c>
      <c r="K24" s="167">
        <f t="shared" si="5"/>
        <v>0</v>
      </c>
    </row>
    <row r="25" spans="1:11" x14ac:dyDescent="0.25">
      <c r="A25" s="124" t="s">
        <v>1217</v>
      </c>
      <c r="B25" s="6" t="s">
        <v>1248</v>
      </c>
      <c r="C25" s="243"/>
      <c r="D25" s="243"/>
      <c r="E25" s="243"/>
      <c r="F25" s="243"/>
      <c r="G25" s="143">
        <v>30</v>
      </c>
      <c r="H25" s="140" t="s">
        <v>1154</v>
      </c>
      <c r="I25" s="150">
        <f t="shared" si="6"/>
        <v>0.30303030303030304</v>
      </c>
      <c r="J25" s="167">
        <f>Insumos!D54</f>
        <v>0</v>
      </c>
      <c r="K25" s="167">
        <f t="shared" si="5"/>
        <v>0</v>
      </c>
    </row>
    <row r="26" spans="1:11" x14ac:dyDescent="0.25">
      <c r="A26" s="152"/>
      <c r="B26" s="159"/>
      <c r="C26" s="382"/>
      <c r="D26" s="382"/>
      <c r="E26" s="382"/>
      <c r="F26" s="382"/>
      <c r="G26" s="154"/>
      <c r="H26" s="157"/>
      <c r="I26" s="157"/>
      <c r="J26" s="192" t="s">
        <v>1064</v>
      </c>
      <c r="K26" s="193">
        <f>SUM(K20:K25)</f>
        <v>0</v>
      </c>
    </row>
    <row r="27" spans="1:11" x14ac:dyDescent="0.25">
      <c r="A27" s="146" t="s">
        <v>1395</v>
      </c>
      <c r="B27" s="179" t="s">
        <v>1155</v>
      </c>
      <c r="C27" s="383"/>
      <c r="D27" s="383"/>
      <c r="E27" s="383"/>
      <c r="F27" s="383"/>
      <c r="G27" s="148"/>
      <c r="H27" s="148"/>
      <c r="I27" s="148"/>
      <c r="J27" s="148"/>
      <c r="K27" s="188"/>
    </row>
    <row r="28" spans="1:11" x14ac:dyDescent="0.25">
      <c r="A28" s="611" t="s">
        <v>1196</v>
      </c>
      <c r="B28" s="612" t="s">
        <v>1067</v>
      </c>
      <c r="C28" s="637" t="s">
        <v>1197</v>
      </c>
      <c r="D28" s="638"/>
      <c r="E28" s="638"/>
      <c r="F28" s="639"/>
      <c r="G28" s="619" t="s">
        <v>14</v>
      </c>
      <c r="H28" s="610" t="s">
        <v>1068</v>
      </c>
      <c r="I28" s="608" t="s">
        <v>35</v>
      </c>
      <c r="J28" s="610" t="s">
        <v>1249</v>
      </c>
      <c r="K28" s="610" t="s">
        <v>16</v>
      </c>
    </row>
    <row r="29" spans="1:11" x14ac:dyDescent="0.25">
      <c r="A29" s="611"/>
      <c r="B29" s="612"/>
      <c r="C29" s="640"/>
      <c r="D29" s="641"/>
      <c r="E29" s="641"/>
      <c r="F29" s="642"/>
      <c r="G29" s="620"/>
      <c r="H29" s="610"/>
      <c r="I29" s="609"/>
      <c r="J29" s="610"/>
      <c r="K29" s="610"/>
    </row>
    <row r="30" spans="1:11" x14ac:dyDescent="0.25">
      <c r="A30" s="124" t="s">
        <v>1220</v>
      </c>
      <c r="B30" s="104" t="s">
        <v>1156</v>
      </c>
      <c r="C30" s="143"/>
      <c r="D30" s="143"/>
      <c r="E30" s="143"/>
      <c r="F30" s="143"/>
      <c r="G30" s="143">
        <f>G15/30</f>
        <v>25.653000000000002</v>
      </c>
      <c r="H30" s="140" t="s">
        <v>1228</v>
      </c>
      <c r="I30" s="150">
        <f>G30/SUM($G$30:$G$39)</f>
        <v>1.5509862937866591E-2</v>
      </c>
      <c r="J30" s="167">
        <f>Insumos!D58</f>
        <v>0</v>
      </c>
      <c r="K30" s="167">
        <f t="shared" ref="K30:K39" si="7">TRUNC(G30*I30*J30,2)</f>
        <v>0</v>
      </c>
    </row>
    <row r="31" spans="1:11" x14ac:dyDescent="0.25">
      <c r="A31" s="124" t="s">
        <v>1222</v>
      </c>
      <c r="B31" s="104" t="s">
        <v>1157</v>
      </c>
      <c r="C31" s="143"/>
      <c r="D31" s="143"/>
      <c r="E31" s="143"/>
      <c r="F31" s="143"/>
      <c r="G31" s="143">
        <f>F12</f>
        <v>769.59</v>
      </c>
      <c r="H31" s="140" t="s">
        <v>1089</v>
      </c>
      <c r="I31" s="150">
        <f t="shared" ref="I31" si="8">G31/SUM($G$30:$G$39)</f>
        <v>0.4652958881359977</v>
      </c>
      <c r="J31" s="167">
        <f>Insumos!D59</f>
        <v>0</v>
      </c>
      <c r="K31" s="167">
        <f t="shared" ref="K31" si="9">TRUNC(G31*I31*J31,2)</f>
        <v>0</v>
      </c>
    </row>
    <row r="32" spans="1:11" x14ac:dyDescent="0.25">
      <c r="A32" s="124" t="s">
        <v>1223</v>
      </c>
      <c r="B32" s="104" t="s">
        <v>1171</v>
      </c>
      <c r="C32" s="143"/>
      <c r="D32" s="143"/>
      <c r="E32" s="143"/>
      <c r="F32" s="143"/>
      <c r="G32" s="143">
        <f>F12</f>
        <v>769.59</v>
      </c>
      <c r="H32" s="140" t="s">
        <v>1089</v>
      </c>
      <c r="I32" s="150">
        <f t="shared" ref="I32:I39" si="10">G32/SUM($G$30:$G$39)</f>
        <v>0.4652958881359977</v>
      </c>
      <c r="J32" s="167">
        <f>Insumos!D69</f>
        <v>0</v>
      </c>
      <c r="K32" s="167">
        <f t="shared" si="7"/>
        <v>0</v>
      </c>
    </row>
    <row r="33" spans="1:11" x14ac:dyDescent="0.25">
      <c r="A33" s="124" t="s">
        <v>1224</v>
      </c>
      <c r="B33" s="129" t="s">
        <v>1266</v>
      </c>
      <c r="C33" s="143"/>
      <c r="D33" s="143"/>
      <c r="E33" s="143"/>
      <c r="F33" s="143"/>
      <c r="G33" s="143">
        <f>G32*0.2/3.6</f>
        <v>42.755000000000003</v>
      </c>
      <c r="H33" s="140" t="s">
        <v>1159</v>
      </c>
      <c r="I33" s="150">
        <f t="shared" si="10"/>
        <v>2.5849771563110985E-2</v>
      </c>
      <c r="J33" s="167">
        <f>Insumos!D61</f>
        <v>0</v>
      </c>
      <c r="K33" s="167">
        <f t="shared" si="7"/>
        <v>0</v>
      </c>
    </row>
    <row r="34" spans="1:11" x14ac:dyDescent="0.25">
      <c r="A34" s="124" t="s">
        <v>1225</v>
      </c>
      <c r="B34" s="129" t="s">
        <v>1161</v>
      </c>
      <c r="C34" s="143"/>
      <c r="D34" s="143"/>
      <c r="E34" s="143"/>
      <c r="F34" s="143"/>
      <c r="G34" s="143">
        <f>G32*0.02</f>
        <v>15.391800000000002</v>
      </c>
      <c r="H34" s="140" t="s">
        <v>1162</v>
      </c>
      <c r="I34" s="150">
        <f t="shared" si="10"/>
        <v>9.3059177627199553E-3</v>
      </c>
      <c r="J34" s="167">
        <f>Insumos!D62</f>
        <v>0</v>
      </c>
      <c r="K34" s="167">
        <f t="shared" si="7"/>
        <v>0</v>
      </c>
    </row>
    <row r="35" spans="1:11" x14ac:dyDescent="0.25">
      <c r="A35" s="124" t="s">
        <v>1226</v>
      </c>
      <c r="B35" s="129" t="s">
        <v>1286</v>
      </c>
      <c r="C35" s="143"/>
      <c r="D35" s="143"/>
      <c r="E35" s="143"/>
      <c r="F35" s="143"/>
      <c r="G35" s="143">
        <v>10</v>
      </c>
      <c r="H35" s="140" t="s">
        <v>1068</v>
      </c>
      <c r="I35" s="150">
        <f t="shared" si="10"/>
        <v>6.0460230530022183E-3</v>
      </c>
      <c r="J35" s="167">
        <f>Insumos!D63</f>
        <v>0</v>
      </c>
      <c r="K35" s="167">
        <f t="shared" si="7"/>
        <v>0</v>
      </c>
    </row>
    <row r="36" spans="1:11" x14ac:dyDescent="0.25">
      <c r="A36" s="124" t="s">
        <v>1227</v>
      </c>
      <c r="B36" s="129" t="s">
        <v>1268</v>
      </c>
      <c r="C36" s="143"/>
      <c r="D36" s="143"/>
      <c r="E36" s="143"/>
      <c r="F36" s="143"/>
      <c r="G36" s="143">
        <v>10</v>
      </c>
      <c r="H36" s="140" t="s">
        <v>1068</v>
      </c>
      <c r="I36" s="150">
        <f t="shared" si="10"/>
        <v>6.0460230530022183E-3</v>
      </c>
      <c r="J36" s="167">
        <f>Insumos!D65</f>
        <v>0</v>
      </c>
      <c r="K36" s="167">
        <f t="shared" si="7"/>
        <v>0</v>
      </c>
    </row>
    <row r="37" spans="1:11" x14ac:dyDescent="0.25">
      <c r="A37" s="124" t="s">
        <v>1229</v>
      </c>
      <c r="B37" s="129" t="s">
        <v>1166</v>
      </c>
      <c r="C37" s="143"/>
      <c r="D37" s="143"/>
      <c r="E37" s="143"/>
      <c r="F37" s="143"/>
      <c r="G37" s="143">
        <v>5</v>
      </c>
      <c r="H37" s="140" t="s">
        <v>1096</v>
      </c>
      <c r="I37" s="150">
        <f t="shared" si="10"/>
        <v>3.0230115265011091E-3</v>
      </c>
      <c r="J37" s="167">
        <f>Insumos!D66</f>
        <v>0</v>
      </c>
      <c r="K37" s="167">
        <f t="shared" si="7"/>
        <v>0</v>
      </c>
    </row>
    <row r="38" spans="1:11" x14ac:dyDescent="0.25">
      <c r="A38" s="124" t="s">
        <v>1231</v>
      </c>
      <c r="B38" s="129" t="s">
        <v>1167</v>
      </c>
      <c r="C38" s="143"/>
      <c r="D38" s="143"/>
      <c r="E38" s="143"/>
      <c r="F38" s="143"/>
      <c r="G38" s="143">
        <v>3</v>
      </c>
      <c r="H38" s="140" t="s">
        <v>1168</v>
      </c>
      <c r="I38" s="150">
        <f t="shared" si="10"/>
        <v>1.8138069159006655E-3</v>
      </c>
      <c r="J38" s="167">
        <f>Insumos!D67</f>
        <v>0</v>
      </c>
      <c r="K38" s="167">
        <f t="shared" si="7"/>
        <v>0</v>
      </c>
    </row>
    <row r="39" spans="1:11" x14ac:dyDescent="0.25">
      <c r="A39" s="124" t="s">
        <v>1232</v>
      </c>
      <c r="B39" s="129" t="s">
        <v>1270</v>
      </c>
      <c r="C39" s="143"/>
      <c r="D39" s="143"/>
      <c r="E39" s="143"/>
      <c r="F39" s="143"/>
      <c r="G39" s="143">
        <v>3</v>
      </c>
      <c r="H39" s="140" t="s">
        <v>1170</v>
      </c>
      <c r="I39" s="150">
        <f t="shared" si="10"/>
        <v>1.8138069159006655E-3</v>
      </c>
      <c r="J39" s="167">
        <f>Insumos!D68</f>
        <v>0</v>
      </c>
      <c r="K39" s="167">
        <f t="shared" si="7"/>
        <v>0</v>
      </c>
    </row>
    <row r="40" spans="1:11" x14ac:dyDescent="0.25">
      <c r="A40" s="124"/>
      <c r="B40" s="159"/>
      <c r="C40" s="159"/>
      <c r="D40" s="159"/>
      <c r="E40" s="159"/>
      <c r="F40" s="159"/>
      <c r="G40" s="159"/>
      <c r="H40" s="159"/>
      <c r="I40" s="159"/>
      <c r="J40" s="170" t="s">
        <v>1064</v>
      </c>
      <c r="K40" s="175">
        <f>SUM(K30:K39)</f>
        <v>0</v>
      </c>
    </row>
    <row r="41" spans="1:11" x14ac:dyDescent="0.25">
      <c r="A41" s="146" t="s">
        <v>1396</v>
      </c>
      <c r="B41" s="179" t="s">
        <v>1176</v>
      </c>
      <c r="C41" s="148"/>
      <c r="D41" s="148"/>
      <c r="E41" s="148"/>
      <c r="F41" s="148"/>
      <c r="G41" s="148"/>
      <c r="H41" s="148"/>
      <c r="I41" s="148"/>
      <c r="J41" s="148"/>
      <c r="K41" s="188"/>
    </row>
    <row r="42" spans="1:11" x14ac:dyDescent="0.25">
      <c r="A42" s="611" t="s">
        <v>1196</v>
      </c>
      <c r="B42" s="612" t="s">
        <v>1067</v>
      </c>
      <c r="C42" s="613" t="s">
        <v>1197</v>
      </c>
      <c r="D42" s="614"/>
      <c r="E42" s="614"/>
      <c r="F42" s="615"/>
      <c r="G42" s="619" t="s">
        <v>14</v>
      </c>
      <c r="H42" s="610" t="s">
        <v>1068</v>
      </c>
      <c r="I42" s="608" t="s">
        <v>35</v>
      </c>
      <c r="J42" s="610" t="s">
        <v>1249</v>
      </c>
      <c r="K42" s="610" t="s">
        <v>16</v>
      </c>
    </row>
    <row r="43" spans="1:11" x14ac:dyDescent="0.25">
      <c r="A43" s="611"/>
      <c r="B43" s="612"/>
      <c r="C43" s="616"/>
      <c r="D43" s="617"/>
      <c r="E43" s="617"/>
      <c r="F43" s="618"/>
      <c r="G43" s="620"/>
      <c r="H43" s="610"/>
      <c r="I43" s="609"/>
      <c r="J43" s="610"/>
      <c r="K43" s="610"/>
    </row>
    <row r="44" spans="1:11" x14ac:dyDescent="0.25">
      <c r="A44" s="124" t="s">
        <v>1233</v>
      </c>
      <c r="B44" s="6" t="s">
        <v>1242</v>
      </c>
      <c r="C44" s="605"/>
      <c r="D44" s="606"/>
      <c r="E44" s="606"/>
      <c r="F44" s="607"/>
      <c r="G44" s="143">
        <v>5</v>
      </c>
      <c r="H44" s="140" t="s">
        <v>1140</v>
      </c>
      <c r="I44" s="150">
        <v>10</v>
      </c>
      <c r="J44" s="167">
        <f>Insumos!D75</f>
        <v>0</v>
      </c>
      <c r="K44" s="167">
        <f>TRUNC(G44*I44*J44,2)</f>
        <v>0</v>
      </c>
    </row>
    <row r="45" spans="1:11" x14ac:dyDescent="0.25">
      <c r="A45" s="152"/>
      <c r="B45" s="159"/>
      <c r="C45" s="159"/>
      <c r="D45" s="159"/>
      <c r="E45" s="159"/>
      <c r="F45" s="159"/>
      <c r="G45" s="159"/>
      <c r="H45" s="159"/>
      <c r="I45" s="159"/>
      <c r="J45" s="170" t="s">
        <v>1064</v>
      </c>
      <c r="K45" s="175">
        <f>SUM(K44)</f>
        <v>0</v>
      </c>
    </row>
    <row r="46" spans="1:11" x14ac:dyDescent="0.25">
      <c r="A46" s="146" t="s">
        <v>1397</v>
      </c>
      <c r="B46" s="179" t="s">
        <v>1178</v>
      </c>
      <c r="C46" s="148"/>
      <c r="D46" s="148"/>
      <c r="E46" s="148"/>
      <c r="F46" s="148"/>
      <c r="G46" s="148"/>
      <c r="H46" s="148"/>
      <c r="I46" s="148"/>
      <c r="J46" s="148"/>
      <c r="K46" s="188"/>
    </row>
    <row r="47" spans="1:11" x14ac:dyDescent="0.25">
      <c r="A47" s="611" t="s">
        <v>1196</v>
      </c>
      <c r="B47" s="612" t="s">
        <v>1067</v>
      </c>
      <c r="C47" s="613" t="s">
        <v>1197</v>
      </c>
      <c r="D47" s="614"/>
      <c r="E47" s="614"/>
      <c r="F47" s="615"/>
      <c r="G47" s="619" t="s">
        <v>14</v>
      </c>
      <c r="H47" s="610" t="s">
        <v>1068</v>
      </c>
      <c r="I47" s="608" t="s">
        <v>35</v>
      </c>
      <c r="J47" s="610" t="s">
        <v>1249</v>
      </c>
      <c r="K47" s="610" t="s">
        <v>16</v>
      </c>
    </row>
    <row r="48" spans="1:11" x14ac:dyDescent="0.25">
      <c r="A48" s="611"/>
      <c r="B48" s="612"/>
      <c r="C48" s="616"/>
      <c r="D48" s="617"/>
      <c r="E48" s="617"/>
      <c r="F48" s="618"/>
      <c r="G48" s="620"/>
      <c r="H48" s="610"/>
      <c r="I48" s="609"/>
      <c r="J48" s="610"/>
      <c r="K48" s="610"/>
    </row>
    <row r="49" spans="1:11" x14ac:dyDescent="0.25">
      <c r="A49" s="124" t="s">
        <v>1234</v>
      </c>
      <c r="B49" s="6" t="s">
        <v>42</v>
      </c>
      <c r="C49" s="605"/>
      <c r="D49" s="606"/>
      <c r="E49" s="606"/>
      <c r="F49" s="607"/>
      <c r="G49" s="143">
        <v>5</v>
      </c>
      <c r="H49" s="140" t="s">
        <v>1140</v>
      </c>
      <c r="I49" s="150">
        <v>10</v>
      </c>
      <c r="J49" s="167">
        <f>Insumos!D78</f>
        <v>0</v>
      </c>
      <c r="K49" s="167">
        <f>TRUNC(G49*I49*J49,2)</f>
        <v>0</v>
      </c>
    </row>
    <row r="50" spans="1:11" x14ac:dyDescent="0.25">
      <c r="A50" s="152"/>
      <c r="B50" s="159"/>
      <c r="C50" s="159"/>
      <c r="D50" s="159"/>
      <c r="E50" s="159"/>
      <c r="F50" s="159"/>
      <c r="G50" s="159"/>
      <c r="H50" s="159"/>
      <c r="I50" s="159"/>
      <c r="J50" s="170" t="s">
        <v>1064</v>
      </c>
      <c r="K50" s="175">
        <f>K49</f>
        <v>0</v>
      </c>
    </row>
    <row r="51" spans="1:11" x14ac:dyDescent="0.25">
      <c r="A51" s="146" t="s">
        <v>1398</v>
      </c>
      <c r="B51" s="179" t="s">
        <v>1180</v>
      </c>
      <c r="C51" s="148"/>
      <c r="D51" s="148"/>
      <c r="E51" s="148"/>
      <c r="F51" s="148"/>
      <c r="G51" s="148"/>
      <c r="H51" s="148"/>
      <c r="I51" s="148"/>
      <c r="J51" s="148"/>
      <c r="K51" s="188"/>
    </row>
    <row r="52" spans="1:11" x14ac:dyDescent="0.25">
      <c r="A52" s="611" t="s">
        <v>1196</v>
      </c>
      <c r="B52" s="612" t="s">
        <v>1067</v>
      </c>
      <c r="C52" s="613" t="s">
        <v>1197</v>
      </c>
      <c r="D52" s="614"/>
      <c r="E52" s="614"/>
      <c r="F52" s="615"/>
      <c r="G52" s="619" t="s">
        <v>14</v>
      </c>
      <c r="H52" s="610" t="s">
        <v>1068</v>
      </c>
      <c r="I52" s="608" t="s">
        <v>35</v>
      </c>
      <c r="J52" s="610" t="s">
        <v>1249</v>
      </c>
      <c r="K52" s="610" t="s">
        <v>16</v>
      </c>
    </row>
    <row r="53" spans="1:11" x14ac:dyDescent="0.25">
      <c r="A53" s="611"/>
      <c r="B53" s="612"/>
      <c r="C53" s="616"/>
      <c r="D53" s="617"/>
      <c r="E53" s="617"/>
      <c r="F53" s="618"/>
      <c r="G53" s="620"/>
      <c r="H53" s="610"/>
      <c r="I53" s="609"/>
      <c r="J53" s="610"/>
      <c r="K53" s="610"/>
    </row>
    <row r="54" spans="1:11" x14ac:dyDescent="0.25">
      <c r="A54" s="124" t="s">
        <v>1235</v>
      </c>
      <c r="B54" s="6" t="s">
        <v>1181</v>
      </c>
      <c r="C54" s="605"/>
      <c r="D54" s="606"/>
      <c r="E54" s="606"/>
      <c r="F54" s="607"/>
      <c r="G54" s="143">
        <v>2</v>
      </c>
      <c r="H54" s="140" t="s">
        <v>1140</v>
      </c>
      <c r="I54" s="150">
        <f>G54/SUM($G$54:$G$56)</f>
        <v>0.4</v>
      </c>
      <c r="J54" s="167">
        <f>Insumos!D81</f>
        <v>0</v>
      </c>
      <c r="K54" s="167">
        <f>TRUNC(G54*I54*J54,2)</f>
        <v>0</v>
      </c>
    </row>
    <row r="55" spans="1:11" x14ac:dyDescent="0.25">
      <c r="A55" s="124" t="s">
        <v>1236</v>
      </c>
      <c r="B55" s="6" t="s">
        <v>1182</v>
      </c>
      <c r="C55" s="605"/>
      <c r="D55" s="606"/>
      <c r="E55" s="606"/>
      <c r="F55" s="607"/>
      <c r="G55" s="143">
        <v>1</v>
      </c>
      <c r="H55" s="140" t="s">
        <v>1140</v>
      </c>
      <c r="I55" s="150">
        <f t="shared" ref="I55:I56" si="11">G55/SUM($G$54:$G$56)</f>
        <v>0.2</v>
      </c>
      <c r="J55" s="167">
        <f>Insumos!D82</f>
        <v>0</v>
      </c>
      <c r="K55" s="167">
        <f>TRUNC(G55*I55*J55,2)</f>
        <v>0</v>
      </c>
    </row>
    <row r="56" spans="1:11" x14ac:dyDescent="0.25">
      <c r="A56" s="124" t="s">
        <v>1237</v>
      </c>
      <c r="B56" s="6" t="s">
        <v>1183</v>
      </c>
      <c r="C56" s="605"/>
      <c r="D56" s="606"/>
      <c r="E56" s="606"/>
      <c r="F56" s="607"/>
      <c r="G56" s="143">
        <v>2</v>
      </c>
      <c r="H56" s="140" t="s">
        <v>1140</v>
      </c>
      <c r="I56" s="150">
        <f t="shared" si="11"/>
        <v>0.4</v>
      </c>
      <c r="J56" s="167">
        <f>Insumos!D83</f>
        <v>0</v>
      </c>
      <c r="K56" s="167">
        <f>TRUNC(G56*I56*J56,2)</f>
        <v>0</v>
      </c>
    </row>
    <row r="57" spans="1:11" x14ac:dyDescent="0.25">
      <c r="A57" s="152"/>
      <c r="B57" s="159"/>
      <c r="C57" s="159"/>
      <c r="D57" s="159"/>
      <c r="E57" s="159"/>
      <c r="F57" s="159"/>
      <c r="G57" s="159"/>
      <c r="H57" s="159"/>
      <c r="I57" s="159"/>
      <c r="J57" s="170" t="s">
        <v>1064</v>
      </c>
      <c r="K57" s="175">
        <f>SUM(K54:K56)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8:J19"/>
    <mergeCell ref="K18:K19"/>
    <mergeCell ref="A28:A29"/>
    <mergeCell ref="B28:B29"/>
    <mergeCell ref="C28:F29"/>
    <mergeCell ref="G28:G29"/>
    <mergeCell ref="H28:H29"/>
    <mergeCell ref="I28:I29"/>
    <mergeCell ref="J28:J29"/>
    <mergeCell ref="K28:K29"/>
    <mergeCell ref="A18:A19"/>
    <mergeCell ref="B18:B19"/>
    <mergeCell ref="C18:F18"/>
    <mergeCell ref="G18:G19"/>
    <mergeCell ref="H18:H19"/>
    <mergeCell ref="I18:I19"/>
    <mergeCell ref="J42:J43"/>
    <mergeCell ref="K42:K43"/>
    <mergeCell ref="C44:F44"/>
    <mergeCell ref="A47:A48"/>
    <mergeCell ref="B47:B48"/>
    <mergeCell ref="C47:F48"/>
    <mergeCell ref="G47:G48"/>
    <mergeCell ref="H47:H48"/>
    <mergeCell ref="I47:I48"/>
    <mergeCell ref="J47:J48"/>
    <mergeCell ref="A42:A43"/>
    <mergeCell ref="B42:B43"/>
    <mergeCell ref="C42:F43"/>
    <mergeCell ref="G42:G43"/>
    <mergeCell ref="H42:H43"/>
    <mergeCell ref="I42:I43"/>
    <mergeCell ref="A52:A53"/>
    <mergeCell ref="B52:B53"/>
    <mergeCell ref="C52:F53"/>
    <mergeCell ref="G52:G53"/>
    <mergeCell ref="H52:H53"/>
    <mergeCell ref="C54:F54"/>
    <mergeCell ref="C55:F55"/>
    <mergeCell ref="C56:F56"/>
    <mergeCell ref="K47:K48"/>
    <mergeCell ref="C49:F49"/>
    <mergeCell ref="I52:I53"/>
    <mergeCell ref="J52:J53"/>
    <mergeCell ref="K52:K53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view="pageBreakPreview" topLeftCell="A33" zoomScale="80" zoomScaleNormal="85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54" customWidth="1"/>
    <col min="3" max="4" width="8.42578125" customWidth="1"/>
    <col min="5" max="5" width="7.7109375" customWidth="1"/>
    <col min="6" max="7" width="10.85546875" customWidth="1"/>
    <col min="8" max="8" width="9.7109375" customWidth="1"/>
    <col min="9" max="9" width="9.42578125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11</v>
      </c>
      <c r="B2" s="184" t="s">
        <v>1265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1399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1109</v>
      </c>
      <c r="C6" s="243">
        <v>7.3</v>
      </c>
      <c r="D6" s="243">
        <v>29.5</v>
      </c>
      <c r="E6" s="243"/>
      <c r="F6" s="243">
        <f>C6*D6</f>
        <v>215.35</v>
      </c>
      <c r="G6" s="243">
        <f>F6</f>
        <v>215.35</v>
      </c>
      <c r="H6" s="244" t="s">
        <v>1076</v>
      </c>
      <c r="I6" s="253">
        <v>0.5</v>
      </c>
      <c r="J6" s="254">
        <f>Insumos!D19</f>
        <v>0</v>
      </c>
      <c r="K6" s="254">
        <f t="shared" ref="K6:K10" si="0">TRUNC(G6*I6*J6,2)</f>
        <v>0</v>
      </c>
    </row>
    <row r="7" spans="1:11" s="247" customFormat="1" x14ac:dyDescent="0.25">
      <c r="A7" s="34" t="s">
        <v>1203</v>
      </c>
      <c r="B7" s="251" t="s">
        <v>1251</v>
      </c>
      <c r="C7" s="243">
        <v>7.3</v>
      </c>
      <c r="D7" s="243">
        <v>29.5</v>
      </c>
      <c r="E7" s="243"/>
      <c r="F7" s="243">
        <f>C7*D7</f>
        <v>215.35</v>
      </c>
      <c r="G7" s="243">
        <f>F7</f>
        <v>215.35</v>
      </c>
      <c r="H7" s="244" t="s">
        <v>1076</v>
      </c>
      <c r="I7" s="253">
        <v>0.5</v>
      </c>
      <c r="J7" s="254">
        <f>Insumos!D6</f>
        <v>0</v>
      </c>
      <c r="K7" s="254">
        <f t="shared" si="0"/>
        <v>0</v>
      </c>
    </row>
    <row r="8" spans="1:11" s="247" customFormat="1" x14ac:dyDescent="0.25">
      <c r="A8" s="34" t="s">
        <v>1204</v>
      </c>
      <c r="B8" s="251" t="s">
        <v>1085</v>
      </c>
      <c r="C8" s="242">
        <v>7.3</v>
      </c>
      <c r="D8" s="242">
        <v>29.5</v>
      </c>
      <c r="E8" s="242"/>
      <c r="F8" s="243">
        <f>C8*D8</f>
        <v>215.35</v>
      </c>
      <c r="G8" s="243">
        <f>F8</f>
        <v>215.35</v>
      </c>
      <c r="H8" s="244" t="s">
        <v>1076</v>
      </c>
      <c r="I8" s="253">
        <v>0.5</v>
      </c>
      <c r="J8" s="254">
        <f>Insumos!D7</f>
        <v>0</v>
      </c>
      <c r="K8" s="254">
        <f t="shared" si="0"/>
        <v>0</v>
      </c>
    </row>
    <row r="9" spans="1:11" s="247" customFormat="1" x14ac:dyDescent="0.25">
      <c r="A9" s="34" t="s">
        <v>1205</v>
      </c>
      <c r="B9" s="255" t="s">
        <v>1122</v>
      </c>
      <c r="C9" s="243">
        <v>2</v>
      </c>
      <c r="D9" s="243">
        <v>2</v>
      </c>
      <c r="E9" s="243">
        <v>23</v>
      </c>
      <c r="F9" s="243">
        <f>E9*D9*C9</f>
        <v>92</v>
      </c>
      <c r="G9" s="243">
        <f>F9</f>
        <v>92</v>
      </c>
      <c r="H9" s="244" t="s">
        <v>1076</v>
      </c>
      <c r="I9" s="253">
        <v>0.5</v>
      </c>
      <c r="J9" s="254">
        <f>Insumos!D24</f>
        <v>0</v>
      </c>
      <c r="K9" s="254">
        <f t="shared" si="0"/>
        <v>0</v>
      </c>
    </row>
    <row r="10" spans="1:11" s="247" customFormat="1" ht="30" x14ac:dyDescent="0.25">
      <c r="A10" s="34" t="s">
        <v>1206</v>
      </c>
      <c r="B10" s="255" t="s">
        <v>1126</v>
      </c>
      <c r="C10" s="243">
        <v>7.3</v>
      </c>
      <c r="D10" s="243">
        <v>29.5</v>
      </c>
      <c r="E10" s="243"/>
      <c r="F10" s="243">
        <f>D10*C10</f>
        <v>215.35</v>
      </c>
      <c r="G10" s="243">
        <f>F6</f>
        <v>215.35</v>
      </c>
      <c r="H10" s="244" t="s">
        <v>1076</v>
      </c>
      <c r="I10" s="253">
        <v>0.5</v>
      </c>
      <c r="J10" s="254">
        <f>Insumos!D27</f>
        <v>0</v>
      </c>
      <c r="K10" s="254">
        <f t="shared" si="0"/>
        <v>0</v>
      </c>
    </row>
    <row r="11" spans="1:11" s="247" customFormat="1" x14ac:dyDescent="0.25">
      <c r="A11" s="394"/>
      <c r="B11" s="386"/>
      <c r="C11" s="382"/>
      <c r="D11" s="382"/>
      <c r="E11" s="382"/>
      <c r="F11" s="382"/>
      <c r="G11" s="382"/>
      <c r="H11" s="382"/>
      <c r="I11" s="382"/>
      <c r="J11" s="399" t="s">
        <v>1064</v>
      </c>
      <c r="K11" s="407">
        <f>SUM(K6:K10)</f>
        <v>0</v>
      </c>
    </row>
    <row r="12" spans="1:11" x14ac:dyDescent="0.25">
      <c r="A12" s="146" t="s">
        <v>1400</v>
      </c>
      <c r="B12" s="179" t="s">
        <v>1219</v>
      </c>
      <c r="C12" s="388"/>
      <c r="D12" s="388"/>
      <c r="E12" s="388"/>
      <c r="F12" s="388"/>
      <c r="G12" s="148"/>
      <c r="H12" s="148"/>
      <c r="I12" s="148"/>
      <c r="J12" s="148"/>
      <c r="K12" s="188"/>
    </row>
    <row r="13" spans="1:11" x14ac:dyDescent="0.25">
      <c r="A13" s="611" t="s">
        <v>1196</v>
      </c>
      <c r="B13" s="612" t="s">
        <v>1067</v>
      </c>
      <c r="C13" s="643" t="s">
        <v>1197</v>
      </c>
      <c r="D13" s="643"/>
      <c r="E13" s="643"/>
      <c r="F13" s="643"/>
      <c r="G13" s="619" t="s">
        <v>14</v>
      </c>
      <c r="H13" s="610" t="s">
        <v>1068</v>
      </c>
      <c r="I13" s="608" t="s">
        <v>35</v>
      </c>
      <c r="J13" s="610" t="s">
        <v>1069</v>
      </c>
      <c r="K13" s="610" t="s">
        <v>16</v>
      </c>
    </row>
    <row r="14" spans="1:11" x14ac:dyDescent="0.25">
      <c r="A14" s="611"/>
      <c r="B14" s="612"/>
      <c r="C14" s="384"/>
      <c r="D14" s="384"/>
      <c r="E14" s="384"/>
      <c r="F14" s="384"/>
      <c r="G14" s="620"/>
      <c r="H14" s="610"/>
      <c r="I14" s="609"/>
      <c r="J14" s="610"/>
      <c r="K14" s="610"/>
    </row>
    <row r="15" spans="1:11" x14ac:dyDescent="0.25">
      <c r="A15" s="124" t="s">
        <v>1207</v>
      </c>
      <c r="B15" s="6" t="s">
        <v>1147</v>
      </c>
      <c r="C15" s="243"/>
      <c r="D15" s="243"/>
      <c r="E15" s="243"/>
      <c r="F15" s="243"/>
      <c r="G15" s="143">
        <v>4</v>
      </c>
      <c r="H15" s="140" t="s">
        <v>1140</v>
      </c>
      <c r="I15" s="150">
        <f>G15/SUM($G$15:$G$20)</f>
        <v>3.7735849056603772E-2</v>
      </c>
      <c r="J15" s="167">
        <f>Insumos!D49</f>
        <v>0</v>
      </c>
      <c r="K15" s="167">
        <f t="shared" ref="K15:K20" si="1">TRUNC(G15*I15*J15,2)</f>
        <v>0</v>
      </c>
    </row>
    <row r="16" spans="1:11" x14ac:dyDescent="0.25">
      <c r="A16" s="124" t="s">
        <v>1208</v>
      </c>
      <c r="B16" s="6" t="s">
        <v>1148</v>
      </c>
      <c r="C16" s="243"/>
      <c r="D16" s="243"/>
      <c r="E16" s="243"/>
      <c r="F16" s="243"/>
      <c r="G16" s="143">
        <v>4</v>
      </c>
      <c r="H16" s="140" t="s">
        <v>1140</v>
      </c>
      <c r="I16" s="150">
        <f t="shared" ref="I16:I20" si="2">G16/SUM($G$15:$G$20)</f>
        <v>3.7735849056603772E-2</v>
      </c>
      <c r="J16" s="167">
        <f>Insumos!D50</f>
        <v>0</v>
      </c>
      <c r="K16" s="167">
        <f t="shared" si="1"/>
        <v>0</v>
      </c>
    </row>
    <row r="17" spans="1:11" x14ac:dyDescent="0.25">
      <c r="A17" s="124" t="s">
        <v>1209</v>
      </c>
      <c r="B17" s="6" t="s">
        <v>1149</v>
      </c>
      <c r="C17" s="243"/>
      <c r="D17" s="243"/>
      <c r="E17" s="243"/>
      <c r="F17" s="243"/>
      <c r="G17" s="143">
        <v>4</v>
      </c>
      <c r="H17" s="140" t="s">
        <v>1140</v>
      </c>
      <c r="I17" s="150">
        <f t="shared" si="2"/>
        <v>3.7735849056603772E-2</v>
      </c>
      <c r="J17" s="167">
        <f>Insumos!D51</f>
        <v>0</v>
      </c>
      <c r="K17" s="167">
        <f t="shared" si="1"/>
        <v>0</v>
      </c>
    </row>
    <row r="18" spans="1:11" x14ac:dyDescent="0.25">
      <c r="A18" s="124" t="s">
        <v>1210</v>
      </c>
      <c r="B18" s="6" t="s">
        <v>1150</v>
      </c>
      <c r="C18" s="243"/>
      <c r="D18" s="243"/>
      <c r="E18" s="243"/>
      <c r="F18" s="243"/>
      <c r="G18" s="143">
        <v>40</v>
      </c>
      <c r="H18" s="140" t="s">
        <v>1151</v>
      </c>
      <c r="I18" s="150">
        <f t="shared" si="2"/>
        <v>0.37735849056603776</v>
      </c>
      <c r="J18" s="167">
        <f>Insumos!D52</f>
        <v>0</v>
      </c>
      <c r="K18" s="167">
        <f t="shared" si="1"/>
        <v>0</v>
      </c>
    </row>
    <row r="19" spans="1:11" x14ac:dyDescent="0.25">
      <c r="A19" s="124" t="s">
        <v>1211</v>
      </c>
      <c r="B19" s="6" t="s">
        <v>1152</v>
      </c>
      <c r="C19" s="243"/>
      <c r="D19" s="243"/>
      <c r="E19" s="243"/>
      <c r="F19" s="243"/>
      <c r="G19" s="143">
        <v>4</v>
      </c>
      <c r="H19" s="140" t="s">
        <v>1124</v>
      </c>
      <c r="I19" s="150">
        <f t="shared" si="2"/>
        <v>3.7735849056603772E-2</v>
      </c>
      <c r="J19" s="167">
        <f>Insumos!D53</f>
        <v>0</v>
      </c>
      <c r="K19" s="167">
        <f t="shared" si="1"/>
        <v>0</v>
      </c>
    </row>
    <row r="20" spans="1:11" x14ac:dyDescent="0.25">
      <c r="A20" s="124" t="s">
        <v>1212</v>
      </c>
      <c r="B20" s="6" t="s">
        <v>1248</v>
      </c>
      <c r="C20" s="243"/>
      <c r="D20" s="243"/>
      <c r="E20" s="243"/>
      <c r="F20" s="243"/>
      <c r="G20" s="143">
        <v>50</v>
      </c>
      <c r="H20" s="140" t="s">
        <v>1154</v>
      </c>
      <c r="I20" s="150">
        <f t="shared" si="2"/>
        <v>0.47169811320754718</v>
      </c>
      <c r="J20" s="167">
        <f>Insumos!D54</f>
        <v>0</v>
      </c>
      <c r="K20" s="167">
        <f t="shared" si="1"/>
        <v>0</v>
      </c>
    </row>
    <row r="21" spans="1:11" x14ac:dyDescent="0.25">
      <c r="A21" s="152"/>
      <c r="B21" s="159"/>
      <c r="C21" s="382"/>
      <c r="D21" s="382"/>
      <c r="E21" s="382"/>
      <c r="F21" s="382"/>
      <c r="G21" s="154"/>
      <c r="H21" s="157"/>
      <c r="I21" s="157"/>
      <c r="J21" s="192" t="s">
        <v>1064</v>
      </c>
      <c r="K21" s="193">
        <f>SUM(K15:K20)</f>
        <v>0</v>
      </c>
    </row>
    <row r="22" spans="1:11" x14ac:dyDescent="0.25">
      <c r="A22" s="146" t="s">
        <v>1401</v>
      </c>
      <c r="B22" s="179" t="s">
        <v>1155</v>
      </c>
      <c r="C22" s="383"/>
      <c r="D22" s="383"/>
      <c r="E22" s="383"/>
      <c r="F22" s="383"/>
      <c r="G22" s="148"/>
      <c r="H22" s="148"/>
      <c r="I22" s="148"/>
      <c r="J22" s="148"/>
      <c r="K22" s="188"/>
    </row>
    <row r="23" spans="1:11" x14ac:dyDescent="0.25">
      <c r="A23" s="611" t="s">
        <v>1196</v>
      </c>
      <c r="B23" s="612" t="s">
        <v>1067</v>
      </c>
      <c r="C23" s="637" t="s">
        <v>1197</v>
      </c>
      <c r="D23" s="638"/>
      <c r="E23" s="638"/>
      <c r="F23" s="639"/>
      <c r="G23" s="619" t="s">
        <v>14</v>
      </c>
      <c r="H23" s="610" t="s">
        <v>1068</v>
      </c>
      <c r="I23" s="608" t="s">
        <v>35</v>
      </c>
      <c r="J23" s="610" t="s">
        <v>1249</v>
      </c>
      <c r="K23" s="610" t="s">
        <v>16</v>
      </c>
    </row>
    <row r="24" spans="1:11" x14ac:dyDescent="0.25">
      <c r="A24" s="611"/>
      <c r="B24" s="612"/>
      <c r="C24" s="640"/>
      <c r="D24" s="641"/>
      <c r="E24" s="641"/>
      <c r="F24" s="642"/>
      <c r="G24" s="620"/>
      <c r="H24" s="610"/>
      <c r="I24" s="609"/>
      <c r="J24" s="610"/>
      <c r="K24" s="610"/>
    </row>
    <row r="25" spans="1:11" x14ac:dyDescent="0.25">
      <c r="A25" s="124" t="s">
        <v>1213</v>
      </c>
      <c r="B25" s="104" t="s">
        <v>1156</v>
      </c>
      <c r="C25" s="143"/>
      <c r="D25" s="143"/>
      <c r="E25" s="143"/>
      <c r="F25" s="143"/>
      <c r="G25" s="143">
        <f>G10/30</f>
        <v>7.1783333333333328</v>
      </c>
      <c r="H25" s="140" t="s">
        <v>1228</v>
      </c>
      <c r="I25" s="150">
        <f>G25/SUM($G$25:$G$36)</f>
        <v>1.4238509189188474E-2</v>
      </c>
      <c r="J25" s="167">
        <f>Insumos!D58</f>
        <v>0</v>
      </c>
      <c r="K25" s="167">
        <f t="shared" ref="K25:K36" si="3">TRUNC(G25*I25*J25,2)</f>
        <v>0</v>
      </c>
    </row>
    <row r="26" spans="1:11" x14ac:dyDescent="0.25">
      <c r="A26" s="124" t="s">
        <v>1214</v>
      </c>
      <c r="B26" s="6" t="s">
        <v>1171</v>
      </c>
      <c r="C26" s="143"/>
      <c r="D26" s="143"/>
      <c r="E26" s="143"/>
      <c r="F26" s="143"/>
      <c r="G26" s="143">
        <f>G7</f>
        <v>215.35</v>
      </c>
      <c r="H26" s="140" t="s">
        <v>1089</v>
      </c>
      <c r="I26" s="150">
        <f t="shared" ref="I26:I36" si="4">G26/SUM($G$25:$G$36)</f>
        <v>0.42715527567565426</v>
      </c>
      <c r="J26" s="167">
        <f>Insumos!D69</f>
        <v>0</v>
      </c>
      <c r="K26" s="167">
        <f t="shared" si="3"/>
        <v>0</v>
      </c>
    </row>
    <row r="27" spans="1:11" x14ac:dyDescent="0.25">
      <c r="A27" s="124" t="s">
        <v>1215</v>
      </c>
      <c r="B27" s="6" t="s">
        <v>1157</v>
      </c>
      <c r="C27" s="143"/>
      <c r="D27" s="143"/>
      <c r="E27" s="143"/>
      <c r="F27" s="143"/>
      <c r="G27" s="143">
        <f>F8</f>
        <v>215.35</v>
      </c>
      <c r="H27" s="140" t="s">
        <v>1089</v>
      </c>
      <c r="I27" s="150">
        <f t="shared" si="4"/>
        <v>0.42715527567565426</v>
      </c>
      <c r="J27" s="167">
        <f>Insumos!D59</f>
        <v>0</v>
      </c>
      <c r="K27" s="167">
        <f t="shared" si="3"/>
        <v>0</v>
      </c>
    </row>
    <row r="28" spans="1:11" x14ac:dyDescent="0.25">
      <c r="A28" s="124" t="s">
        <v>1216</v>
      </c>
      <c r="B28" s="104" t="s">
        <v>1158</v>
      </c>
      <c r="C28" s="143"/>
      <c r="D28" s="143"/>
      <c r="E28" s="143"/>
      <c r="F28" s="143"/>
      <c r="G28" s="143">
        <f>F7*0.2/3.6/2</f>
        <v>5.9819444444444443</v>
      </c>
      <c r="H28" s="140" t="s">
        <v>1159</v>
      </c>
      <c r="I28" s="150">
        <f t="shared" si="4"/>
        <v>1.1865424324323729E-2</v>
      </c>
      <c r="J28" s="167">
        <f>Insumos!D60</f>
        <v>0</v>
      </c>
      <c r="K28" s="167">
        <f t="shared" si="3"/>
        <v>0</v>
      </c>
    </row>
    <row r="29" spans="1:11" x14ac:dyDescent="0.25">
      <c r="A29" s="124" t="s">
        <v>1217</v>
      </c>
      <c r="B29" s="104" t="s">
        <v>1160</v>
      </c>
      <c r="C29" s="143"/>
      <c r="D29" s="143"/>
      <c r="E29" s="143"/>
      <c r="F29" s="143"/>
      <c r="G29" s="143">
        <f>G28</f>
        <v>5.9819444444444443</v>
      </c>
      <c r="H29" s="140" t="s">
        <v>1159</v>
      </c>
      <c r="I29" s="150">
        <f t="shared" si="4"/>
        <v>1.1865424324323729E-2</v>
      </c>
      <c r="J29" s="167">
        <f>Insumos!D61</f>
        <v>0</v>
      </c>
      <c r="K29" s="167">
        <f t="shared" si="3"/>
        <v>0</v>
      </c>
    </row>
    <row r="30" spans="1:11" x14ac:dyDescent="0.25">
      <c r="A30" s="124" t="s">
        <v>1220</v>
      </c>
      <c r="B30" s="104" t="s">
        <v>1161</v>
      </c>
      <c r="C30" s="143"/>
      <c r="D30" s="143"/>
      <c r="E30" s="143"/>
      <c r="F30" s="143"/>
      <c r="G30" s="143">
        <f>G27*0.02</f>
        <v>4.3070000000000004</v>
      </c>
      <c r="H30" s="140" t="s">
        <v>1162</v>
      </c>
      <c r="I30" s="150">
        <f t="shared" si="4"/>
        <v>8.5431055135130867E-3</v>
      </c>
      <c r="J30" s="167">
        <f>Insumos!D62</f>
        <v>0</v>
      </c>
      <c r="K30" s="167">
        <f t="shared" si="3"/>
        <v>0</v>
      </c>
    </row>
    <row r="31" spans="1:11" x14ac:dyDescent="0.25">
      <c r="A31" s="124" t="s">
        <v>1222</v>
      </c>
      <c r="B31" s="104" t="s">
        <v>1163</v>
      </c>
      <c r="C31" s="143"/>
      <c r="D31" s="143"/>
      <c r="E31" s="143"/>
      <c r="F31" s="143"/>
      <c r="G31" s="143">
        <v>10</v>
      </c>
      <c r="H31" s="140" t="s">
        <v>1068</v>
      </c>
      <c r="I31" s="150">
        <f t="shared" si="4"/>
        <v>1.9835397059468504E-2</v>
      </c>
      <c r="J31" s="167">
        <f>Insumos!D63</f>
        <v>0</v>
      </c>
      <c r="K31" s="167">
        <f t="shared" si="3"/>
        <v>0</v>
      </c>
    </row>
    <row r="32" spans="1:11" x14ac:dyDescent="0.25">
      <c r="A32" s="124" t="s">
        <v>1223</v>
      </c>
      <c r="B32" s="104" t="s">
        <v>1164</v>
      </c>
      <c r="C32" s="143"/>
      <c r="D32" s="143"/>
      <c r="E32" s="143"/>
      <c r="F32" s="143"/>
      <c r="G32" s="143">
        <v>10</v>
      </c>
      <c r="H32" s="140" t="s">
        <v>1068</v>
      </c>
      <c r="I32" s="150">
        <f t="shared" si="4"/>
        <v>1.9835397059468504E-2</v>
      </c>
      <c r="J32" s="167">
        <f>Insumos!D64</f>
        <v>0</v>
      </c>
      <c r="K32" s="167">
        <f t="shared" si="3"/>
        <v>0</v>
      </c>
    </row>
    <row r="33" spans="1:11" x14ac:dyDescent="0.25">
      <c r="A33" s="124" t="s">
        <v>1224</v>
      </c>
      <c r="B33" s="104" t="s">
        <v>1165</v>
      </c>
      <c r="C33" s="143"/>
      <c r="D33" s="143"/>
      <c r="E33" s="143"/>
      <c r="F33" s="143"/>
      <c r="G33" s="143">
        <v>10</v>
      </c>
      <c r="H33" s="140" t="s">
        <v>1068</v>
      </c>
      <c r="I33" s="150">
        <f t="shared" si="4"/>
        <v>1.9835397059468504E-2</v>
      </c>
      <c r="J33" s="167">
        <f>Insumos!D65</f>
        <v>0</v>
      </c>
      <c r="K33" s="167">
        <f t="shared" si="3"/>
        <v>0</v>
      </c>
    </row>
    <row r="34" spans="1:11" x14ac:dyDescent="0.25">
      <c r="A34" s="124" t="s">
        <v>1225</v>
      </c>
      <c r="B34" s="104" t="s">
        <v>1166</v>
      </c>
      <c r="C34" s="143"/>
      <c r="D34" s="143"/>
      <c r="E34" s="143"/>
      <c r="F34" s="143"/>
      <c r="G34" s="143">
        <v>5</v>
      </c>
      <c r="H34" s="140" t="s">
        <v>1096</v>
      </c>
      <c r="I34" s="150">
        <f t="shared" si="4"/>
        <v>9.9176985297342521E-3</v>
      </c>
      <c r="J34" s="167">
        <f>Insumos!D66</f>
        <v>0</v>
      </c>
      <c r="K34" s="167">
        <f t="shared" si="3"/>
        <v>0</v>
      </c>
    </row>
    <row r="35" spans="1:11" x14ac:dyDescent="0.25">
      <c r="A35" s="124" t="s">
        <v>1226</v>
      </c>
      <c r="B35" s="104" t="s">
        <v>1167</v>
      </c>
      <c r="C35" s="143"/>
      <c r="D35" s="143"/>
      <c r="E35" s="143"/>
      <c r="F35" s="143"/>
      <c r="G35" s="143">
        <v>5</v>
      </c>
      <c r="H35" s="140" t="s">
        <v>1168</v>
      </c>
      <c r="I35" s="150">
        <f t="shared" si="4"/>
        <v>9.9176985297342521E-3</v>
      </c>
      <c r="J35" s="167">
        <f>Insumos!D67</f>
        <v>0</v>
      </c>
      <c r="K35" s="167">
        <f t="shared" si="3"/>
        <v>0</v>
      </c>
    </row>
    <row r="36" spans="1:11" x14ac:dyDescent="0.25">
      <c r="A36" s="124" t="s">
        <v>1227</v>
      </c>
      <c r="B36" s="104" t="s">
        <v>1169</v>
      </c>
      <c r="C36" s="143"/>
      <c r="D36" s="143"/>
      <c r="E36" s="143"/>
      <c r="F36" s="143"/>
      <c r="G36" s="143">
        <v>10</v>
      </c>
      <c r="H36" s="140" t="s">
        <v>1170</v>
      </c>
      <c r="I36" s="150">
        <f t="shared" si="4"/>
        <v>1.9835397059468504E-2</v>
      </c>
      <c r="J36" s="167">
        <f>Insumos!D68</f>
        <v>0</v>
      </c>
      <c r="K36" s="167">
        <f t="shared" si="3"/>
        <v>0</v>
      </c>
    </row>
    <row r="37" spans="1:11" x14ac:dyDescent="0.25">
      <c r="A37" s="124"/>
      <c r="B37" s="159"/>
      <c r="C37" s="159"/>
      <c r="D37" s="159"/>
      <c r="E37" s="159"/>
      <c r="F37" s="159"/>
      <c r="G37" s="159"/>
      <c r="H37" s="159"/>
      <c r="I37" s="159"/>
      <c r="J37" s="170" t="s">
        <v>1064</v>
      </c>
      <c r="K37" s="175">
        <f>SUM(K25:K36)</f>
        <v>0</v>
      </c>
    </row>
    <row r="38" spans="1:11" x14ac:dyDescent="0.25">
      <c r="A38" s="146" t="s">
        <v>1402</v>
      </c>
      <c r="B38" s="179" t="s">
        <v>1176</v>
      </c>
      <c r="C38" s="148"/>
      <c r="D38" s="148"/>
      <c r="E38" s="148"/>
      <c r="F38" s="148"/>
      <c r="G38" s="148"/>
      <c r="H38" s="148"/>
      <c r="I38" s="148"/>
      <c r="J38" s="148"/>
      <c r="K38" s="188"/>
    </row>
    <row r="39" spans="1:11" x14ac:dyDescent="0.25">
      <c r="A39" s="611" t="s">
        <v>1196</v>
      </c>
      <c r="B39" s="612" t="s">
        <v>1067</v>
      </c>
      <c r="C39" s="613" t="s">
        <v>1197</v>
      </c>
      <c r="D39" s="614"/>
      <c r="E39" s="614"/>
      <c r="F39" s="615"/>
      <c r="G39" s="619" t="s">
        <v>14</v>
      </c>
      <c r="H39" s="610" t="s">
        <v>1068</v>
      </c>
      <c r="I39" s="608" t="s">
        <v>35</v>
      </c>
      <c r="J39" s="610" t="s">
        <v>1249</v>
      </c>
      <c r="K39" s="610" t="s">
        <v>16</v>
      </c>
    </row>
    <row r="40" spans="1:11" x14ac:dyDescent="0.25">
      <c r="A40" s="611"/>
      <c r="B40" s="612"/>
      <c r="C40" s="616"/>
      <c r="D40" s="617"/>
      <c r="E40" s="617"/>
      <c r="F40" s="618"/>
      <c r="G40" s="620"/>
      <c r="H40" s="610"/>
      <c r="I40" s="609"/>
      <c r="J40" s="610"/>
      <c r="K40" s="610"/>
    </row>
    <row r="41" spans="1:11" x14ac:dyDescent="0.25">
      <c r="A41" s="124" t="s">
        <v>1229</v>
      </c>
      <c r="B41" s="6" t="s">
        <v>1242</v>
      </c>
      <c r="C41" s="605"/>
      <c r="D41" s="606"/>
      <c r="E41" s="606"/>
      <c r="F41" s="607"/>
      <c r="G41" s="143">
        <v>4</v>
      </c>
      <c r="H41" s="140" t="s">
        <v>1140</v>
      </c>
      <c r="I41" s="150">
        <v>2</v>
      </c>
      <c r="J41" s="167">
        <f>Insumos!D75</f>
        <v>0</v>
      </c>
      <c r="K41" s="167">
        <f>TRUNC(G41*I41*J41,2)</f>
        <v>0</v>
      </c>
    </row>
    <row r="42" spans="1:11" x14ac:dyDescent="0.25">
      <c r="A42" s="152"/>
      <c r="B42" s="159"/>
      <c r="C42" s="159"/>
      <c r="D42" s="159"/>
      <c r="E42" s="159"/>
      <c r="F42" s="159"/>
      <c r="G42" s="159"/>
      <c r="H42" s="159"/>
      <c r="I42" s="159"/>
      <c r="J42" s="170" t="s">
        <v>1064</v>
      </c>
      <c r="K42" s="175">
        <f>SUM(K41)</f>
        <v>0</v>
      </c>
    </row>
    <row r="43" spans="1:11" x14ac:dyDescent="0.25">
      <c r="A43" s="146" t="s">
        <v>1403</v>
      </c>
      <c r="B43" s="179" t="s">
        <v>1178</v>
      </c>
      <c r="C43" s="148"/>
      <c r="D43" s="148"/>
      <c r="E43" s="148"/>
      <c r="F43" s="148"/>
      <c r="G43" s="148"/>
      <c r="H43" s="148"/>
      <c r="I43" s="148"/>
      <c r="J43" s="148"/>
      <c r="K43" s="188"/>
    </row>
    <row r="44" spans="1:11" x14ac:dyDescent="0.25">
      <c r="A44" s="611" t="s">
        <v>1196</v>
      </c>
      <c r="B44" s="612" t="s">
        <v>1067</v>
      </c>
      <c r="C44" s="613" t="s">
        <v>1197</v>
      </c>
      <c r="D44" s="614"/>
      <c r="E44" s="614"/>
      <c r="F44" s="615"/>
      <c r="G44" s="619" t="s">
        <v>14</v>
      </c>
      <c r="H44" s="610" t="s">
        <v>1068</v>
      </c>
      <c r="I44" s="608" t="s">
        <v>35</v>
      </c>
      <c r="J44" s="610" t="s">
        <v>1249</v>
      </c>
      <c r="K44" s="610" t="s">
        <v>16</v>
      </c>
    </row>
    <row r="45" spans="1:11" x14ac:dyDescent="0.25">
      <c r="A45" s="611"/>
      <c r="B45" s="612"/>
      <c r="C45" s="616"/>
      <c r="D45" s="617"/>
      <c r="E45" s="617"/>
      <c r="F45" s="618"/>
      <c r="G45" s="620"/>
      <c r="H45" s="610"/>
      <c r="I45" s="609"/>
      <c r="J45" s="610"/>
      <c r="K45" s="610"/>
    </row>
    <row r="46" spans="1:11" x14ac:dyDescent="0.25">
      <c r="A46" s="124" t="s">
        <v>1231</v>
      </c>
      <c r="B46" s="6" t="s">
        <v>42</v>
      </c>
      <c r="C46" s="605"/>
      <c r="D46" s="606"/>
      <c r="E46" s="606"/>
      <c r="F46" s="607"/>
      <c r="G46" s="143">
        <v>4</v>
      </c>
      <c r="H46" s="140" t="s">
        <v>1140</v>
      </c>
      <c r="I46" s="150">
        <v>2</v>
      </c>
      <c r="J46" s="167">
        <f>Insumos!D78</f>
        <v>0</v>
      </c>
      <c r="K46" s="167">
        <f>TRUNC(G46*I46*J46,2)</f>
        <v>0</v>
      </c>
    </row>
    <row r="47" spans="1:11" x14ac:dyDescent="0.25">
      <c r="A47" s="152"/>
      <c r="B47" s="159"/>
      <c r="C47" s="159"/>
      <c r="D47" s="159"/>
      <c r="E47" s="159"/>
      <c r="F47" s="159"/>
      <c r="G47" s="159"/>
      <c r="H47" s="159"/>
      <c r="I47" s="159"/>
      <c r="J47" s="170" t="s">
        <v>1064</v>
      </c>
      <c r="K47" s="175">
        <f>K46</f>
        <v>0</v>
      </c>
    </row>
    <row r="48" spans="1:11" x14ac:dyDescent="0.25">
      <c r="A48" s="146" t="s">
        <v>1404</v>
      </c>
      <c r="B48" s="179" t="s">
        <v>1180</v>
      </c>
      <c r="C48" s="148"/>
      <c r="D48" s="148"/>
      <c r="E48" s="148"/>
      <c r="F48" s="148"/>
      <c r="G48" s="148"/>
      <c r="H48" s="148"/>
      <c r="I48" s="148"/>
      <c r="J48" s="148"/>
      <c r="K48" s="188"/>
    </row>
    <row r="49" spans="1:11" x14ac:dyDescent="0.25">
      <c r="A49" s="611" t="s">
        <v>1196</v>
      </c>
      <c r="B49" s="612" t="s">
        <v>1067</v>
      </c>
      <c r="C49" s="613" t="s">
        <v>1197</v>
      </c>
      <c r="D49" s="614"/>
      <c r="E49" s="614"/>
      <c r="F49" s="615"/>
      <c r="G49" s="619" t="s">
        <v>14</v>
      </c>
      <c r="H49" s="610" t="s">
        <v>1068</v>
      </c>
      <c r="I49" s="608" t="s">
        <v>35</v>
      </c>
      <c r="J49" s="610" t="s">
        <v>1249</v>
      </c>
      <c r="K49" s="610" t="s">
        <v>16</v>
      </c>
    </row>
    <row r="50" spans="1:11" x14ac:dyDescent="0.25">
      <c r="A50" s="611"/>
      <c r="B50" s="612"/>
      <c r="C50" s="616"/>
      <c r="D50" s="617"/>
      <c r="E50" s="617"/>
      <c r="F50" s="618"/>
      <c r="G50" s="620"/>
      <c r="H50" s="610"/>
      <c r="I50" s="609"/>
      <c r="J50" s="610"/>
      <c r="K50" s="610"/>
    </row>
    <row r="51" spans="1:11" x14ac:dyDescent="0.25">
      <c r="A51" s="124" t="s">
        <v>1232</v>
      </c>
      <c r="B51" s="6" t="s">
        <v>1181</v>
      </c>
      <c r="C51" s="605"/>
      <c r="D51" s="606"/>
      <c r="E51" s="606"/>
      <c r="F51" s="607"/>
      <c r="G51" s="143">
        <v>2</v>
      </c>
      <c r="H51" s="140" t="s">
        <v>1140</v>
      </c>
      <c r="I51" s="150">
        <f>G51/SUM($G$51:$G$53)</f>
        <v>0.33333333333333331</v>
      </c>
      <c r="J51" s="167">
        <f>Insumos!D81</f>
        <v>0</v>
      </c>
      <c r="K51" s="167">
        <f>TRUNC(G51*I51*J51,2)</f>
        <v>0</v>
      </c>
    </row>
    <row r="52" spans="1:11" x14ac:dyDescent="0.25">
      <c r="A52" s="124" t="s">
        <v>1233</v>
      </c>
      <c r="B52" s="6" t="s">
        <v>1182</v>
      </c>
      <c r="C52" s="605"/>
      <c r="D52" s="606"/>
      <c r="E52" s="606"/>
      <c r="F52" s="607"/>
      <c r="G52" s="143">
        <v>2</v>
      </c>
      <c r="H52" s="140" t="s">
        <v>1140</v>
      </c>
      <c r="I52" s="150">
        <f t="shared" ref="I52:I53" si="5">G52/SUM($G$51:$G$53)</f>
        <v>0.33333333333333331</v>
      </c>
      <c r="J52" s="167">
        <f>Insumos!D82</f>
        <v>0</v>
      </c>
      <c r="K52" s="167">
        <f>TRUNC(G52*I52*J52,2)</f>
        <v>0</v>
      </c>
    </row>
    <row r="53" spans="1:11" x14ac:dyDescent="0.25">
      <c r="A53" s="124" t="s">
        <v>1234</v>
      </c>
      <c r="B53" s="6" t="s">
        <v>1183</v>
      </c>
      <c r="C53" s="605"/>
      <c r="D53" s="606"/>
      <c r="E53" s="606"/>
      <c r="F53" s="607"/>
      <c r="G53" s="143">
        <v>2</v>
      </c>
      <c r="H53" s="140" t="s">
        <v>1140</v>
      </c>
      <c r="I53" s="150">
        <f t="shared" si="5"/>
        <v>0.33333333333333331</v>
      </c>
      <c r="J53" s="167">
        <f>Insumos!D83</f>
        <v>0</v>
      </c>
      <c r="K53" s="167">
        <f>TRUNC(G53*I53*J53,2)</f>
        <v>0</v>
      </c>
    </row>
    <row r="54" spans="1:11" x14ac:dyDescent="0.25">
      <c r="A54" s="152"/>
      <c r="B54" s="159"/>
      <c r="C54" s="159"/>
      <c r="D54" s="159"/>
      <c r="E54" s="159"/>
      <c r="F54" s="159"/>
      <c r="G54" s="159"/>
      <c r="H54" s="159"/>
      <c r="I54" s="159"/>
      <c r="J54" s="170" t="s">
        <v>1064</v>
      </c>
      <c r="K54" s="175">
        <f>SUM(K51:K53)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3:J14"/>
    <mergeCell ref="K13:K14"/>
    <mergeCell ref="A23:A24"/>
    <mergeCell ref="B23:B24"/>
    <mergeCell ref="C23:F24"/>
    <mergeCell ref="G23:G24"/>
    <mergeCell ref="H23:H24"/>
    <mergeCell ref="I23:I24"/>
    <mergeCell ref="J23:J24"/>
    <mergeCell ref="K23:K24"/>
    <mergeCell ref="A13:A14"/>
    <mergeCell ref="B13:B14"/>
    <mergeCell ref="C13:F13"/>
    <mergeCell ref="G13:G14"/>
    <mergeCell ref="H13:H14"/>
    <mergeCell ref="I13:I14"/>
    <mergeCell ref="J39:J40"/>
    <mergeCell ref="K39:K40"/>
    <mergeCell ref="C41:F41"/>
    <mergeCell ref="A44:A45"/>
    <mergeCell ref="B44:B45"/>
    <mergeCell ref="C44:F45"/>
    <mergeCell ref="G44:G45"/>
    <mergeCell ref="H44:H45"/>
    <mergeCell ref="I44:I45"/>
    <mergeCell ref="J44:J45"/>
    <mergeCell ref="A39:A40"/>
    <mergeCell ref="B39:B40"/>
    <mergeCell ref="C39:F40"/>
    <mergeCell ref="G39:G40"/>
    <mergeCell ref="H39:H40"/>
    <mergeCell ref="I39:I40"/>
    <mergeCell ref="A49:A50"/>
    <mergeCell ref="B49:B50"/>
    <mergeCell ref="C49:F50"/>
    <mergeCell ref="G49:G50"/>
    <mergeCell ref="H49:H50"/>
    <mergeCell ref="C51:F51"/>
    <mergeCell ref="C52:F52"/>
    <mergeCell ref="C53:F53"/>
    <mergeCell ref="K44:K45"/>
    <mergeCell ref="C46:F46"/>
    <mergeCell ref="I49:I50"/>
    <mergeCell ref="J49:J50"/>
    <mergeCell ref="K49:K50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view="pageBreakPreview" topLeftCell="A30" zoomScale="80" zoomScaleNormal="100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54" customWidth="1"/>
    <col min="3" max="4" width="8.42578125" customWidth="1"/>
    <col min="5" max="5" width="7.7109375" customWidth="1"/>
    <col min="6" max="7" width="10.85546875" customWidth="1"/>
    <col min="8" max="8" width="9.7109375" customWidth="1"/>
    <col min="9" max="9" width="9.42578125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12</v>
      </c>
      <c r="B2" s="184" t="s">
        <v>91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71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1109</v>
      </c>
      <c r="C6" s="243">
        <v>6.3</v>
      </c>
      <c r="D6" s="243">
        <v>19.8</v>
      </c>
      <c r="E6" s="243"/>
      <c r="F6" s="243">
        <f>C6*D6</f>
        <v>124.74</v>
      </c>
      <c r="G6" s="243">
        <f>F6</f>
        <v>124.74</v>
      </c>
      <c r="H6" s="244" t="s">
        <v>1076</v>
      </c>
      <c r="I6" s="253">
        <v>0.3</v>
      </c>
      <c r="J6" s="254">
        <f>Insumos!D19</f>
        <v>0</v>
      </c>
      <c r="K6" s="246">
        <f>TRUNC(G6*I6*J6,2)</f>
        <v>0</v>
      </c>
    </row>
    <row r="7" spans="1:11" s="247" customFormat="1" x14ac:dyDescent="0.25">
      <c r="A7" s="34" t="s">
        <v>1203</v>
      </c>
      <c r="B7" s="251" t="s">
        <v>1251</v>
      </c>
      <c r="C7" s="243">
        <v>6.3</v>
      </c>
      <c r="D7" s="243">
        <v>19.8</v>
      </c>
      <c r="E7" s="243"/>
      <c r="F7" s="243">
        <f>C7*D7</f>
        <v>124.74</v>
      </c>
      <c r="G7" s="243">
        <f>F7</f>
        <v>124.74</v>
      </c>
      <c r="H7" s="244" t="s">
        <v>1076</v>
      </c>
      <c r="I7" s="253">
        <v>0.3</v>
      </c>
      <c r="J7" s="254">
        <f>Insumos!D6</f>
        <v>0</v>
      </c>
      <c r="K7" s="246">
        <f>TRUNC(G7*I7*J7,2)</f>
        <v>0</v>
      </c>
    </row>
    <row r="8" spans="1:11" s="247" customFormat="1" x14ac:dyDescent="0.25">
      <c r="A8" s="34" t="s">
        <v>1204</v>
      </c>
      <c r="B8" s="251" t="s">
        <v>1085</v>
      </c>
      <c r="C8" s="242">
        <v>6.3</v>
      </c>
      <c r="D8" s="242">
        <v>19.8</v>
      </c>
      <c r="E8" s="242"/>
      <c r="F8" s="243">
        <f>C8*D8</f>
        <v>124.74</v>
      </c>
      <c r="G8" s="243">
        <f>F8</f>
        <v>124.74</v>
      </c>
      <c r="H8" s="244" t="s">
        <v>1076</v>
      </c>
      <c r="I8" s="253">
        <v>0.3</v>
      </c>
      <c r="J8" s="254">
        <f>Insumos!D7</f>
        <v>0</v>
      </c>
      <c r="K8" s="246">
        <f>TRUNC(G8*I8*J8,2)</f>
        <v>0</v>
      </c>
    </row>
    <row r="9" spans="1:11" s="247" customFormat="1" x14ac:dyDescent="0.25">
      <c r="A9" s="34" t="s">
        <v>1205</v>
      </c>
      <c r="B9" s="255" t="s">
        <v>1122</v>
      </c>
      <c r="C9" s="243">
        <v>1.5</v>
      </c>
      <c r="D9" s="243">
        <v>1.5</v>
      </c>
      <c r="E9" s="243">
        <v>18</v>
      </c>
      <c r="F9" s="243">
        <f>E9*D9*C9</f>
        <v>40.5</v>
      </c>
      <c r="G9" s="243">
        <f>F9</f>
        <v>40.5</v>
      </c>
      <c r="H9" s="244" t="s">
        <v>1076</v>
      </c>
      <c r="I9" s="253">
        <v>0.3</v>
      </c>
      <c r="J9" s="254">
        <f>Insumos!D24</f>
        <v>0</v>
      </c>
      <c r="K9" s="246">
        <f>TRUNC(G9*I9*J9,2)</f>
        <v>0</v>
      </c>
    </row>
    <row r="10" spans="1:11" s="247" customFormat="1" ht="30" x14ac:dyDescent="0.25">
      <c r="A10" s="34" t="s">
        <v>1206</v>
      </c>
      <c r="B10" s="255" t="s">
        <v>1126</v>
      </c>
      <c r="C10" s="243"/>
      <c r="D10" s="243"/>
      <c r="E10" s="243"/>
      <c r="F10" s="243">
        <f>F8</f>
        <v>124.74</v>
      </c>
      <c r="G10" s="243">
        <f>F6</f>
        <v>124.74</v>
      </c>
      <c r="H10" s="244" t="s">
        <v>1076</v>
      </c>
      <c r="I10" s="253">
        <v>0.3</v>
      </c>
      <c r="J10" s="254">
        <f>Insumos!D27</f>
        <v>0</v>
      </c>
      <c r="K10" s="246">
        <f>TRUNC(G10*I10*J10,2)</f>
        <v>0</v>
      </c>
    </row>
    <row r="11" spans="1:11" s="247" customFormat="1" x14ac:dyDescent="0.25">
      <c r="A11" s="394"/>
      <c r="B11" s="386"/>
      <c r="C11" s="382"/>
      <c r="D11" s="382"/>
      <c r="E11" s="382"/>
      <c r="F11" s="382"/>
      <c r="G11" s="382"/>
      <c r="H11" s="382"/>
      <c r="I11" s="382"/>
      <c r="J11" s="399" t="s">
        <v>1064</v>
      </c>
      <c r="K11" s="400">
        <f>SUM(K6:K10)</f>
        <v>0</v>
      </c>
    </row>
    <row r="12" spans="1:11" s="247" customFormat="1" x14ac:dyDescent="0.25">
      <c r="A12" s="401" t="s">
        <v>72</v>
      </c>
      <c r="B12" s="402" t="s">
        <v>1219</v>
      </c>
      <c r="C12" s="383"/>
      <c r="D12" s="383"/>
      <c r="E12" s="383"/>
      <c r="F12" s="383"/>
      <c r="G12" s="383"/>
      <c r="H12" s="383"/>
      <c r="I12" s="383"/>
      <c r="J12" s="383"/>
      <c r="K12" s="408"/>
    </row>
    <row r="13" spans="1:11" s="247" customFormat="1" x14ac:dyDescent="0.25">
      <c r="A13" s="611" t="s">
        <v>1196</v>
      </c>
      <c r="B13" s="612" t="s">
        <v>1067</v>
      </c>
      <c r="C13" s="643" t="s">
        <v>1197</v>
      </c>
      <c r="D13" s="643"/>
      <c r="E13" s="643"/>
      <c r="F13" s="643"/>
      <c r="G13" s="619" t="s">
        <v>14</v>
      </c>
      <c r="H13" s="610" t="s">
        <v>1068</v>
      </c>
      <c r="I13" s="608" t="s">
        <v>35</v>
      </c>
      <c r="J13" s="610" t="s">
        <v>1069</v>
      </c>
      <c r="K13" s="610" t="s">
        <v>16</v>
      </c>
    </row>
    <row r="14" spans="1:11" s="247" customFormat="1" x14ac:dyDescent="0.25">
      <c r="A14" s="611"/>
      <c r="B14" s="612"/>
      <c r="C14" s="384"/>
      <c r="D14" s="384"/>
      <c r="E14" s="384"/>
      <c r="F14" s="384"/>
      <c r="G14" s="664"/>
      <c r="H14" s="610"/>
      <c r="I14" s="660"/>
      <c r="J14" s="610"/>
      <c r="K14" s="610"/>
    </row>
    <row r="15" spans="1:11" x14ac:dyDescent="0.25">
      <c r="A15" s="124" t="s">
        <v>1207</v>
      </c>
      <c r="B15" s="6" t="s">
        <v>1147</v>
      </c>
      <c r="C15" s="243"/>
      <c r="D15" s="243"/>
      <c r="E15" s="243"/>
      <c r="F15" s="243"/>
      <c r="G15" s="143">
        <v>3</v>
      </c>
      <c r="H15" s="140" t="s">
        <v>1140</v>
      </c>
      <c r="I15" s="150">
        <f>G15/SUM($G$15:$G$20)</f>
        <v>4.1666666666666664E-2</v>
      </c>
      <c r="J15" s="167">
        <f>Insumos!D49</f>
        <v>0</v>
      </c>
      <c r="K15" s="215">
        <f t="shared" ref="K15:K20" si="0">TRUNC(G15*I15*J15,2)</f>
        <v>0</v>
      </c>
    </row>
    <row r="16" spans="1:11" x14ac:dyDescent="0.25">
      <c r="A16" s="124" t="s">
        <v>1208</v>
      </c>
      <c r="B16" s="6" t="s">
        <v>1148</v>
      </c>
      <c r="C16" s="243"/>
      <c r="D16" s="243"/>
      <c r="E16" s="243"/>
      <c r="F16" s="243"/>
      <c r="G16" s="143">
        <v>3</v>
      </c>
      <c r="H16" s="140" t="s">
        <v>1140</v>
      </c>
      <c r="I16" s="150">
        <f t="shared" ref="I16:I20" si="1">G16/SUM($G$15:$G$20)</f>
        <v>4.1666666666666664E-2</v>
      </c>
      <c r="J16" s="167">
        <f>Insumos!D50</f>
        <v>0</v>
      </c>
      <c r="K16" s="215">
        <f t="shared" si="0"/>
        <v>0</v>
      </c>
    </row>
    <row r="17" spans="1:11" x14ac:dyDescent="0.25">
      <c r="A17" s="124" t="s">
        <v>1209</v>
      </c>
      <c r="B17" s="6" t="s">
        <v>1149</v>
      </c>
      <c r="C17" s="243"/>
      <c r="D17" s="243"/>
      <c r="E17" s="243"/>
      <c r="F17" s="243"/>
      <c r="G17" s="143">
        <v>3</v>
      </c>
      <c r="H17" s="140" t="s">
        <v>1140</v>
      </c>
      <c r="I17" s="150">
        <f t="shared" si="1"/>
        <v>4.1666666666666664E-2</v>
      </c>
      <c r="J17" s="167">
        <f>Insumos!D51</f>
        <v>0</v>
      </c>
      <c r="K17" s="215">
        <f t="shared" si="0"/>
        <v>0</v>
      </c>
    </row>
    <row r="18" spans="1:11" x14ac:dyDescent="0.25">
      <c r="A18" s="124" t="s">
        <v>1210</v>
      </c>
      <c r="B18" s="6" t="s">
        <v>1150</v>
      </c>
      <c r="C18" s="243"/>
      <c r="D18" s="243"/>
      <c r="E18" s="243"/>
      <c r="F18" s="243"/>
      <c r="G18" s="143">
        <v>30</v>
      </c>
      <c r="H18" s="140" t="s">
        <v>1151</v>
      </c>
      <c r="I18" s="150">
        <f t="shared" si="1"/>
        <v>0.41666666666666669</v>
      </c>
      <c r="J18" s="167">
        <f>Insumos!D52</f>
        <v>0</v>
      </c>
      <c r="K18" s="215">
        <f t="shared" si="0"/>
        <v>0</v>
      </c>
    </row>
    <row r="19" spans="1:11" x14ac:dyDescent="0.25">
      <c r="A19" s="124" t="s">
        <v>1211</v>
      </c>
      <c r="B19" s="6" t="s">
        <v>1152</v>
      </c>
      <c r="C19" s="243"/>
      <c r="D19" s="243"/>
      <c r="E19" s="243"/>
      <c r="F19" s="243"/>
      <c r="G19" s="143">
        <v>3</v>
      </c>
      <c r="H19" s="140" t="s">
        <v>1124</v>
      </c>
      <c r="I19" s="150">
        <f t="shared" si="1"/>
        <v>4.1666666666666664E-2</v>
      </c>
      <c r="J19" s="167">
        <f>Insumos!D53</f>
        <v>0</v>
      </c>
      <c r="K19" s="215">
        <f t="shared" si="0"/>
        <v>0</v>
      </c>
    </row>
    <row r="20" spans="1:11" x14ac:dyDescent="0.25">
      <c r="A20" s="124" t="s">
        <v>1212</v>
      </c>
      <c r="B20" s="6" t="s">
        <v>1248</v>
      </c>
      <c r="C20" s="243"/>
      <c r="D20" s="243"/>
      <c r="E20" s="243"/>
      <c r="F20" s="243"/>
      <c r="G20" s="143">
        <v>30</v>
      </c>
      <c r="H20" s="140" t="s">
        <v>1154</v>
      </c>
      <c r="I20" s="150">
        <f t="shared" si="1"/>
        <v>0.41666666666666669</v>
      </c>
      <c r="J20" s="167">
        <f>Insumos!D54</f>
        <v>0</v>
      </c>
      <c r="K20" s="215">
        <f t="shared" si="0"/>
        <v>0</v>
      </c>
    </row>
    <row r="21" spans="1:11" x14ac:dyDescent="0.25">
      <c r="A21" s="152"/>
      <c r="B21" s="159"/>
      <c r="C21" s="382"/>
      <c r="D21" s="382"/>
      <c r="E21" s="382"/>
      <c r="F21" s="382"/>
      <c r="G21" s="154"/>
      <c r="H21" s="157"/>
      <c r="I21" s="157"/>
      <c r="J21" s="192" t="s">
        <v>1064</v>
      </c>
      <c r="K21" s="217">
        <f>SUM(K15:K20)</f>
        <v>0</v>
      </c>
    </row>
    <row r="22" spans="1:11" x14ac:dyDescent="0.25">
      <c r="A22" s="146" t="s">
        <v>73</v>
      </c>
      <c r="B22" s="179" t="s">
        <v>1155</v>
      </c>
      <c r="C22" s="383"/>
      <c r="D22" s="383"/>
      <c r="E22" s="383"/>
      <c r="F22" s="383"/>
      <c r="G22" s="148"/>
      <c r="H22" s="148"/>
      <c r="I22" s="148"/>
      <c r="J22" s="148"/>
      <c r="K22" s="188"/>
    </row>
    <row r="23" spans="1:11" x14ac:dyDescent="0.25">
      <c r="A23" s="611" t="s">
        <v>1196</v>
      </c>
      <c r="B23" s="612" t="s">
        <v>1067</v>
      </c>
      <c r="C23" s="637" t="s">
        <v>1197</v>
      </c>
      <c r="D23" s="638"/>
      <c r="E23" s="638"/>
      <c r="F23" s="639"/>
      <c r="G23" s="619" t="s">
        <v>14</v>
      </c>
      <c r="H23" s="610" t="s">
        <v>1068</v>
      </c>
      <c r="I23" s="608" t="s">
        <v>35</v>
      </c>
      <c r="J23" s="610" t="s">
        <v>1249</v>
      </c>
      <c r="K23" s="610" t="s">
        <v>16</v>
      </c>
    </row>
    <row r="24" spans="1:11" x14ac:dyDescent="0.25">
      <c r="A24" s="611"/>
      <c r="B24" s="612"/>
      <c r="C24" s="640"/>
      <c r="D24" s="641"/>
      <c r="E24" s="641"/>
      <c r="F24" s="642"/>
      <c r="G24" s="620"/>
      <c r="H24" s="610"/>
      <c r="I24" s="609"/>
      <c r="J24" s="610"/>
      <c r="K24" s="610"/>
    </row>
    <row r="25" spans="1:11" x14ac:dyDescent="0.25">
      <c r="A25" s="124" t="s">
        <v>1213</v>
      </c>
      <c r="B25" s="104" t="s">
        <v>1156</v>
      </c>
      <c r="C25" s="143"/>
      <c r="D25" s="143"/>
      <c r="E25" s="143"/>
      <c r="F25" s="143"/>
      <c r="G25" s="143">
        <f>G10/30</f>
        <v>4.1579999999999995</v>
      </c>
      <c r="H25" s="140" t="s">
        <v>1228</v>
      </c>
      <c r="I25" s="150">
        <f>G25/SUM($G$25:$G$36)</f>
        <v>1.371992867484891E-2</v>
      </c>
      <c r="J25" s="167">
        <f>Insumos!D58</f>
        <v>0</v>
      </c>
      <c r="K25" s="215">
        <f t="shared" ref="K25:K36" si="2">TRUNC(G25*I25*J25,2)</f>
        <v>0</v>
      </c>
    </row>
    <row r="26" spans="1:11" x14ac:dyDescent="0.25">
      <c r="A26" s="124" t="s">
        <v>1214</v>
      </c>
      <c r="B26" s="6" t="s">
        <v>1171</v>
      </c>
      <c r="C26" s="143"/>
      <c r="D26" s="143"/>
      <c r="E26" s="143"/>
      <c r="F26" s="143"/>
      <c r="G26" s="143">
        <f>G7</f>
        <v>124.74</v>
      </c>
      <c r="H26" s="140" t="s">
        <v>1089</v>
      </c>
      <c r="I26" s="150">
        <f t="shared" ref="I26:I36" si="3">G26/SUM($G$25:$G$36)</f>
        <v>0.41159786024546735</v>
      </c>
      <c r="J26" s="167">
        <f>Insumos!D69</f>
        <v>0</v>
      </c>
      <c r="K26" s="215">
        <f t="shared" si="2"/>
        <v>0</v>
      </c>
    </row>
    <row r="27" spans="1:11" x14ac:dyDescent="0.25">
      <c r="A27" s="124" t="s">
        <v>1215</v>
      </c>
      <c r="B27" s="6" t="s">
        <v>1157</v>
      </c>
      <c r="C27" s="143"/>
      <c r="D27" s="143"/>
      <c r="E27" s="143"/>
      <c r="F27" s="143"/>
      <c r="G27" s="143">
        <f>F8</f>
        <v>124.74</v>
      </c>
      <c r="H27" s="140" t="s">
        <v>1089</v>
      </c>
      <c r="I27" s="150">
        <f t="shared" si="3"/>
        <v>0.41159786024546735</v>
      </c>
      <c r="J27" s="167">
        <f>Insumos!D59</f>
        <v>0</v>
      </c>
      <c r="K27" s="215">
        <f t="shared" si="2"/>
        <v>0</v>
      </c>
    </row>
    <row r="28" spans="1:11" x14ac:dyDescent="0.25">
      <c r="A28" s="124" t="s">
        <v>1216</v>
      </c>
      <c r="B28" s="104" t="s">
        <v>1158</v>
      </c>
      <c r="C28" s="143"/>
      <c r="D28" s="143"/>
      <c r="E28" s="143"/>
      <c r="F28" s="143"/>
      <c r="G28" s="143">
        <f>F7*0.2/3.6/2</f>
        <v>3.4649999999999999</v>
      </c>
      <c r="H28" s="140" t="s">
        <v>1159</v>
      </c>
      <c r="I28" s="150">
        <f t="shared" si="3"/>
        <v>1.1433273895707427E-2</v>
      </c>
      <c r="J28" s="167">
        <f>Insumos!D60</f>
        <v>0</v>
      </c>
      <c r="K28" s="215">
        <f t="shared" si="2"/>
        <v>0</v>
      </c>
    </row>
    <row r="29" spans="1:11" x14ac:dyDescent="0.25">
      <c r="A29" s="124" t="s">
        <v>1217</v>
      </c>
      <c r="B29" s="104" t="s">
        <v>1160</v>
      </c>
      <c r="C29" s="143"/>
      <c r="D29" s="143"/>
      <c r="E29" s="143"/>
      <c r="F29" s="143"/>
      <c r="G29" s="143">
        <f>G28</f>
        <v>3.4649999999999999</v>
      </c>
      <c r="H29" s="140" t="s">
        <v>1159</v>
      </c>
      <c r="I29" s="150">
        <f t="shared" si="3"/>
        <v>1.1433273895707427E-2</v>
      </c>
      <c r="J29" s="167">
        <f>Insumos!D61</f>
        <v>0</v>
      </c>
      <c r="K29" s="215">
        <f t="shared" si="2"/>
        <v>0</v>
      </c>
    </row>
    <row r="30" spans="1:11" x14ac:dyDescent="0.25">
      <c r="A30" s="124" t="s">
        <v>1220</v>
      </c>
      <c r="B30" s="104" t="s">
        <v>1161</v>
      </c>
      <c r="C30" s="143"/>
      <c r="D30" s="143"/>
      <c r="E30" s="143"/>
      <c r="F30" s="143"/>
      <c r="G30" s="143">
        <f>G27*0.02</f>
        <v>2.4948000000000001</v>
      </c>
      <c r="H30" s="140" t="s">
        <v>1162</v>
      </c>
      <c r="I30" s="150">
        <f t="shared" si="3"/>
        <v>8.231957204909348E-3</v>
      </c>
      <c r="J30" s="167">
        <f>Insumos!D62</f>
        <v>0</v>
      </c>
      <c r="K30" s="215">
        <f t="shared" ref="K30" si="4">TRUNC(G30*I30*J30,2)</f>
        <v>0</v>
      </c>
    </row>
    <row r="31" spans="1:11" x14ac:dyDescent="0.25">
      <c r="A31" s="124" t="s">
        <v>1222</v>
      </c>
      <c r="B31" s="104" t="s">
        <v>1163</v>
      </c>
      <c r="C31" s="143"/>
      <c r="D31" s="143"/>
      <c r="E31" s="143"/>
      <c r="F31" s="143"/>
      <c r="G31" s="143">
        <v>8</v>
      </c>
      <c r="H31" s="140" t="s">
        <v>1068</v>
      </c>
      <c r="I31" s="150">
        <f t="shared" si="3"/>
        <v>2.6397169167578477E-2</v>
      </c>
      <c r="J31" s="167">
        <f>Insumos!D63</f>
        <v>0</v>
      </c>
      <c r="K31" s="215">
        <f t="shared" si="2"/>
        <v>0</v>
      </c>
    </row>
    <row r="32" spans="1:11" x14ac:dyDescent="0.25">
      <c r="A32" s="124" t="s">
        <v>1223</v>
      </c>
      <c r="B32" s="104" t="s">
        <v>1164</v>
      </c>
      <c r="C32" s="143"/>
      <c r="D32" s="143"/>
      <c r="E32" s="143"/>
      <c r="F32" s="143"/>
      <c r="G32" s="143">
        <v>8</v>
      </c>
      <c r="H32" s="140" t="s">
        <v>1068</v>
      </c>
      <c r="I32" s="150">
        <f t="shared" si="3"/>
        <v>2.6397169167578477E-2</v>
      </c>
      <c r="J32" s="167">
        <f>Insumos!D64</f>
        <v>0</v>
      </c>
      <c r="K32" s="215">
        <f t="shared" si="2"/>
        <v>0</v>
      </c>
    </row>
    <row r="33" spans="1:11" x14ac:dyDescent="0.25">
      <c r="A33" s="124" t="s">
        <v>1224</v>
      </c>
      <c r="B33" s="104" t="s">
        <v>1165</v>
      </c>
      <c r="C33" s="143"/>
      <c r="D33" s="143"/>
      <c r="E33" s="143"/>
      <c r="F33" s="143"/>
      <c r="G33" s="143">
        <v>8</v>
      </c>
      <c r="H33" s="140" t="s">
        <v>1068</v>
      </c>
      <c r="I33" s="150">
        <f t="shared" si="3"/>
        <v>2.6397169167578477E-2</v>
      </c>
      <c r="J33" s="167">
        <f>Insumos!D65</f>
        <v>0</v>
      </c>
      <c r="K33" s="215">
        <f t="shared" si="2"/>
        <v>0</v>
      </c>
    </row>
    <row r="34" spans="1:11" x14ac:dyDescent="0.25">
      <c r="A34" s="124" t="s">
        <v>1225</v>
      </c>
      <c r="B34" s="104" t="s">
        <v>1166</v>
      </c>
      <c r="C34" s="143"/>
      <c r="D34" s="143"/>
      <c r="E34" s="143"/>
      <c r="F34" s="143"/>
      <c r="G34" s="143">
        <v>4</v>
      </c>
      <c r="H34" s="140" t="s">
        <v>1096</v>
      </c>
      <c r="I34" s="150">
        <f t="shared" si="3"/>
        <v>1.3198584583789238E-2</v>
      </c>
      <c r="J34" s="167">
        <f>Insumos!D66</f>
        <v>0</v>
      </c>
      <c r="K34" s="215">
        <f t="shared" si="2"/>
        <v>0</v>
      </c>
    </row>
    <row r="35" spans="1:11" x14ac:dyDescent="0.25">
      <c r="A35" s="124" t="s">
        <v>1226</v>
      </c>
      <c r="B35" s="104" t="s">
        <v>1167</v>
      </c>
      <c r="C35" s="143"/>
      <c r="D35" s="143"/>
      <c r="E35" s="143"/>
      <c r="F35" s="143"/>
      <c r="G35" s="143">
        <v>4</v>
      </c>
      <c r="H35" s="140" t="s">
        <v>1168</v>
      </c>
      <c r="I35" s="150">
        <f t="shared" si="3"/>
        <v>1.3198584583789238E-2</v>
      </c>
      <c r="J35" s="167">
        <f>Insumos!D67</f>
        <v>0</v>
      </c>
      <c r="K35" s="215">
        <f t="shared" si="2"/>
        <v>0</v>
      </c>
    </row>
    <row r="36" spans="1:11" x14ac:dyDescent="0.25">
      <c r="A36" s="124" t="s">
        <v>1227</v>
      </c>
      <c r="B36" s="104" t="s">
        <v>1169</v>
      </c>
      <c r="C36" s="143"/>
      <c r="D36" s="143"/>
      <c r="E36" s="143"/>
      <c r="F36" s="143"/>
      <c r="G36" s="143">
        <v>8</v>
      </c>
      <c r="H36" s="140" t="s">
        <v>1170</v>
      </c>
      <c r="I36" s="150">
        <f t="shared" si="3"/>
        <v>2.6397169167578477E-2</v>
      </c>
      <c r="J36" s="167">
        <f>Insumos!D68</f>
        <v>0</v>
      </c>
      <c r="K36" s="215">
        <f t="shared" si="2"/>
        <v>0</v>
      </c>
    </row>
    <row r="37" spans="1:11" x14ac:dyDescent="0.25">
      <c r="A37" s="124"/>
      <c r="B37" s="159"/>
      <c r="C37" s="159"/>
      <c r="D37" s="159"/>
      <c r="E37" s="159"/>
      <c r="F37" s="159"/>
      <c r="G37" s="159"/>
      <c r="H37" s="159"/>
      <c r="I37" s="159"/>
      <c r="J37" s="170" t="s">
        <v>1064</v>
      </c>
      <c r="K37" s="218">
        <f>SUM(K25:K36)</f>
        <v>0</v>
      </c>
    </row>
    <row r="38" spans="1:11" x14ac:dyDescent="0.25">
      <c r="A38" s="146" t="s">
        <v>74</v>
      </c>
      <c r="B38" s="179" t="s">
        <v>1176</v>
      </c>
      <c r="C38" s="148"/>
      <c r="D38" s="148"/>
      <c r="E38" s="148"/>
      <c r="F38" s="148"/>
      <c r="G38" s="148"/>
      <c r="H38" s="148"/>
      <c r="I38" s="148"/>
      <c r="J38" s="148"/>
      <c r="K38" s="188"/>
    </row>
    <row r="39" spans="1:11" x14ac:dyDescent="0.25">
      <c r="A39" s="611" t="s">
        <v>1196</v>
      </c>
      <c r="B39" s="612" t="s">
        <v>1067</v>
      </c>
      <c r="C39" s="613" t="s">
        <v>1197</v>
      </c>
      <c r="D39" s="614"/>
      <c r="E39" s="614"/>
      <c r="F39" s="615"/>
      <c r="G39" s="619" t="s">
        <v>14</v>
      </c>
      <c r="H39" s="610" t="s">
        <v>1068</v>
      </c>
      <c r="I39" s="608" t="s">
        <v>35</v>
      </c>
      <c r="J39" s="610" t="s">
        <v>1249</v>
      </c>
      <c r="K39" s="610" t="s">
        <v>16</v>
      </c>
    </row>
    <row r="40" spans="1:11" x14ac:dyDescent="0.25">
      <c r="A40" s="611"/>
      <c r="B40" s="612"/>
      <c r="C40" s="616"/>
      <c r="D40" s="617"/>
      <c r="E40" s="617"/>
      <c r="F40" s="618"/>
      <c r="G40" s="620"/>
      <c r="H40" s="610"/>
      <c r="I40" s="609"/>
      <c r="J40" s="610"/>
      <c r="K40" s="610"/>
    </row>
    <row r="41" spans="1:11" x14ac:dyDescent="0.25">
      <c r="A41" s="124" t="s">
        <v>1229</v>
      </c>
      <c r="B41" s="6" t="s">
        <v>1242</v>
      </c>
      <c r="C41" s="605"/>
      <c r="D41" s="606"/>
      <c r="E41" s="606"/>
      <c r="F41" s="607"/>
      <c r="G41" s="143">
        <v>3</v>
      </c>
      <c r="H41" s="140" t="s">
        <v>1140</v>
      </c>
      <c r="I41" s="150">
        <v>2</v>
      </c>
      <c r="J41" s="167">
        <f>Insumos!D75</f>
        <v>0</v>
      </c>
      <c r="K41" s="215">
        <f>TRUNC(G41*I41*J41,2)</f>
        <v>0</v>
      </c>
    </row>
    <row r="42" spans="1:11" x14ac:dyDescent="0.25">
      <c r="A42" s="152"/>
      <c r="B42" s="159"/>
      <c r="C42" s="159"/>
      <c r="D42" s="159"/>
      <c r="E42" s="159"/>
      <c r="F42" s="159"/>
      <c r="G42" s="159"/>
      <c r="H42" s="159"/>
      <c r="I42" s="159"/>
      <c r="J42" s="170" t="s">
        <v>1064</v>
      </c>
      <c r="K42" s="218">
        <f>SUM(K41)</f>
        <v>0</v>
      </c>
    </row>
    <row r="43" spans="1:11" x14ac:dyDescent="0.25">
      <c r="A43" s="146" t="s">
        <v>75</v>
      </c>
      <c r="B43" s="179" t="s">
        <v>1178</v>
      </c>
      <c r="C43" s="148"/>
      <c r="D43" s="148"/>
      <c r="E43" s="148"/>
      <c r="F43" s="148"/>
      <c r="G43" s="148"/>
      <c r="H43" s="148"/>
      <c r="I43" s="148"/>
      <c r="J43" s="148"/>
      <c r="K43" s="188"/>
    </row>
    <row r="44" spans="1:11" x14ac:dyDescent="0.25">
      <c r="A44" s="611" t="s">
        <v>1196</v>
      </c>
      <c r="B44" s="612" t="s">
        <v>1067</v>
      </c>
      <c r="C44" s="613" t="s">
        <v>1197</v>
      </c>
      <c r="D44" s="614"/>
      <c r="E44" s="614"/>
      <c r="F44" s="615"/>
      <c r="G44" s="619" t="s">
        <v>14</v>
      </c>
      <c r="H44" s="610" t="s">
        <v>1068</v>
      </c>
      <c r="I44" s="608" t="s">
        <v>35</v>
      </c>
      <c r="J44" s="610" t="s">
        <v>1249</v>
      </c>
      <c r="K44" s="610" t="s">
        <v>16</v>
      </c>
    </row>
    <row r="45" spans="1:11" x14ac:dyDescent="0.25">
      <c r="A45" s="611"/>
      <c r="B45" s="612"/>
      <c r="C45" s="616"/>
      <c r="D45" s="617"/>
      <c r="E45" s="617"/>
      <c r="F45" s="618"/>
      <c r="G45" s="620"/>
      <c r="H45" s="610"/>
      <c r="I45" s="609"/>
      <c r="J45" s="610"/>
      <c r="K45" s="610"/>
    </row>
    <row r="46" spans="1:11" x14ac:dyDescent="0.25">
      <c r="A46" s="124" t="s">
        <v>1231</v>
      </c>
      <c r="B46" s="6" t="s">
        <v>42</v>
      </c>
      <c r="C46" s="605"/>
      <c r="D46" s="606"/>
      <c r="E46" s="606"/>
      <c r="F46" s="607"/>
      <c r="G46" s="143">
        <v>3</v>
      </c>
      <c r="H46" s="140" t="s">
        <v>1140</v>
      </c>
      <c r="I46" s="150">
        <v>2</v>
      </c>
      <c r="J46" s="167">
        <f>Insumos!D78</f>
        <v>0</v>
      </c>
      <c r="K46" s="215">
        <f>TRUNC(G46*I46*J46,2)</f>
        <v>0</v>
      </c>
    </row>
    <row r="47" spans="1:11" x14ac:dyDescent="0.25">
      <c r="A47" s="152"/>
      <c r="B47" s="159"/>
      <c r="C47" s="159"/>
      <c r="D47" s="159"/>
      <c r="E47" s="159"/>
      <c r="F47" s="159"/>
      <c r="G47" s="159"/>
      <c r="H47" s="159"/>
      <c r="I47" s="159"/>
      <c r="J47" s="170" t="s">
        <v>1064</v>
      </c>
      <c r="K47" s="218">
        <f>K46</f>
        <v>0</v>
      </c>
    </row>
    <row r="48" spans="1:11" x14ac:dyDescent="0.25">
      <c r="A48" s="146" t="s">
        <v>76</v>
      </c>
      <c r="B48" s="179" t="s">
        <v>1180</v>
      </c>
      <c r="C48" s="148"/>
      <c r="D48" s="148"/>
      <c r="E48" s="148"/>
      <c r="F48" s="148"/>
      <c r="G48" s="148"/>
      <c r="H48" s="148"/>
      <c r="I48" s="148"/>
      <c r="J48" s="148"/>
      <c r="K48" s="188"/>
    </row>
    <row r="49" spans="1:11" x14ac:dyDescent="0.25">
      <c r="A49" s="611" t="s">
        <v>1196</v>
      </c>
      <c r="B49" s="612" t="s">
        <v>1067</v>
      </c>
      <c r="C49" s="613" t="s">
        <v>1197</v>
      </c>
      <c r="D49" s="614"/>
      <c r="E49" s="614"/>
      <c r="F49" s="615"/>
      <c r="G49" s="619" t="s">
        <v>14</v>
      </c>
      <c r="H49" s="610" t="s">
        <v>1068</v>
      </c>
      <c r="I49" s="608" t="s">
        <v>35</v>
      </c>
      <c r="J49" s="610" t="s">
        <v>1249</v>
      </c>
      <c r="K49" s="610" t="s">
        <v>16</v>
      </c>
    </row>
    <row r="50" spans="1:11" x14ac:dyDescent="0.25">
      <c r="A50" s="611"/>
      <c r="B50" s="612"/>
      <c r="C50" s="616"/>
      <c r="D50" s="617"/>
      <c r="E50" s="617"/>
      <c r="F50" s="618"/>
      <c r="G50" s="620"/>
      <c r="H50" s="610"/>
      <c r="I50" s="609"/>
      <c r="J50" s="610"/>
      <c r="K50" s="610"/>
    </row>
    <row r="51" spans="1:11" x14ac:dyDescent="0.25">
      <c r="A51" s="124" t="s">
        <v>1232</v>
      </c>
      <c r="B51" s="6" t="s">
        <v>1181</v>
      </c>
      <c r="C51" s="605"/>
      <c r="D51" s="606"/>
      <c r="E51" s="606"/>
      <c r="F51" s="607"/>
      <c r="G51" s="143">
        <v>1</v>
      </c>
      <c r="H51" s="140" t="s">
        <v>1140</v>
      </c>
      <c r="I51" s="150">
        <f>G51/SUM($G$51:$G$53)</f>
        <v>0.33333333333333331</v>
      </c>
      <c r="J51" s="167">
        <f>Insumos!D81</f>
        <v>0</v>
      </c>
      <c r="K51" s="215">
        <f>TRUNC(G51*I51*J51,2)</f>
        <v>0</v>
      </c>
    </row>
    <row r="52" spans="1:11" x14ac:dyDescent="0.25">
      <c r="A52" s="124" t="s">
        <v>1233</v>
      </c>
      <c r="B52" s="6" t="s">
        <v>1182</v>
      </c>
      <c r="C52" s="605"/>
      <c r="D52" s="606"/>
      <c r="E52" s="606"/>
      <c r="F52" s="607"/>
      <c r="G52" s="143">
        <v>1</v>
      </c>
      <c r="H52" s="140" t="s">
        <v>1140</v>
      </c>
      <c r="I52" s="150">
        <f t="shared" ref="I52:I53" si="5">G52/SUM($G$51:$G$53)</f>
        <v>0.33333333333333331</v>
      </c>
      <c r="J52" s="167">
        <f>Insumos!D82</f>
        <v>0</v>
      </c>
      <c r="K52" s="215">
        <f>TRUNC(G52*I52*J52,2)</f>
        <v>0</v>
      </c>
    </row>
    <row r="53" spans="1:11" x14ac:dyDescent="0.25">
      <c r="A53" s="124" t="s">
        <v>1234</v>
      </c>
      <c r="B53" s="6" t="s">
        <v>1183</v>
      </c>
      <c r="C53" s="605"/>
      <c r="D53" s="606"/>
      <c r="E53" s="606"/>
      <c r="F53" s="607"/>
      <c r="G53" s="143">
        <v>1</v>
      </c>
      <c r="H53" s="140" t="s">
        <v>1140</v>
      </c>
      <c r="I53" s="150">
        <f t="shared" si="5"/>
        <v>0.33333333333333331</v>
      </c>
      <c r="J53" s="167">
        <f>Insumos!D83</f>
        <v>0</v>
      </c>
      <c r="K53" s="215">
        <f>TRUNC(G53*I53*J53,2)</f>
        <v>0</v>
      </c>
    </row>
    <row r="54" spans="1:11" x14ac:dyDescent="0.25">
      <c r="C54" s="159"/>
      <c r="D54" s="159"/>
      <c r="E54" s="159"/>
      <c r="F54" s="159"/>
      <c r="G54" s="159"/>
      <c r="H54" s="159"/>
      <c r="I54" s="159"/>
      <c r="J54" s="170" t="s">
        <v>1064</v>
      </c>
      <c r="K54" s="218">
        <f>SUM(K51:K53)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3:J14"/>
    <mergeCell ref="K13:K14"/>
    <mergeCell ref="A23:A24"/>
    <mergeCell ref="B23:B24"/>
    <mergeCell ref="C23:F24"/>
    <mergeCell ref="G23:G24"/>
    <mergeCell ref="H23:H24"/>
    <mergeCell ref="I23:I24"/>
    <mergeCell ref="J23:J24"/>
    <mergeCell ref="K23:K24"/>
    <mergeCell ref="A13:A14"/>
    <mergeCell ref="B13:B14"/>
    <mergeCell ref="C13:F13"/>
    <mergeCell ref="G13:G14"/>
    <mergeCell ref="H13:H14"/>
    <mergeCell ref="I13:I14"/>
    <mergeCell ref="J39:J40"/>
    <mergeCell ref="K39:K40"/>
    <mergeCell ref="C41:F41"/>
    <mergeCell ref="A44:A45"/>
    <mergeCell ref="B44:B45"/>
    <mergeCell ref="C44:F45"/>
    <mergeCell ref="G44:G45"/>
    <mergeCell ref="H44:H45"/>
    <mergeCell ref="I44:I45"/>
    <mergeCell ref="J44:J45"/>
    <mergeCell ref="A39:A40"/>
    <mergeCell ref="B39:B40"/>
    <mergeCell ref="C39:F40"/>
    <mergeCell ref="G39:G40"/>
    <mergeCell ref="H39:H40"/>
    <mergeCell ref="I39:I40"/>
    <mergeCell ref="A49:A50"/>
    <mergeCell ref="B49:B50"/>
    <mergeCell ref="C49:F50"/>
    <mergeCell ref="G49:G50"/>
    <mergeCell ref="H49:H50"/>
    <mergeCell ref="C51:F51"/>
    <mergeCell ref="C52:F52"/>
    <mergeCell ref="C53:F53"/>
    <mergeCell ref="K44:K45"/>
    <mergeCell ref="C46:F46"/>
    <mergeCell ref="I49:I50"/>
    <mergeCell ref="J49:J50"/>
    <mergeCell ref="K49:K50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view="pageBreakPreview" zoomScale="80" zoomScaleNormal="85" zoomScaleSheetLayoutView="80" workbookViewId="0">
      <selection activeCell="B3" sqref="B3:F3"/>
    </sheetView>
  </sheetViews>
  <sheetFormatPr defaultRowHeight="15" x14ac:dyDescent="0.25"/>
  <cols>
    <col min="1" max="1" width="10.42578125" customWidth="1"/>
    <col min="2" max="2" width="65.5703125" customWidth="1"/>
    <col min="3" max="3" width="7.140625" bestFit="1" customWidth="1"/>
    <col min="4" max="4" width="7" bestFit="1" customWidth="1"/>
    <col min="5" max="5" width="6.42578125" bestFit="1" customWidth="1"/>
    <col min="6" max="6" width="8.140625" bestFit="1" customWidth="1"/>
    <col min="7" max="7" width="10.85546875" customWidth="1"/>
    <col min="9" max="9" width="8.7109375" bestFit="1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13</v>
      </c>
      <c r="B2" s="184" t="s">
        <v>2112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1405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1109</v>
      </c>
      <c r="C6" s="243"/>
      <c r="D6" s="243"/>
      <c r="E6" s="243"/>
      <c r="F6" s="243">
        <v>123.6</v>
      </c>
      <c r="G6" s="243">
        <f>F6</f>
        <v>123.6</v>
      </c>
      <c r="H6" s="244" t="s">
        <v>1076</v>
      </c>
      <c r="I6" s="253">
        <v>0.4</v>
      </c>
      <c r="J6" s="254">
        <f>Insumos!D19</f>
        <v>0</v>
      </c>
      <c r="K6" s="254">
        <f t="shared" ref="K6:K10" si="0">TRUNC(G6*I6*J6,2)</f>
        <v>0</v>
      </c>
    </row>
    <row r="7" spans="1:11" s="247" customFormat="1" x14ac:dyDescent="0.25">
      <c r="A7" s="34" t="s">
        <v>1203</v>
      </c>
      <c r="B7" s="251" t="s">
        <v>1085</v>
      </c>
      <c r="C7" s="243"/>
      <c r="D7" s="243"/>
      <c r="E7" s="243"/>
      <c r="F7" s="243">
        <f>F6</f>
        <v>123.6</v>
      </c>
      <c r="G7" s="243">
        <f>F7</f>
        <v>123.6</v>
      </c>
      <c r="H7" s="244" t="s">
        <v>1076</v>
      </c>
      <c r="I7" s="253">
        <v>0.4</v>
      </c>
      <c r="J7" s="254">
        <f>Insumos!D7</f>
        <v>0</v>
      </c>
      <c r="K7" s="254">
        <f t="shared" si="0"/>
        <v>0</v>
      </c>
    </row>
    <row r="8" spans="1:11" s="247" customFormat="1" x14ac:dyDescent="0.25">
      <c r="A8" s="34" t="s">
        <v>1204</v>
      </c>
      <c r="B8" s="251" t="s">
        <v>1251</v>
      </c>
      <c r="C8" s="243"/>
      <c r="D8" s="243"/>
      <c r="E8" s="243"/>
      <c r="F8" s="243">
        <f>F6</f>
        <v>123.6</v>
      </c>
      <c r="G8" s="243">
        <f>F8</f>
        <v>123.6</v>
      </c>
      <c r="H8" s="244" t="s">
        <v>1076</v>
      </c>
      <c r="I8" s="253">
        <v>0.4</v>
      </c>
      <c r="J8" s="254">
        <f>Insumos!D6</f>
        <v>0</v>
      </c>
      <c r="K8" s="254">
        <f t="shared" si="0"/>
        <v>0</v>
      </c>
    </row>
    <row r="9" spans="1:11" s="247" customFormat="1" ht="30" x14ac:dyDescent="0.25">
      <c r="A9" s="34" t="s">
        <v>1205</v>
      </c>
      <c r="B9" s="255" t="s">
        <v>1126</v>
      </c>
      <c r="C9" s="243"/>
      <c r="D9" s="243"/>
      <c r="E9" s="243"/>
      <c r="F9" s="243">
        <f>F6</f>
        <v>123.6</v>
      </c>
      <c r="G9" s="243">
        <f>F6</f>
        <v>123.6</v>
      </c>
      <c r="H9" s="244" t="s">
        <v>1076</v>
      </c>
      <c r="I9" s="253">
        <v>0.4</v>
      </c>
      <c r="J9" s="254">
        <f>Insumos!D27</f>
        <v>0</v>
      </c>
      <c r="K9" s="254">
        <f t="shared" si="0"/>
        <v>0</v>
      </c>
    </row>
    <row r="10" spans="1:11" s="247" customFormat="1" x14ac:dyDescent="0.25">
      <c r="A10" s="34" t="s">
        <v>1206</v>
      </c>
      <c r="B10" s="255" t="s">
        <v>1106</v>
      </c>
      <c r="C10" s="243">
        <f>3+4+7</f>
        <v>14</v>
      </c>
      <c r="D10" s="243"/>
      <c r="E10" s="243"/>
      <c r="F10" s="243"/>
      <c r="G10" s="243">
        <f>C10</f>
        <v>14</v>
      </c>
      <c r="H10" s="244" t="s">
        <v>1076</v>
      </c>
      <c r="I10" s="253">
        <v>0.4</v>
      </c>
      <c r="J10" s="254">
        <f>Insumos!D16</f>
        <v>0</v>
      </c>
      <c r="K10" s="254">
        <f t="shared" si="0"/>
        <v>0</v>
      </c>
    </row>
    <row r="11" spans="1:11" s="247" customFormat="1" x14ac:dyDescent="0.25">
      <c r="A11" s="394"/>
      <c r="B11" s="386"/>
      <c r="C11" s="382"/>
      <c r="D11" s="382"/>
      <c r="E11" s="382"/>
      <c r="F11" s="382"/>
      <c r="G11" s="382"/>
      <c r="H11" s="382"/>
      <c r="I11" s="382"/>
      <c r="J11" s="399" t="s">
        <v>1064</v>
      </c>
      <c r="K11" s="407">
        <f>SUM(K6:K9)</f>
        <v>0</v>
      </c>
    </row>
    <row r="12" spans="1:11" x14ac:dyDescent="0.25">
      <c r="A12" s="146" t="s">
        <v>1406</v>
      </c>
      <c r="B12" s="179" t="s">
        <v>1219</v>
      </c>
      <c r="C12" s="388"/>
      <c r="D12" s="388"/>
      <c r="E12" s="388"/>
      <c r="F12" s="388"/>
      <c r="G12" s="148"/>
      <c r="H12" s="148"/>
      <c r="I12" s="148"/>
      <c r="J12" s="148"/>
      <c r="K12" s="188"/>
    </row>
    <row r="13" spans="1:11" x14ac:dyDescent="0.25">
      <c r="A13" s="611" t="s">
        <v>1196</v>
      </c>
      <c r="B13" s="612" t="s">
        <v>1067</v>
      </c>
      <c r="C13" s="643" t="s">
        <v>1197</v>
      </c>
      <c r="D13" s="643"/>
      <c r="E13" s="643"/>
      <c r="F13" s="643"/>
      <c r="G13" s="619" t="s">
        <v>14</v>
      </c>
      <c r="H13" s="610" t="s">
        <v>1068</v>
      </c>
      <c r="I13" s="608" t="s">
        <v>35</v>
      </c>
      <c r="J13" s="610" t="s">
        <v>1069</v>
      </c>
      <c r="K13" s="610" t="s">
        <v>16</v>
      </c>
    </row>
    <row r="14" spans="1:11" x14ac:dyDescent="0.25">
      <c r="A14" s="611"/>
      <c r="B14" s="612"/>
      <c r="C14" s="384"/>
      <c r="D14" s="384"/>
      <c r="E14" s="384"/>
      <c r="F14" s="384"/>
      <c r="G14" s="620"/>
      <c r="H14" s="610"/>
      <c r="I14" s="609"/>
      <c r="J14" s="610"/>
      <c r="K14" s="610"/>
    </row>
    <row r="15" spans="1:11" x14ac:dyDescent="0.25">
      <c r="A15" s="124" t="s">
        <v>1207</v>
      </c>
      <c r="B15" s="6" t="s">
        <v>1147</v>
      </c>
      <c r="C15" s="243"/>
      <c r="D15" s="243"/>
      <c r="E15" s="243"/>
      <c r="F15" s="243"/>
      <c r="G15" s="143">
        <v>2</v>
      </c>
      <c r="H15" s="140" t="s">
        <v>1140</v>
      </c>
      <c r="I15" s="150">
        <f>G15/SUM($G$15:$G$19)</f>
        <v>3.4482758620689655E-2</v>
      </c>
      <c r="J15" s="167">
        <f>Insumos!D49</f>
        <v>0</v>
      </c>
      <c r="K15" s="167">
        <f>TRUNC(G15*I15*J15,2)</f>
        <v>0</v>
      </c>
    </row>
    <row r="16" spans="1:11" x14ac:dyDescent="0.25">
      <c r="A16" s="124" t="s">
        <v>1208</v>
      </c>
      <c r="B16" s="6" t="s">
        <v>1148</v>
      </c>
      <c r="C16" s="243"/>
      <c r="D16" s="243"/>
      <c r="E16" s="243"/>
      <c r="F16" s="243"/>
      <c r="G16" s="143">
        <v>2</v>
      </c>
      <c r="H16" s="140" t="s">
        <v>1140</v>
      </c>
      <c r="I16" s="150">
        <f t="shared" ref="I16:I19" si="1">G16/SUM($G$15:$G$19)</f>
        <v>3.4482758620689655E-2</v>
      </c>
      <c r="J16" s="167">
        <f>Insumos!D50</f>
        <v>0</v>
      </c>
      <c r="K16" s="167">
        <f>TRUNC(G16*I16*J16,2)</f>
        <v>0</v>
      </c>
    </row>
    <row r="17" spans="1:11" x14ac:dyDescent="0.25">
      <c r="A17" s="124" t="s">
        <v>1209</v>
      </c>
      <c r="B17" s="6" t="s">
        <v>1149</v>
      </c>
      <c r="C17" s="243"/>
      <c r="D17" s="243"/>
      <c r="E17" s="243"/>
      <c r="F17" s="243"/>
      <c r="G17" s="143">
        <v>4</v>
      </c>
      <c r="H17" s="140" t="s">
        <v>1140</v>
      </c>
      <c r="I17" s="150">
        <f t="shared" si="1"/>
        <v>6.8965517241379309E-2</v>
      </c>
      <c r="J17" s="167">
        <f>Insumos!D51</f>
        <v>0</v>
      </c>
      <c r="K17" s="167">
        <f>TRUNC(G17*I17*J17,2)</f>
        <v>0</v>
      </c>
    </row>
    <row r="18" spans="1:11" x14ac:dyDescent="0.25">
      <c r="A18" s="124" t="s">
        <v>1210</v>
      </c>
      <c r="B18" s="6" t="s">
        <v>1150</v>
      </c>
      <c r="C18" s="243"/>
      <c r="D18" s="243"/>
      <c r="E18" s="243"/>
      <c r="F18" s="243"/>
      <c r="G18" s="143">
        <v>40</v>
      </c>
      <c r="H18" s="140" t="s">
        <v>1151</v>
      </c>
      <c r="I18" s="150">
        <f t="shared" si="1"/>
        <v>0.68965517241379315</v>
      </c>
      <c r="J18" s="167">
        <f>Insumos!D52</f>
        <v>0</v>
      </c>
      <c r="K18" s="167">
        <f>TRUNC(G18*I18*J18,2)</f>
        <v>0</v>
      </c>
    </row>
    <row r="19" spans="1:11" x14ac:dyDescent="0.25">
      <c r="A19" s="124" t="s">
        <v>1211</v>
      </c>
      <c r="B19" s="6" t="s">
        <v>1248</v>
      </c>
      <c r="C19" s="243"/>
      <c r="D19" s="243"/>
      <c r="E19" s="243"/>
      <c r="F19" s="243"/>
      <c r="G19" s="143">
        <v>10</v>
      </c>
      <c r="H19" s="140" t="s">
        <v>1154</v>
      </c>
      <c r="I19" s="150">
        <f t="shared" si="1"/>
        <v>0.17241379310344829</v>
      </c>
      <c r="J19" s="167">
        <f>Insumos!D54</f>
        <v>0</v>
      </c>
      <c r="K19" s="167">
        <f>TRUNC(G19*I19*J19,2)</f>
        <v>0</v>
      </c>
    </row>
    <row r="20" spans="1:11" x14ac:dyDescent="0.25">
      <c r="A20" s="152"/>
      <c r="B20" s="159"/>
      <c r="C20" s="382"/>
      <c r="D20" s="382"/>
      <c r="E20" s="382"/>
      <c r="F20" s="382"/>
      <c r="G20" s="154"/>
      <c r="H20" s="157"/>
      <c r="I20" s="157"/>
      <c r="J20" s="192" t="s">
        <v>1064</v>
      </c>
      <c r="K20" s="193">
        <f>SUM(K15:K19)</f>
        <v>0</v>
      </c>
    </row>
    <row r="21" spans="1:11" x14ac:dyDescent="0.25">
      <c r="A21" s="146" t="s">
        <v>1407</v>
      </c>
      <c r="B21" s="179" t="s">
        <v>1155</v>
      </c>
      <c r="C21" s="383"/>
      <c r="D21" s="383"/>
      <c r="E21" s="383"/>
      <c r="F21" s="383"/>
      <c r="G21" s="148"/>
      <c r="H21" s="148"/>
      <c r="I21" s="148"/>
      <c r="J21" s="148"/>
      <c r="K21" s="188"/>
    </row>
    <row r="22" spans="1:11" x14ac:dyDescent="0.25">
      <c r="A22" s="611" t="s">
        <v>1196</v>
      </c>
      <c r="B22" s="612" t="s">
        <v>1067</v>
      </c>
      <c r="C22" s="637" t="s">
        <v>1197</v>
      </c>
      <c r="D22" s="638"/>
      <c r="E22" s="638"/>
      <c r="F22" s="639"/>
      <c r="G22" s="619" t="s">
        <v>14</v>
      </c>
      <c r="H22" s="610" t="s">
        <v>1068</v>
      </c>
      <c r="I22" s="608" t="s">
        <v>35</v>
      </c>
      <c r="J22" s="610" t="s">
        <v>1249</v>
      </c>
      <c r="K22" s="610" t="s">
        <v>16</v>
      </c>
    </row>
    <row r="23" spans="1:11" x14ac:dyDescent="0.25">
      <c r="A23" s="611"/>
      <c r="B23" s="612"/>
      <c r="C23" s="640"/>
      <c r="D23" s="641"/>
      <c r="E23" s="641"/>
      <c r="F23" s="642"/>
      <c r="G23" s="620"/>
      <c r="H23" s="610"/>
      <c r="I23" s="609"/>
      <c r="J23" s="610"/>
      <c r="K23" s="610"/>
    </row>
    <row r="24" spans="1:11" x14ac:dyDescent="0.25">
      <c r="A24" s="124" t="s">
        <v>1212</v>
      </c>
      <c r="B24" s="104" t="s">
        <v>1156</v>
      </c>
      <c r="C24" s="313"/>
      <c r="D24" s="313"/>
      <c r="E24" s="313"/>
      <c r="F24" s="313"/>
      <c r="G24" s="143">
        <f>G9/30</f>
        <v>4.12</v>
      </c>
      <c r="H24" s="140" t="s">
        <v>1228</v>
      </c>
      <c r="I24" s="150">
        <f>G24/SUM($G$24:$G$34)</f>
        <v>2.1245290283545555E-2</v>
      </c>
      <c r="J24" s="167">
        <f>Insumos!D58</f>
        <v>0</v>
      </c>
      <c r="K24" s="167">
        <f t="shared" ref="K24:K34" si="2">TRUNC(G24*I24*J24,2)</f>
        <v>0</v>
      </c>
    </row>
    <row r="25" spans="1:11" x14ac:dyDescent="0.25">
      <c r="A25" s="124" t="s">
        <v>1213</v>
      </c>
      <c r="B25" s="104" t="s">
        <v>1171</v>
      </c>
      <c r="C25" s="143"/>
      <c r="D25" s="143"/>
      <c r="E25" s="143"/>
      <c r="F25" s="143"/>
      <c r="G25" s="143">
        <f>F7</f>
        <v>123.6</v>
      </c>
      <c r="H25" s="140" t="s">
        <v>1089</v>
      </c>
      <c r="I25" s="150">
        <f t="shared" ref="I25:I34" si="3">G25/SUM($G$24:$G$34)</f>
        <v>0.63735870850636656</v>
      </c>
      <c r="J25" s="167">
        <f>Insumos!D69</f>
        <v>0</v>
      </c>
      <c r="K25" s="167">
        <f t="shared" si="2"/>
        <v>0</v>
      </c>
    </row>
    <row r="26" spans="1:11" x14ac:dyDescent="0.25">
      <c r="A26" s="124" t="s">
        <v>1214</v>
      </c>
      <c r="B26" s="104" t="s">
        <v>1158</v>
      </c>
      <c r="C26" s="143"/>
      <c r="D26" s="143"/>
      <c r="E26" s="143"/>
      <c r="F26" s="143"/>
      <c r="G26" s="143">
        <f>G25*0.2/3.6</f>
        <v>6.8666666666666663</v>
      </c>
      <c r="H26" s="140" t="s">
        <v>1159</v>
      </c>
      <c r="I26" s="150">
        <f t="shared" si="3"/>
        <v>3.5408817139242592E-2</v>
      </c>
      <c r="J26" s="167">
        <f>Insumos!D60</f>
        <v>0</v>
      </c>
      <c r="K26" s="167">
        <f t="shared" si="2"/>
        <v>0</v>
      </c>
    </row>
    <row r="27" spans="1:11" x14ac:dyDescent="0.25">
      <c r="A27" s="124" t="s">
        <v>1215</v>
      </c>
      <c r="B27" s="104" t="s">
        <v>1160</v>
      </c>
      <c r="C27" s="143"/>
      <c r="D27" s="143"/>
      <c r="E27" s="143"/>
      <c r="F27" s="143"/>
      <c r="G27" s="143">
        <f>G26</f>
        <v>6.8666666666666663</v>
      </c>
      <c r="H27" s="140" t="s">
        <v>1159</v>
      </c>
      <c r="I27" s="150">
        <f t="shared" si="3"/>
        <v>3.5408817139242592E-2</v>
      </c>
      <c r="J27" s="167">
        <f>Insumos!D61</f>
        <v>0</v>
      </c>
      <c r="K27" s="167">
        <f t="shared" si="2"/>
        <v>0</v>
      </c>
    </row>
    <row r="28" spans="1:11" x14ac:dyDescent="0.25">
      <c r="A28" s="124" t="s">
        <v>1216</v>
      </c>
      <c r="B28" s="104" t="s">
        <v>1161</v>
      </c>
      <c r="C28" s="143"/>
      <c r="D28" s="143"/>
      <c r="E28" s="143"/>
      <c r="F28" s="143"/>
      <c r="G28" s="143">
        <f>G25*0.02</f>
        <v>2.472</v>
      </c>
      <c r="H28" s="140" t="s">
        <v>1162</v>
      </c>
      <c r="I28" s="150">
        <f t="shared" si="3"/>
        <v>1.2747174170127332E-2</v>
      </c>
      <c r="J28" s="167">
        <f>Insumos!D62</f>
        <v>0</v>
      </c>
      <c r="K28" s="167">
        <f t="shared" si="2"/>
        <v>0</v>
      </c>
    </row>
    <row r="29" spans="1:11" x14ac:dyDescent="0.25">
      <c r="A29" s="124" t="s">
        <v>1217</v>
      </c>
      <c r="B29" s="104" t="s">
        <v>1163</v>
      </c>
      <c r="C29" s="143"/>
      <c r="D29" s="143"/>
      <c r="E29" s="143"/>
      <c r="F29" s="143"/>
      <c r="G29" s="143">
        <v>8</v>
      </c>
      <c r="H29" s="140" t="s">
        <v>1068</v>
      </c>
      <c r="I29" s="150">
        <f t="shared" si="3"/>
        <v>4.1252990841836028E-2</v>
      </c>
      <c r="J29" s="167">
        <f>Insumos!D63</f>
        <v>0</v>
      </c>
      <c r="K29" s="167">
        <f t="shared" si="2"/>
        <v>0</v>
      </c>
    </row>
    <row r="30" spans="1:11" x14ac:dyDescent="0.25">
      <c r="A30" s="124" t="s">
        <v>1220</v>
      </c>
      <c r="B30" s="104" t="s">
        <v>1164</v>
      </c>
      <c r="C30" s="143"/>
      <c r="D30" s="143"/>
      <c r="E30" s="143"/>
      <c r="F30" s="143"/>
      <c r="G30" s="143">
        <v>8</v>
      </c>
      <c r="H30" s="140" t="s">
        <v>1068</v>
      </c>
      <c r="I30" s="150">
        <f t="shared" si="3"/>
        <v>4.1252990841836028E-2</v>
      </c>
      <c r="J30" s="167">
        <f>Insumos!D64</f>
        <v>0</v>
      </c>
      <c r="K30" s="167">
        <f t="shared" si="2"/>
        <v>0</v>
      </c>
    </row>
    <row r="31" spans="1:11" x14ac:dyDescent="0.25">
      <c r="A31" s="124" t="s">
        <v>1222</v>
      </c>
      <c r="B31" s="104" t="s">
        <v>1165</v>
      </c>
      <c r="C31" s="143"/>
      <c r="D31" s="143"/>
      <c r="E31" s="143"/>
      <c r="F31" s="143"/>
      <c r="G31" s="143">
        <v>8</v>
      </c>
      <c r="H31" s="140" t="s">
        <v>1068</v>
      </c>
      <c r="I31" s="150">
        <f t="shared" si="3"/>
        <v>4.1252990841836028E-2</v>
      </c>
      <c r="J31" s="167">
        <f>Insumos!D65</f>
        <v>0</v>
      </c>
      <c r="K31" s="167">
        <f t="shared" si="2"/>
        <v>0</v>
      </c>
    </row>
    <row r="32" spans="1:11" x14ac:dyDescent="0.25">
      <c r="A32" s="124" t="s">
        <v>1223</v>
      </c>
      <c r="B32" s="104" t="s">
        <v>1166</v>
      </c>
      <c r="C32" s="143"/>
      <c r="D32" s="143"/>
      <c r="E32" s="143"/>
      <c r="F32" s="143"/>
      <c r="G32" s="143">
        <v>8</v>
      </c>
      <c r="H32" s="140" t="s">
        <v>1096</v>
      </c>
      <c r="I32" s="150">
        <f t="shared" si="3"/>
        <v>4.1252990841836028E-2</v>
      </c>
      <c r="J32" s="167">
        <f>Insumos!D66</f>
        <v>0</v>
      </c>
      <c r="K32" s="167">
        <f t="shared" si="2"/>
        <v>0</v>
      </c>
    </row>
    <row r="33" spans="1:11" x14ac:dyDescent="0.25">
      <c r="A33" s="124" t="s">
        <v>1224</v>
      </c>
      <c r="B33" s="104" t="s">
        <v>1167</v>
      </c>
      <c r="C33" s="143"/>
      <c r="D33" s="143"/>
      <c r="E33" s="143"/>
      <c r="F33" s="143"/>
      <c r="G33" s="143">
        <v>8</v>
      </c>
      <c r="H33" s="140" t="s">
        <v>1168</v>
      </c>
      <c r="I33" s="150">
        <f t="shared" si="3"/>
        <v>4.1252990841836028E-2</v>
      </c>
      <c r="J33" s="167">
        <f>Insumos!D67</f>
        <v>0</v>
      </c>
      <c r="K33" s="167">
        <f t="shared" si="2"/>
        <v>0</v>
      </c>
    </row>
    <row r="34" spans="1:11" x14ac:dyDescent="0.25">
      <c r="A34" s="124" t="s">
        <v>1225</v>
      </c>
      <c r="B34" s="104" t="s">
        <v>1169</v>
      </c>
      <c r="C34" s="143"/>
      <c r="D34" s="143"/>
      <c r="E34" s="143"/>
      <c r="F34" s="143"/>
      <c r="G34" s="143">
        <v>10</v>
      </c>
      <c r="H34" s="140" t="s">
        <v>1170</v>
      </c>
      <c r="I34" s="150">
        <f t="shared" si="3"/>
        <v>5.1566238552295036E-2</v>
      </c>
      <c r="J34" s="167">
        <f>Insumos!D68</f>
        <v>0</v>
      </c>
      <c r="K34" s="167">
        <f t="shared" si="2"/>
        <v>0</v>
      </c>
    </row>
    <row r="35" spans="1:11" x14ac:dyDescent="0.25">
      <c r="A35" s="152"/>
      <c r="B35" s="159"/>
      <c r="C35" s="159"/>
      <c r="D35" s="159"/>
      <c r="E35" s="159"/>
      <c r="F35" s="159"/>
      <c r="G35" s="159"/>
      <c r="H35" s="159"/>
      <c r="I35" s="159"/>
      <c r="J35" s="170" t="s">
        <v>1064</v>
      </c>
      <c r="K35" s="175">
        <f>SUM(K24:K34)</f>
        <v>0</v>
      </c>
    </row>
    <row r="36" spans="1:11" x14ac:dyDescent="0.25">
      <c r="A36" s="146" t="s">
        <v>1408</v>
      </c>
      <c r="B36" s="179" t="s">
        <v>1176</v>
      </c>
      <c r="C36" s="148"/>
      <c r="D36" s="148"/>
      <c r="E36" s="148"/>
      <c r="F36" s="148"/>
      <c r="G36" s="148"/>
      <c r="H36" s="148"/>
      <c r="I36" s="148"/>
      <c r="J36" s="148"/>
      <c r="K36" s="188"/>
    </row>
    <row r="37" spans="1:11" x14ac:dyDescent="0.25">
      <c r="A37" s="611" t="s">
        <v>1196</v>
      </c>
      <c r="B37" s="612" t="s">
        <v>1067</v>
      </c>
      <c r="C37" s="613" t="s">
        <v>1197</v>
      </c>
      <c r="D37" s="614"/>
      <c r="E37" s="614"/>
      <c r="F37" s="615"/>
      <c r="G37" s="619" t="s">
        <v>14</v>
      </c>
      <c r="H37" s="610" t="s">
        <v>1068</v>
      </c>
      <c r="I37" s="608" t="s">
        <v>35</v>
      </c>
      <c r="J37" s="610" t="s">
        <v>1249</v>
      </c>
      <c r="K37" s="610" t="s">
        <v>16</v>
      </c>
    </row>
    <row r="38" spans="1:11" x14ac:dyDescent="0.25">
      <c r="A38" s="611"/>
      <c r="B38" s="612"/>
      <c r="C38" s="616"/>
      <c r="D38" s="617"/>
      <c r="E38" s="617"/>
      <c r="F38" s="618"/>
      <c r="G38" s="620"/>
      <c r="H38" s="610"/>
      <c r="I38" s="609"/>
      <c r="J38" s="610"/>
      <c r="K38" s="610"/>
    </row>
    <row r="39" spans="1:11" x14ac:dyDescent="0.25">
      <c r="A39" s="124" t="s">
        <v>1226</v>
      </c>
      <c r="B39" s="6" t="s">
        <v>1242</v>
      </c>
      <c r="C39" s="605"/>
      <c r="D39" s="606"/>
      <c r="E39" s="606"/>
      <c r="F39" s="607"/>
      <c r="G39" s="143">
        <v>4</v>
      </c>
      <c r="H39" s="140" t="s">
        <v>1140</v>
      </c>
      <c r="I39" s="150">
        <v>2</v>
      </c>
      <c r="J39" s="167">
        <f>Insumos!D75</f>
        <v>0</v>
      </c>
      <c r="K39" s="167">
        <f>TRUNC(G39*I39*J39,2)</f>
        <v>0</v>
      </c>
    </row>
    <row r="40" spans="1:11" x14ac:dyDescent="0.25">
      <c r="A40" s="152"/>
      <c r="B40" s="159"/>
      <c r="C40" s="159"/>
      <c r="D40" s="159"/>
      <c r="E40" s="159"/>
      <c r="F40" s="159"/>
      <c r="G40" s="159"/>
      <c r="H40" s="159"/>
      <c r="I40" s="159"/>
      <c r="J40" s="170" t="s">
        <v>1064</v>
      </c>
      <c r="K40" s="175">
        <f>SUM(K39)</f>
        <v>0</v>
      </c>
    </row>
    <row r="41" spans="1:11" x14ac:dyDescent="0.25">
      <c r="A41" s="146" t="s">
        <v>1409</v>
      </c>
      <c r="B41" s="179" t="s">
        <v>1178</v>
      </c>
      <c r="C41" s="148"/>
      <c r="D41" s="148"/>
      <c r="E41" s="148"/>
      <c r="F41" s="148"/>
      <c r="G41" s="148"/>
      <c r="H41" s="148"/>
      <c r="I41" s="148"/>
      <c r="J41" s="148"/>
      <c r="K41" s="188"/>
    </row>
    <row r="42" spans="1:11" x14ac:dyDescent="0.25">
      <c r="A42" s="611" t="s">
        <v>1196</v>
      </c>
      <c r="B42" s="612" t="s">
        <v>1067</v>
      </c>
      <c r="C42" s="613" t="s">
        <v>1197</v>
      </c>
      <c r="D42" s="614"/>
      <c r="E42" s="614"/>
      <c r="F42" s="615"/>
      <c r="G42" s="619" t="s">
        <v>14</v>
      </c>
      <c r="H42" s="610" t="s">
        <v>1068</v>
      </c>
      <c r="I42" s="608" t="s">
        <v>35</v>
      </c>
      <c r="J42" s="610" t="s">
        <v>1249</v>
      </c>
      <c r="K42" s="610" t="s">
        <v>16</v>
      </c>
    </row>
    <row r="43" spans="1:11" x14ac:dyDescent="0.25">
      <c r="A43" s="611"/>
      <c r="B43" s="612"/>
      <c r="C43" s="616"/>
      <c r="D43" s="617"/>
      <c r="E43" s="617"/>
      <c r="F43" s="618"/>
      <c r="G43" s="620"/>
      <c r="H43" s="610"/>
      <c r="I43" s="609"/>
      <c r="J43" s="610"/>
      <c r="K43" s="610"/>
    </row>
    <row r="44" spans="1:11" x14ac:dyDescent="0.25">
      <c r="A44" s="124" t="s">
        <v>1227</v>
      </c>
      <c r="B44" s="6" t="s">
        <v>42</v>
      </c>
      <c r="C44" s="605"/>
      <c r="D44" s="606"/>
      <c r="E44" s="606"/>
      <c r="F44" s="607"/>
      <c r="G44" s="143">
        <v>4</v>
      </c>
      <c r="H44" s="140" t="s">
        <v>1140</v>
      </c>
      <c r="I44" s="150">
        <v>2</v>
      </c>
      <c r="J44" s="167">
        <f>Insumos!D78</f>
        <v>0</v>
      </c>
      <c r="K44" s="167">
        <f>TRUNC(G44*I44*J44,2)</f>
        <v>0</v>
      </c>
    </row>
    <row r="45" spans="1:11" x14ac:dyDescent="0.25">
      <c r="A45" s="152"/>
      <c r="B45" s="159"/>
      <c r="C45" s="159"/>
      <c r="D45" s="159"/>
      <c r="E45" s="159"/>
      <c r="F45" s="159"/>
      <c r="G45" s="159"/>
      <c r="H45" s="159"/>
      <c r="I45" s="159"/>
      <c r="J45" s="170" t="s">
        <v>1064</v>
      </c>
      <c r="K45" s="175">
        <f>K44</f>
        <v>0</v>
      </c>
    </row>
    <row r="46" spans="1:11" x14ac:dyDescent="0.25">
      <c r="A46" s="146" t="s">
        <v>1410</v>
      </c>
      <c r="B46" s="179" t="s">
        <v>1180</v>
      </c>
      <c r="C46" s="148"/>
      <c r="D46" s="148"/>
      <c r="E46" s="148"/>
      <c r="F46" s="148"/>
      <c r="G46" s="148"/>
      <c r="H46" s="148"/>
      <c r="I46" s="148"/>
      <c r="J46" s="148"/>
      <c r="K46" s="188"/>
    </row>
    <row r="47" spans="1:11" x14ac:dyDescent="0.25">
      <c r="A47" s="611" t="s">
        <v>1196</v>
      </c>
      <c r="B47" s="612" t="s">
        <v>1067</v>
      </c>
      <c r="C47" s="613" t="s">
        <v>1197</v>
      </c>
      <c r="D47" s="614"/>
      <c r="E47" s="614"/>
      <c r="F47" s="615"/>
      <c r="G47" s="619" t="s">
        <v>14</v>
      </c>
      <c r="H47" s="610" t="s">
        <v>1068</v>
      </c>
      <c r="I47" s="608" t="s">
        <v>35</v>
      </c>
      <c r="J47" s="610" t="s">
        <v>1249</v>
      </c>
      <c r="K47" s="610" t="s">
        <v>16</v>
      </c>
    </row>
    <row r="48" spans="1:11" x14ac:dyDescent="0.25">
      <c r="A48" s="611"/>
      <c r="B48" s="612"/>
      <c r="C48" s="616"/>
      <c r="D48" s="617"/>
      <c r="E48" s="617"/>
      <c r="F48" s="618"/>
      <c r="G48" s="620"/>
      <c r="H48" s="610"/>
      <c r="I48" s="609"/>
      <c r="J48" s="610"/>
      <c r="K48" s="610"/>
    </row>
    <row r="49" spans="1:11" x14ac:dyDescent="0.25">
      <c r="A49" s="124" t="s">
        <v>1229</v>
      </c>
      <c r="B49" s="6" t="s">
        <v>1181</v>
      </c>
      <c r="C49" s="605"/>
      <c r="D49" s="606"/>
      <c r="E49" s="606"/>
      <c r="F49" s="607"/>
      <c r="G49" s="143">
        <v>2</v>
      </c>
      <c r="H49" s="140" t="s">
        <v>1140</v>
      </c>
      <c r="I49" s="150">
        <f>G49/SUM($G$49:$G$51)</f>
        <v>0.33333333333333331</v>
      </c>
      <c r="J49" s="167">
        <f>Insumos!D81</f>
        <v>0</v>
      </c>
      <c r="K49" s="167">
        <f>TRUNC(G49*I49*J49,2)</f>
        <v>0</v>
      </c>
    </row>
    <row r="50" spans="1:11" x14ac:dyDescent="0.25">
      <c r="A50" s="124" t="s">
        <v>1231</v>
      </c>
      <c r="B50" s="6" t="s">
        <v>1182</v>
      </c>
      <c r="C50" s="605"/>
      <c r="D50" s="606"/>
      <c r="E50" s="606"/>
      <c r="F50" s="607"/>
      <c r="G50" s="143">
        <v>2</v>
      </c>
      <c r="H50" s="140" t="s">
        <v>1140</v>
      </c>
      <c r="I50" s="150">
        <f t="shared" ref="I50:I51" si="4">G50/SUM($G$49:$G$51)</f>
        <v>0.33333333333333331</v>
      </c>
      <c r="J50" s="167">
        <f>Insumos!D82</f>
        <v>0</v>
      </c>
      <c r="K50" s="167">
        <f>TRUNC(G50*I50*J50,2)</f>
        <v>0</v>
      </c>
    </row>
    <row r="51" spans="1:11" x14ac:dyDescent="0.25">
      <c r="A51" s="124" t="s">
        <v>1232</v>
      </c>
      <c r="B51" s="6" t="s">
        <v>1183</v>
      </c>
      <c r="C51" s="605"/>
      <c r="D51" s="606"/>
      <c r="E51" s="606"/>
      <c r="F51" s="607"/>
      <c r="G51" s="143">
        <v>2</v>
      </c>
      <c r="H51" s="140" t="s">
        <v>1140</v>
      </c>
      <c r="I51" s="150">
        <f t="shared" si="4"/>
        <v>0.33333333333333331</v>
      </c>
      <c r="J51" s="167">
        <f>Insumos!D83</f>
        <v>0</v>
      </c>
      <c r="K51" s="167">
        <f>TRUNC(G51*I51*J51,2)</f>
        <v>0</v>
      </c>
    </row>
    <row r="52" spans="1:11" x14ac:dyDescent="0.25">
      <c r="A52" s="152"/>
      <c r="B52" s="159"/>
      <c r="C52" s="159"/>
      <c r="D52" s="159"/>
      <c r="E52" s="159"/>
      <c r="F52" s="159"/>
      <c r="G52" s="159"/>
      <c r="H52" s="159"/>
      <c r="I52" s="159"/>
      <c r="J52" s="170" t="s">
        <v>1064</v>
      </c>
      <c r="K52" s="175">
        <f>SUM(K49:K51)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3:J14"/>
    <mergeCell ref="K13:K14"/>
    <mergeCell ref="A22:A23"/>
    <mergeCell ref="B22:B23"/>
    <mergeCell ref="C22:F23"/>
    <mergeCell ref="G22:G23"/>
    <mergeCell ref="H22:H23"/>
    <mergeCell ref="I22:I23"/>
    <mergeCell ref="J22:J23"/>
    <mergeCell ref="K22:K23"/>
    <mergeCell ref="A13:A14"/>
    <mergeCell ref="B13:B14"/>
    <mergeCell ref="C13:F13"/>
    <mergeCell ref="G13:G14"/>
    <mergeCell ref="H13:H14"/>
    <mergeCell ref="I13:I14"/>
    <mergeCell ref="J37:J38"/>
    <mergeCell ref="K37:K38"/>
    <mergeCell ref="C39:F39"/>
    <mergeCell ref="A42:A43"/>
    <mergeCell ref="B42:B43"/>
    <mergeCell ref="C42:F43"/>
    <mergeCell ref="G42:G43"/>
    <mergeCell ref="H42:H43"/>
    <mergeCell ref="I42:I43"/>
    <mergeCell ref="J42:J43"/>
    <mergeCell ref="A37:A38"/>
    <mergeCell ref="B37:B38"/>
    <mergeCell ref="C37:F38"/>
    <mergeCell ref="G37:G38"/>
    <mergeCell ref="H37:H38"/>
    <mergeCell ref="I37:I38"/>
    <mergeCell ref="A47:A48"/>
    <mergeCell ref="B47:B48"/>
    <mergeCell ref="C47:F48"/>
    <mergeCell ref="G47:G48"/>
    <mergeCell ref="H47:H48"/>
    <mergeCell ref="C49:F49"/>
    <mergeCell ref="C50:F50"/>
    <mergeCell ref="C51:F51"/>
    <mergeCell ref="K42:K43"/>
    <mergeCell ref="C44:F44"/>
    <mergeCell ref="I47:I48"/>
    <mergeCell ref="J47:J48"/>
    <mergeCell ref="K47:K48"/>
  </mergeCells>
  <pageMargins left="0.511811024" right="0.511811024" top="0.78740157499999996" bottom="0.78740157499999996" header="0.31496062000000002" footer="0.31496062000000002"/>
  <pageSetup paperSize="9" scale="56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view="pageBreakPreview" topLeftCell="A30" zoomScale="80" zoomScaleNormal="85" zoomScaleSheetLayoutView="80" workbookViewId="0">
      <selection activeCell="B3" sqref="B3:F3"/>
    </sheetView>
  </sheetViews>
  <sheetFormatPr defaultRowHeight="15" x14ac:dyDescent="0.25"/>
  <cols>
    <col min="1" max="1" width="12" customWidth="1"/>
    <col min="2" max="2" width="65.5703125" customWidth="1"/>
    <col min="3" max="4" width="7" bestFit="1" customWidth="1"/>
    <col min="5" max="5" width="6.42578125" bestFit="1" customWidth="1"/>
    <col min="6" max="6" width="8" bestFit="1" customWidth="1"/>
    <col min="7" max="7" width="10.85546875" customWidth="1"/>
    <col min="9" max="9" width="8.5703125" bestFit="1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14</v>
      </c>
      <c r="B2" s="184" t="s">
        <v>1338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1411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1109</v>
      </c>
      <c r="C6" s="243">
        <v>10</v>
      </c>
      <c r="D6" s="243">
        <v>10</v>
      </c>
      <c r="E6" s="243">
        <v>2</v>
      </c>
      <c r="F6" s="243">
        <f>E6*D6*C6</f>
        <v>200</v>
      </c>
      <c r="G6" s="243">
        <f t="shared" ref="G6:G11" si="0">F6</f>
        <v>200</v>
      </c>
      <c r="H6" s="244" t="s">
        <v>1076</v>
      </c>
      <c r="I6" s="253">
        <v>0.29654999999999998</v>
      </c>
      <c r="J6" s="254">
        <f>Insumos!D19</f>
        <v>0</v>
      </c>
      <c r="K6" s="254">
        <f t="shared" ref="K6:K11" si="1">TRUNC(G6*I6*J6,2)</f>
        <v>0</v>
      </c>
    </row>
    <row r="7" spans="1:11" s="247" customFormat="1" x14ac:dyDescent="0.25">
      <c r="A7" s="34" t="s">
        <v>1203</v>
      </c>
      <c r="B7" s="251" t="s">
        <v>1251</v>
      </c>
      <c r="C7" s="243">
        <v>10</v>
      </c>
      <c r="D7" s="243">
        <v>10</v>
      </c>
      <c r="E7" s="243">
        <v>2</v>
      </c>
      <c r="F7" s="243">
        <f>E7*D7*C7</f>
        <v>200</v>
      </c>
      <c r="G7" s="243">
        <f t="shared" si="0"/>
        <v>200</v>
      </c>
      <c r="H7" s="244" t="s">
        <v>1076</v>
      </c>
      <c r="I7" s="253">
        <v>0.29654999999999998</v>
      </c>
      <c r="J7" s="254">
        <f>Insumos!D6</f>
        <v>0</v>
      </c>
      <c r="K7" s="254">
        <f t="shared" si="1"/>
        <v>0</v>
      </c>
    </row>
    <row r="8" spans="1:11" s="247" customFormat="1" x14ac:dyDescent="0.25">
      <c r="A8" s="34" t="s">
        <v>1204</v>
      </c>
      <c r="B8" s="251" t="s">
        <v>1085</v>
      </c>
      <c r="C8" s="243">
        <v>10</v>
      </c>
      <c r="D8" s="243">
        <v>10</v>
      </c>
      <c r="E8" s="243">
        <v>2</v>
      </c>
      <c r="F8" s="243">
        <f>E8*D8*C8</f>
        <v>200</v>
      </c>
      <c r="G8" s="243">
        <f t="shared" si="0"/>
        <v>200</v>
      </c>
      <c r="H8" s="244" t="s">
        <v>1076</v>
      </c>
      <c r="I8" s="253">
        <v>0.29654999999999998</v>
      </c>
      <c r="J8" s="254">
        <f>Insumos!D7</f>
        <v>0</v>
      </c>
      <c r="K8" s="254">
        <f>TRUNC(G8*I8*J8,2)</f>
        <v>0</v>
      </c>
    </row>
    <row r="9" spans="1:11" s="247" customFormat="1" x14ac:dyDescent="0.25">
      <c r="A9" s="34" t="s">
        <v>1205</v>
      </c>
      <c r="B9" s="251" t="s">
        <v>1118</v>
      </c>
      <c r="C9" s="243">
        <v>5</v>
      </c>
      <c r="D9" s="243">
        <v>5</v>
      </c>
      <c r="E9" s="243"/>
      <c r="F9" s="243">
        <f>C9*D9</f>
        <v>25</v>
      </c>
      <c r="G9" s="243">
        <f t="shared" si="0"/>
        <v>25</v>
      </c>
      <c r="H9" s="244" t="s">
        <v>1076</v>
      </c>
      <c r="I9" s="253">
        <v>0.29654999999999998</v>
      </c>
      <c r="J9" s="254">
        <f>Insumos!D21</f>
        <v>0</v>
      </c>
      <c r="K9" s="254">
        <f>TRUNC(G9*I9*J9,2)</f>
        <v>0</v>
      </c>
    </row>
    <row r="10" spans="1:11" s="247" customFormat="1" x14ac:dyDescent="0.25">
      <c r="A10" s="34" t="s">
        <v>1206</v>
      </c>
      <c r="B10" s="251" t="s">
        <v>1085</v>
      </c>
      <c r="C10" s="243">
        <v>4</v>
      </c>
      <c r="D10" s="243">
        <v>4</v>
      </c>
      <c r="E10" s="243"/>
      <c r="F10" s="243">
        <f>C10*D10</f>
        <v>16</v>
      </c>
      <c r="G10" s="243">
        <f t="shared" si="0"/>
        <v>16</v>
      </c>
      <c r="H10" s="244" t="s">
        <v>1076</v>
      </c>
      <c r="I10" s="253">
        <v>0.29654999999999998</v>
      </c>
      <c r="J10" s="254">
        <f>Insumos!D7</f>
        <v>0</v>
      </c>
      <c r="K10" s="254">
        <f t="shared" ref="K10" si="2">TRUNC(G10*I10*J10,2)</f>
        <v>0</v>
      </c>
    </row>
    <row r="11" spans="1:11" s="247" customFormat="1" ht="30" x14ac:dyDescent="0.25">
      <c r="A11" s="34" t="s">
        <v>1207</v>
      </c>
      <c r="B11" s="255" t="s">
        <v>1126</v>
      </c>
      <c r="C11" s="243"/>
      <c r="D11" s="243"/>
      <c r="E11" s="243"/>
      <c r="F11" s="243">
        <f>F8+F10</f>
        <v>216</v>
      </c>
      <c r="G11" s="243">
        <f t="shared" si="0"/>
        <v>216</v>
      </c>
      <c r="H11" s="244" t="s">
        <v>1076</v>
      </c>
      <c r="I11" s="253">
        <v>0.29654900000000001</v>
      </c>
      <c r="J11" s="254">
        <f>Insumos!D27</f>
        <v>0</v>
      </c>
      <c r="K11" s="254">
        <f t="shared" si="1"/>
        <v>0</v>
      </c>
    </row>
    <row r="12" spans="1:11" x14ac:dyDescent="0.25">
      <c r="A12" s="152"/>
      <c r="B12" s="159"/>
      <c r="C12" s="387"/>
      <c r="D12" s="387"/>
      <c r="E12" s="387"/>
      <c r="F12" s="387"/>
      <c r="G12" s="154"/>
      <c r="H12" s="154"/>
      <c r="I12" s="154"/>
      <c r="J12" s="191" t="s">
        <v>1064</v>
      </c>
      <c r="K12" s="190">
        <f>SUM(K6:K11)</f>
        <v>0</v>
      </c>
    </row>
    <row r="13" spans="1:11" x14ac:dyDescent="0.25">
      <c r="A13" s="146" t="s">
        <v>1412</v>
      </c>
      <c r="B13" s="179" t="s">
        <v>1219</v>
      </c>
      <c r="C13" s="388"/>
      <c r="D13" s="388"/>
      <c r="E13" s="388"/>
      <c r="F13" s="388"/>
      <c r="G13" s="148"/>
      <c r="H13" s="148"/>
      <c r="I13" s="148"/>
      <c r="J13" s="148"/>
      <c r="K13" s="188"/>
    </row>
    <row r="14" spans="1:11" x14ac:dyDescent="0.25">
      <c r="A14" s="611" t="s">
        <v>1196</v>
      </c>
      <c r="B14" s="612" t="s">
        <v>1067</v>
      </c>
      <c r="C14" s="643" t="s">
        <v>1197</v>
      </c>
      <c r="D14" s="643"/>
      <c r="E14" s="643"/>
      <c r="F14" s="643"/>
      <c r="G14" s="619" t="s">
        <v>14</v>
      </c>
      <c r="H14" s="610" t="s">
        <v>1068</v>
      </c>
      <c r="I14" s="608" t="s">
        <v>35</v>
      </c>
      <c r="J14" s="610" t="s">
        <v>1069</v>
      </c>
      <c r="K14" s="610" t="s">
        <v>16</v>
      </c>
    </row>
    <row r="15" spans="1:11" x14ac:dyDescent="0.25">
      <c r="A15" s="611"/>
      <c r="B15" s="612"/>
      <c r="C15" s="389"/>
      <c r="D15" s="389"/>
      <c r="E15" s="389"/>
      <c r="F15" s="389"/>
      <c r="G15" s="620"/>
      <c r="H15" s="610"/>
      <c r="I15" s="609"/>
      <c r="J15" s="610"/>
      <c r="K15" s="610"/>
    </row>
    <row r="16" spans="1:11" x14ac:dyDescent="0.25">
      <c r="A16" s="124" t="s">
        <v>1208</v>
      </c>
      <c r="B16" s="6" t="s">
        <v>1147</v>
      </c>
      <c r="C16" s="313"/>
      <c r="D16" s="313"/>
      <c r="E16" s="313"/>
      <c r="F16" s="313"/>
      <c r="G16" s="143">
        <v>2</v>
      </c>
      <c r="H16" s="140" t="s">
        <v>1140</v>
      </c>
      <c r="I16" s="150">
        <f>G16/SUM($G$16:$G$20)</f>
        <v>0.1111111111111111</v>
      </c>
      <c r="J16" s="167">
        <f>Insumos!D49</f>
        <v>0</v>
      </c>
      <c r="K16" s="167">
        <f>TRUNC(G16*I16*J16,2)</f>
        <v>0</v>
      </c>
    </row>
    <row r="17" spans="1:11" x14ac:dyDescent="0.25">
      <c r="A17" s="124" t="s">
        <v>1209</v>
      </c>
      <c r="B17" s="6" t="s">
        <v>1148</v>
      </c>
      <c r="C17" s="313"/>
      <c r="D17" s="313"/>
      <c r="E17" s="313"/>
      <c r="F17" s="313"/>
      <c r="G17" s="143">
        <v>2</v>
      </c>
      <c r="H17" s="140" t="s">
        <v>1140</v>
      </c>
      <c r="I17" s="150">
        <f t="shared" ref="I17:I20" si="3">G17/SUM($G$16:$G$20)</f>
        <v>0.1111111111111111</v>
      </c>
      <c r="J17" s="167">
        <f>Insumos!D50</f>
        <v>0</v>
      </c>
      <c r="K17" s="167">
        <f>TRUNC(G17*I17*J17,2)</f>
        <v>0</v>
      </c>
    </row>
    <row r="18" spans="1:11" x14ac:dyDescent="0.25">
      <c r="A18" s="124" t="s">
        <v>1210</v>
      </c>
      <c r="B18" s="6" t="s">
        <v>1149</v>
      </c>
      <c r="C18" s="313"/>
      <c r="D18" s="313"/>
      <c r="E18" s="313"/>
      <c r="F18" s="313"/>
      <c r="G18" s="143">
        <v>2</v>
      </c>
      <c r="H18" s="140" t="s">
        <v>1140</v>
      </c>
      <c r="I18" s="150">
        <f t="shared" si="3"/>
        <v>0.1111111111111111</v>
      </c>
      <c r="J18" s="167">
        <f>Insumos!D51</f>
        <v>0</v>
      </c>
      <c r="K18" s="167">
        <f>TRUNC(G18*I18*J18,2)</f>
        <v>0</v>
      </c>
    </row>
    <row r="19" spans="1:11" x14ac:dyDescent="0.25">
      <c r="A19" s="124" t="s">
        <v>1211</v>
      </c>
      <c r="B19" s="6" t="s">
        <v>1150</v>
      </c>
      <c r="C19" s="313"/>
      <c r="D19" s="313"/>
      <c r="E19" s="313"/>
      <c r="F19" s="313"/>
      <c r="G19" s="143">
        <v>8</v>
      </c>
      <c r="H19" s="140" t="s">
        <v>1151</v>
      </c>
      <c r="I19" s="150">
        <f t="shared" si="3"/>
        <v>0.44444444444444442</v>
      </c>
      <c r="J19" s="167">
        <f>Insumos!D52</f>
        <v>0</v>
      </c>
      <c r="K19" s="167">
        <f>TRUNC(G19*I19*J19,2)</f>
        <v>0</v>
      </c>
    </row>
    <row r="20" spans="1:11" x14ac:dyDescent="0.25">
      <c r="A20" s="124" t="s">
        <v>1212</v>
      </c>
      <c r="B20" s="6" t="s">
        <v>1248</v>
      </c>
      <c r="C20" s="313"/>
      <c r="D20" s="313"/>
      <c r="E20" s="313"/>
      <c r="F20" s="313"/>
      <c r="G20" s="143">
        <v>4</v>
      </c>
      <c r="H20" s="140" t="s">
        <v>1154</v>
      </c>
      <c r="I20" s="150">
        <f t="shared" si="3"/>
        <v>0.22222222222222221</v>
      </c>
      <c r="J20" s="167">
        <f>Insumos!D54</f>
        <v>0</v>
      </c>
      <c r="K20" s="167">
        <f>TRUNC(G20*I20*J20,2)</f>
        <v>0</v>
      </c>
    </row>
    <row r="21" spans="1:11" x14ac:dyDescent="0.25">
      <c r="A21" s="152"/>
      <c r="B21" s="159"/>
      <c r="C21" s="387"/>
      <c r="D21" s="387"/>
      <c r="E21" s="387"/>
      <c r="F21" s="387"/>
      <c r="G21" s="154"/>
      <c r="H21" s="157"/>
      <c r="I21" s="157"/>
      <c r="J21" s="192" t="s">
        <v>1064</v>
      </c>
      <c r="K21" s="193">
        <f>SUM(K16:K20)</f>
        <v>0</v>
      </c>
    </row>
    <row r="22" spans="1:11" x14ac:dyDescent="0.25">
      <c r="A22" s="146" t="s">
        <v>1413</v>
      </c>
      <c r="B22" s="179" t="s">
        <v>1155</v>
      </c>
      <c r="C22" s="388"/>
      <c r="D22" s="388"/>
      <c r="E22" s="388"/>
      <c r="F22" s="388"/>
      <c r="G22" s="148"/>
      <c r="H22" s="148"/>
      <c r="I22" s="148"/>
      <c r="J22" s="148"/>
      <c r="K22" s="188"/>
    </row>
    <row r="23" spans="1:11" x14ac:dyDescent="0.25">
      <c r="A23" s="611" t="s">
        <v>1196</v>
      </c>
      <c r="B23" s="612" t="s">
        <v>1067</v>
      </c>
      <c r="C23" s="613" t="s">
        <v>1197</v>
      </c>
      <c r="D23" s="614"/>
      <c r="E23" s="614"/>
      <c r="F23" s="615"/>
      <c r="G23" s="619" t="s">
        <v>14</v>
      </c>
      <c r="H23" s="610" t="s">
        <v>1068</v>
      </c>
      <c r="I23" s="608" t="s">
        <v>35</v>
      </c>
      <c r="J23" s="610" t="s">
        <v>1249</v>
      </c>
      <c r="K23" s="610" t="s">
        <v>16</v>
      </c>
    </row>
    <row r="24" spans="1:11" x14ac:dyDescent="0.25">
      <c r="A24" s="611"/>
      <c r="B24" s="612"/>
      <c r="C24" s="616"/>
      <c r="D24" s="617"/>
      <c r="E24" s="617"/>
      <c r="F24" s="618"/>
      <c r="G24" s="620"/>
      <c r="H24" s="610"/>
      <c r="I24" s="609"/>
      <c r="J24" s="610"/>
      <c r="K24" s="610"/>
    </row>
    <row r="25" spans="1:11" x14ac:dyDescent="0.25">
      <c r="A25" s="124" t="s">
        <v>1213</v>
      </c>
      <c r="B25" s="104" t="s">
        <v>1156</v>
      </c>
      <c r="C25" s="143"/>
      <c r="D25" s="143"/>
      <c r="E25" s="143"/>
      <c r="F25" s="143"/>
      <c r="G25" s="143">
        <f>G11/30</f>
        <v>7.2</v>
      </c>
      <c r="H25" s="140" t="s">
        <v>1228</v>
      </c>
      <c r="I25" s="150">
        <f>G25/SUM($G$25:$G$35)</f>
        <v>3.059779015959959E-2</v>
      </c>
      <c r="J25" s="167">
        <f>Insumos!D58</f>
        <v>0</v>
      </c>
      <c r="K25" s="167">
        <f t="shared" ref="K25:K35" si="4">TRUNC(G25*I25*J25,2)</f>
        <v>0</v>
      </c>
    </row>
    <row r="26" spans="1:11" x14ac:dyDescent="0.25">
      <c r="A26" s="124" t="s">
        <v>1214</v>
      </c>
      <c r="B26" s="104" t="s">
        <v>1171</v>
      </c>
      <c r="C26" s="143"/>
      <c r="D26" s="143"/>
      <c r="E26" s="143"/>
      <c r="F26" s="143"/>
      <c r="G26" s="143">
        <f>F8</f>
        <v>200</v>
      </c>
      <c r="H26" s="140" t="s">
        <v>1089</v>
      </c>
      <c r="I26" s="150">
        <f t="shared" ref="I26:I35" si="5">G26/SUM($G$25:$G$35)</f>
        <v>0.84993861554443306</v>
      </c>
      <c r="J26" s="167">
        <f>Insumos!D69</f>
        <v>0</v>
      </c>
      <c r="K26" s="167">
        <f t="shared" si="4"/>
        <v>0</v>
      </c>
    </row>
    <row r="27" spans="1:11" x14ac:dyDescent="0.25">
      <c r="A27" s="124" t="s">
        <v>1215</v>
      </c>
      <c r="B27" s="104" t="s">
        <v>1158</v>
      </c>
      <c r="C27" s="143"/>
      <c r="D27" s="143"/>
      <c r="E27" s="143"/>
      <c r="F27" s="143"/>
      <c r="G27" s="143">
        <f>G26*0.2/3.6/2</f>
        <v>5.5555555555555554</v>
      </c>
      <c r="H27" s="140" t="s">
        <v>1159</v>
      </c>
      <c r="I27" s="150">
        <f t="shared" si="5"/>
        <v>2.3609405987345362E-2</v>
      </c>
      <c r="J27" s="167">
        <f>Insumos!D60</f>
        <v>0</v>
      </c>
      <c r="K27" s="167">
        <f t="shared" si="4"/>
        <v>0</v>
      </c>
    </row>
    <row r="28" spans="1:11" x14ac:dyDescent="0.25">
      <c r="A28" s="124" t="s">
        <v>1216</v>
      </c>
      <c r="B28" s="104" t="s">
        <v>1160</v>
      </c>
      <c r="C28" s="143"/>
      <c r="D28" s="143"/>
      <c r="E28" s="143"/>
      <c r="F28" s="143"/>
      <c r="G28" s="143">
        <f>G27</f>
        <v>5.5555555555555554</v>
      </c>
      <c r="H28" s="140" t="s">
        <v>1159</v>
      </c>
      <c r="I28" s="150">
        <f t="shared" si="5"/>
        <v>2.3609405987345362E-2</v>
      </c>
      <c r="J28" s="167">
        <f>Insumos!D61</f>
        <v>0</v>
      </c>
      <c r="K28" s="167">
        <f t="shared" si="4"/>
        <v>0</v>
      </c>
    </row>
    <row r="29" spans="1:11" x14ac:dyDescent="0.25">
      <c r="A29" s="124" t="s">
        <v>1217</v>
      </c>
      <c r="B29" s="104" t="s">
        <v>1161</v>
      </c>
      <c r="C29" s="143"/>
      <c r="D29" s="143"/>
      <c r="E29" s="143"/>
      <c r="F29" s="143"/>
      <c r="G29" s="143">
        <f>G26*0.02</f>
        <v>4</v>
      </c>
      <c r="H29" s="140" t="s">
        <v>1162</v>
      </c>
      <c r="I29" s="150">
        <f t="shared" si="5"/>
        <v>1.6998772310888661E-2</v>
      </c>
      <c r="J29" s="167">
        <f>Insumos!D62</f>
        <v>0</v>
      </c>
      <c r="K29" s="167">
        <f t="shared" si="4"/>
        <v>0</v>
      </c>
    </row>
    <row r="30" spans="1:11" x14ac:dyDescent="0.25">
      <c r="A30" s="124" t="s">
        <v>1220</v>
      </c>
      <c r="B30" s="104" t="s">
        <v>1163</v>
      </c>
      <c r="C30" s="143"/>
      <c r="D30" s="143"/>
      <c r="E30" s="143"/>
      <c r="F30" s="143"/>
      <c r="G30" s="143">
        <v>2</v>
      </c>
      <c r="H30" s="140" t="s">
        <v>1068</v>
      </c>
      <c r="I30" s="150">
        <f t="shared" si="5"/>
        <v>8.4993861554443304E-3</v>
      </c>
      <c r="J30" s="167">
        <f>Insumos!D63</f>
        <v>0</v>
      </c>
      <c r="K30" s="167">
        <f t="shared" si="4"/>
        <v>0</v>
      </c>
    </row>
    <row r="31" spans="1:11" x14ac:dyDescent="0.25">
      <c r="A31" s="124" t="s">
        <v>1222</v>
      </c>
      <c r="B31" s="104" t="s">
        <v>1164</v>
      </c>
      <c r="C31" s="143"/>
      <c r="D31" s="143"/>
      <c r="E31" s="143"/>
      <c r="F31" s="143"/>
      <c r="G31" s="143">
        <v>2</v>
      </c>
      <c r="H31" s="140" t="s">
        <v>1068</v>
      </c>
      <c r="I31" s="150">
        <f t="shared" si="5"/>
        <v>8.4993861554443304E-3</v>
      </c>
      <c r="J31" s="167">
        <f>Insumos!D64</f>
        <v>0</v>
      </c>
      <c r="K31" s="167">
        <f t="shared" si="4"/>
        <v>0</v>
      </c>
    </row>
    <row r="32" spans="1:11" x14ac:dyDescent="0.25">
      <c r="A32" s="124" t="s">
        <v>1223</v>
      </c>
      <c r="B32" s="104" t="s">
        <v>1165</v>
      </c>
      <c r="C32" s="143"/>
      <c r="D32" s="143"/>
      <c r="E32" s="143"/>
      <c r="F32" s="143"/>
      <c r="G32" s="143">
        <v>2</v>
      </c>
      <c r="H32" s="140" t="s">
        <v>1068</v>
      </c>
      <c r="I32" s="150">
        <f t="shared" si="5"/>
        <v>8.4993861554443304E-3</v>
      </c>
      <c r="J32" s="167">
        <f>Insumos!D65</f>
        <v>0</v>
      </c>
      <c r="K32" s="167">
        <f t="shared" si="4"/>
        <v>0</v>
      </c>
    </row>
    <row r="33" spans="1:11" x14ac:dyDescent="0.25">
      <c r="A33" s="124" t="s">
        <v>1224</v>
      </c>
      <c r="B33" s="104" t="s">
        <v>1166</v>
      </c>
      <c r="C33" s="143"/>
      <c r="D33" s="143"/>
      <c r="E33" s="143"/>
      <c r="F33" s="143"/>
      <c r="G33" s="143">
        <v>1</v>
      </c>
      <c r="H33" s="140" t="s">
        <v>1096</v>
      </c>
      <c r="I33" s="150">
        <f t="shared" si="5"/>
        <v>4.2496930777221652E-3</v>
      </c>
      <c r="J33" s="167">
        <f>Insumos!D66</f>
        <v>0</v>
      </c>
      <c r="K33" s="167">
        <f t="shared" si="4"/>
        <v>0</v>
      </c>
    </row>
    <row r="34" spans="1:11" x14ac:dyDescent="0.25">
      <c r="A34" s="124" t="s">
        <v>1225</v>
      </c>
      <c r="B34" s="104" t="s">
        <v>1167</v>
      </c>
      <c r="C34" s="143"/>
      <c r="D34" s="143"/>
      <c r="E34" s="143"/>
      <c r="F34" s="143"/>
      <c r="G34" s="143">
        <v>1</v>
      </c>
      <c r="H34" s="140" t="s">
        <v>1168</v>
      </c>
      <c r="I34" s="150">
        <f t="shared" si="5"/>
        <v>4.2496930777221652E-3</v>
      </c>
      <c r="J34" s="167">
        <f>Insumos!D67</f>
        <v>0</v>
      </c>
      <c r="K34" s="167">
        <f t="shared" si="4"/>
        <v>0</v>
      </c>
    </row>
    <row r="35" spans="1:11" x14ac:dyDescent="0.25">
      <c r="A35" s="124" t="s">
        <v>1226</v>
      </c>
      <c r="B35" s="104" t="s">
        <v>1169</v>
      </c>
      <c r="C35" s="143"/>
      <c r="D35" s="143"/>
      <c r="E35" s="143"/>
      <c r="F35" s="143"/>
      <c r="G35" s="143">
        <v>5</v>
      </c>
      <c r="H35" s="140" t="s">
        <v>1170</v>
      </c>
      <c r="I35" s="150">
        <f t="shared" si="5"/>
        <v>2.1248465388610825E-2</v>
      </c>
      <c r="J35" s="167">
        <f>Insumos!D68</f>
        <v>0</v>
      </c>
      <c r="K35" s="167">
        <f t="shared" si="4"/>
        <v>0</v>
      </c>
    </row>
    <row r="36" spans="1:11" x14ac:dyDescent="0.25">
      <c r="A36" s="152"/>
      <c r="B36" s="159"/>
      <c r="C36" s="159"/>
      <c r="D36" s="159"/>
      <c r="E36" s="159"/>
      <c r="F36" s="159"/>
      <c r="G36" s="159"/>
      <c r="H36" s="159"/>
      <c r="I36" s="159"/>
      <c r="J36" s="170" t="s">
        <v>1064</v>
      </c>
      <c r="K36" s="175">
        <f>SUM(K25:K35)</f>
        <v>0</v>
      </c>
    </row>
    <row r="37" spans="1:11" x14ac:dyDescent="0.25">
      <c r="A37" s="146" t="s">
        <v>1414</v>
      </c>
      <c r="B37" s="179" t="s">
        <v>1176</v>
      </c>
      <c r="C37" s="148"/>
      <c r="D37" s="148"/>
      <c r="E37" s="148"/>
      <c r="F37" s="148"/>
      <c r="G37" s="148"/>
      <c r="H37" s="148"/>
      <c r="I37" s="148"/>
      <c r="J37" s="148"/>
      <c r="K37" s="188"/>
    </row>
    <row r="38" spans="1:11" x14ac:dyDescent="0.25">
      <c r="A38" s="611" t="s">
        <v>1196</v>
      </c>
      <c r="B38" s="612" t="s">
        <v>1067</v>
      </c>
      <c r="C38" s="613" t="s">
        <v>1197</v>
      </c>
      <c r="D38" s="614"/>
      <c r="E38" s="614"/>
      <c r="F38" s="615"/>
      <c r="G38" s="619" t="s">
        <v>14</v>
      </c>
      <c r="H38" s="610" t="s">
        <v>1068</v>
      </c>
      <c r="I38" s="608" t="s">
        <v>35</v>
      </c>
      <c r="J38" s="610" t="s">
        <v>1249</v>
      </c>
      <c r="K38" s="610" t="s">
        <v>16</v>
      </c>
    </row>
    <row r="39" spans="1:11" x14ac:dyDescent="0.25">
      <c r="A39" s="611"/>
      <c r="B39" s="612"/>
      <c r="C39" s="616"/>
      <c r="D39" s="617"/>
      <c r="E39" s="617"/>
      <c r="F39" s="618"/>
      <c r="G39" s="620"/>
      <c r="H39" s="610"/>
      <c r="I39" s="609"/>
      <c r="J39" s="610"/>
      <c r="K39" s="610"/>
    </row>
    <row r="40" spans="1:11" x14ac:dyDescent="0.25">
      <c r="A40" s="124" t="s">
        <v>1227</v>
      </c>
      <c r="B40" s="6" t="s">
        <v>1242</v>
      </c>
      <c r="C40" s="605"/>
      <c r="D40" s="606"/>
      <c r="E40" s="606"/>
      <c r="F40" s="607"/>
      <c r="G40" s="143">
        <v>1</v>
      </c>
      <c r="H40" s="140" t="s">
        <v>1140</v>
      </c>
      <c r="I40" s="150">
        <v>1</v>
      </c>
      <c r="J40" s="167">
        <f>Insumos!D75</f>
        <v>0</v>
      </c>
      <c r="K40" s="167">
        <f>TRUNC(G40*I40*J40,2)</f>
        <v>0</v>
      </c>
    </row>
    <row r="41" spans="1:11" x14ac:dyDescent="0.25">
      <c r="A41" s="152"/>
      <c r="B41" s="159"/>
      <c r="C41" s="159"/>
      <c r="D41" s="159"/>
      <c r="E41" s="159"/>
      <c r="F41" s="159"/>
      <c r="G41" s="159"/>
      <c r="H41" s="159"/>
      <c r="I41" s="159"/>
      <c r="J41" s="170" t="s">
        <v>1064</v>
      </c>
      <c r="K41" s="175">
        <f>SUM(K40)</f>
        <v>0</v>
      </c>
    </row>
    <row r="42" spans="1:11" x14ac:dyDescent="0.25">
      <c r="A42" s="146" t="s">
        <v>1415</v>
      </c>
      <c r="B42" s="179" t="s">
        <v>1178</v>
      </c>
      <c r="C42" s="148"/>
      <c r="D42" s="148"/>
      <c r="E42" s="148"/>
      <c r="F42" s="148"/>
      <c r="G42" s="148"/>
      <c r="H42" s="148"/>
      <c r="I42" s="148"/>
      <c r="J42" s="148"/>
      <c r="K42" s="188"/>
    </row>
    <row r="43" spans="1:11" x14ac:dyDescent="0.25">
      <c r="A43" s="611" t="s">
        <v>1196</v>
      </c>
      <c r="B43" s="612" t="s">
        <v>1067</v>
      </c>
      <c r="C43" s="613" t="s">
        <v>1197</v>
      </c>
      <c r="D43" s="614"/>
      <c r="E43" s="614"/>
      <c r="F43" s="615"/>
      <c r="G43" s="619" t="s">
        <v>14</v>
      </c>
      <c r="H43" s="610" t="s">
        <v>1068</v>
      </c>
      <c r="I43" s="608" t="s">
        <v>35</v>
      </c>
      <c r="J43" s="610" t="s">
        <v>1249</v>
      </c>
      <c r="K43" s="610" t="s">
        <v>16</v>
      </c>
    </row>
    <row r="44" spans="1:11" x14ac:dyDescent="0.25">
      <c r="A44" s="611"/>
      <c r="B44" s="612"/>
      <c r="C44" s="616"/>
      <c r="D44" s="617"/>
      <c r="E44" s="617"/>
      <c r="F44" s="618"/>
      <c r="G44" s="620"/>
      <c r="H44" s="610"/>
      <c r="I44" s="609"/>
      <c r="J44" s="610"/>
      <c r="K44" s="610"/>
    </row>
    <row r="45" spans="1:11" x14ac:dyDescent="0.25">
      <c r="A45" s="124" t="s">
        <v>1229</v>
      </c>
      <c r="B45" s="6" t="s">
        <v>42</v>
      </c>
      <c r="C45" s="605"/>
      <c r="D45" s="606"/>
      <c r="E45" s="606"/>
      <c r="F45" s="607"/>
      <c r="G45" s="143">
        <v>1</v>
      </c>
      <c r="H45" s="140" t="s">
        <v>1140</v>
      </c>
      <c r="I45" s="150">
        <v>1</v>
      </c>
      <c r="J45" s="167">
        <f>Insumos!D78</f>
        <v>0</v>
      </c>
      <c r="K45" s="167">
        <f>TRUNC(G45*I45*J45,2)</f>
        <v>0</v>
      </c>
    </row>
    <row r="46" spans="1:11" x14ac:dyDescent="0.25">
      <c r="A46" s="152"/>
      <c r="B46" s="159"/>
      <c r="C46" s="159"/>
      <c r="D46" s="159"/>
      <c r="E46" s="159"/>
      <c r="F46" s="159"/>
      <c r="G46" s="159"/>
      <c r="H46" s="159"/>
      <c r="I46" s="159"/>
      <c r="J46" s="170" t="s">
        <v>1064</v>
      </c>
      <c r="K46" s="175">
        <f>K45</f>
        <v>0</v>
      </c>
    </row>
    <row r="47" spans="1:11" x14ac:dyDescent="0.25">
      <c r="A47" s="146" t="s">
        <v>1416</v>
      </c>
      <c r="B47" s="179" t="s">
        <v>1180</v>
      </c>
      <c r="C47" s="148"/>
      <c r="D47" s="148"/>
      <c r="E47" s="148"/>
      <c r="F47" s="148"/>
      <c r="G47" s="148"/>
      <c r="H47" s="148"/>
      <c r="I47" s="148"/>
      <c r="J47" s="148"/>
      <c r="K47" s="188"/>
    </row>
    <row r="48" spans="1:11" x14ac:dyDescent="0.25">
      <c r="A48" s="611" t="s">
        <v>1196</v>
      </c>
      <c r="B48" s="612" t="s">
        <v>1067</v>
      </c>
      <c r="C48" s="613" t="s">
        <v>1197</v>
      </c>
      <c r="D48" s="614"/>
      <c r="E48" s="614"/>
      <c r="F48" s="615"/>
      <c r="G48" s="619" t="s">
        <v>14</v>
      </c>
      <c r="H48" s="610" t="s">
        <v>1068</v>
      </c>
      <c r="I48" s="608" t="s">
        <v>35</v>
      </c>
      <c r="J48" s="610" t="s">
        <v>1249</v>
      </c>
      <c r="K48" s="610" t="s">
        <v>16</v>
      </c>
    </row>
    <row r="49" spans="1:11" x14ac:dyDescent="0.25">
      <c r="A49" s="611"/>
      <c r="B49" s="612"/>
      <c r="C49" s="616"/>
      <c r="D49" s="617"/>
      <c r="E49" s="617"/>
      <c r="F49" s="618"/>
      <c r="G49" s="620"/>
      <c r="H49" s="610"/>
      <c r="I49" s="609"/>
      <c r="J49" s="610"/>
      <c r="K49" s="610"/>
    </row>
    <row r="50" spans="1:11" x14ac:dyDescent="0.25">
      <c r="A50" s="124" t="s">
        <v>1231</v>
      </c>
      <c r="B50" s="6" t="s">
        <v>1181</v>
      </c>
      <c r="C50" s="605"/>
      <c r="D50" s="606"/>
      <c r="E50" s="606"/>
      <c r="F50" s="607"/>
      <c r="G50" s="143">
        <v>1</v>
      </c>
      <c r="H50" s="140" t="s">
        <v>1140</v>
      </c>
      <c r="I50" s="150">
        <f>G50/SUM($G$50:$G$52)</f>
        <v>0.33333333333333331</v>
      </c>
      <c r="J50" s="167">
        <f>Insumos!D81</f>
        <v>0</v>
      </c>
      <c r="K50" s="167">
        <f>TRUNC(G50*I50*J50,2)</f>
        <v>0</v>
      </c>
    </row>
    <row r="51" spans="1:11" x14ac:dyDescent="0.25">
      <c r="A51" s="124" t="s">
        <v>1232</v>
      </c>
      <c r="B51" s="6" t="s">
        <v>1182</v>
      </c>
      <c r="C51" s="605"/>
      <c r="D51" s="606"/>
      <c r="E51" s="606"/>
      <c r="F51" s="607"/>
      <c r="G51" s="143">
        <v>1</v>
      </c>
      <c r="H51" s="140" t="s">
        <v>1140</v>
      </c>
      <c r="I51" s="150">
        <f t="shared" ref="I51:I52" si="6">G51/SUM($G$50:$G$52)</f>
        <v>0.33333333333333331</v>
      </c>
      <c r="J51" s="167">
        <f>Insumos!D82</f>
        <v>0</v>
      </c>
      <c r="K51" s="167">
        <f>TRUNC(G51*I51*J51,2)</f>
        <v>0</v>
      </c>
    </row>
    <row r="52" spans="1:11" x14ac:dyDescent="0.25">
      <c r="A52" s="124" t="s">
        <v>1233</v>
      </c>
      <c r="B52" s="6" t="s">
        <v>1183</v>
      </c>
      <c r="C52" s="605"/>
      <c r="D52" s="606"/>
      <c r="E52" s="606"/>
      <c r="F52" s="607"/>
      <c r="G52" s="143">
        <v>1</v>
      </c>
      <c r="H52" s="140" t="s">
        <v>1140</v>
      </c>
      <c r="I52" s="150">
        <f t="shared" si="6"/>
        <v>0.33333333333333331</v>
      </c>
      <c r="J52" s="167">
        <f>Insumos!D83</f>
        <v>0</v>
      </c>
      <c r="K52" s="167">
        <f>TRUNC(G52*I52*J52,2)</f>
        <v>0</v>
      </c>
    </row>
    <row r="53" spans="1:11" x14ac:dyDescent="0.25">
      <c r="A53" s="152"/>
      <c r="B53" s="159"/>
      <c r="C53" s="159"/>
      <c r="D53" s="159"/>
      <c r="E53" s="159"/>
      <c r="F53" s="159"/>
      <c r="G53" s="159"/>
      <c r="H53" s="159"/>
      <c r="I53" s="159"/>
      <c r="J53" s="170" t="s">
        <v>1064</v>
      </c>
      <c r="K53" s="175">
        <f>SUM(K50:K52)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4:J15"/>
    <mergeCell ref="K14:K15"/>
    <mergeCell ref="A23:A24"/>
    <mergeCell ref="B23:B24"/>
    <mergeCell ref="C23:F24"/>
    <mergeCell ref="G23:G24"/>
    <mergeCell ref="H23:H24"/>
    <mergeCell ref="I23:I24"/>
    <mergeCell ref="J23:J24"/>
    <mergeCell ref="K23:K24"/>
    <mergeCell ref="A14:A15"/>
    <mergeCell ref="B14:B15"/>
    <mergeCell ref="C14:F14"/>
    <mergeCell ref="G14:G15"/>
    <mergeCell ref="H14:H15"/>
    <mergeCell ref="I14:I15"/>
    <mergeCell ref="J38:J39"/>
    <mergeCell ref="K38:K39"/>
    <mergeCell ref="C40:F40"/>
    <mergeCell ref="A43:A44"/>
    <mergeCell ref="B43:B44"/>
    <mergeCell ref="C43:F44"/>
    <mergeCell ref="G43:G44"/>
    <mergeCell ref="H43:H44"/>
    <mergeCell ref="I43:I44"/>
    <mergeCell ref="J43:J44"/>
    <mergeCell ref="A38:A39"/>
    <mergeCell ref="B38:B39"/>
    <mergeCell ref="C38:F39"/>
    <mergeCell ref="G38:G39"/>
    <mergeCell ref="H38:H39"/>
    <mergeCell ref="I38:I39"/>
    <mergeCell ref="A48:A49"/>
    <mergeCell ref="B48:B49"/>
    <mergeCell ref="C48:F49"/>
    <mergeCell ref="G48:G49"/>
    <mergeCell ref="H48:H49"/>
    <mergeCell ref="C50:F50"/>
    <mergeCell ref="C51:F51"/>
    <mergeCell ref="C52:F52"/>
    <mergeCell ref="K43:K44"/>
    <mergeCell ref="C45:F45"/>
    <mergeCell ref="I48:I49"/>
    <mergeCell ref="J48:J49"/>
    <mergeCell ref="K48:K49"/>
  </mergeCells>
  <pageMargins left="0.511811024" right="0.511811024" top="0.78740157499999996" bottom="0.78740157499999996" header="0.31496062000000002" footer="0.31496062000000002"/>
  <pageSetup paperSize="9" scale="55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view="pageBreakPreview" topLeftCell="A39" zoomScale="80" zoomScaleNormal="85" zoomScaleSheetLayoutView="80" workbookViewId="0">
      <selection activeCell="B3" sqref="B3:F3"/>
    </sheetView>
  </sheetViews>
  <sheetFormatPr defaultRowHeight="15" x14ac:dyDescent="0.25"/>
  <cols>
    <col min="1" max="1" width="12.42578125" customWidth="1"/>
    <col min="2" max="2" width="54" customWidth="1"/>
    <col min="3" max="4" width="8.42578125" customWidth="1"/>
    <col min="5" max="5" width="7.7109375" customWidth="1"/>
    <col min="6" max="7" width="10.85546875" customWidth="1"/>
    <col min="8" max="9" width="9.28515625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15</v>
      </c>
      <c r="B2" s="196" t="s">
        <v>2136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1417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48"/>
    </row>
    <row r="4" spans="1:11" x14ac:dyDescent="0.25">
      <c r="A4" s="611" t="s">
        <v>1196</v>
      </c>
      <c r="B4" s="612" t="s">
        <v>1067</v>
      </c>
      <c r="C4" s="620" t="s">
        <v>1197</v>
      </c>
      <c r="D4" s="620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60"/>
      <c r="J5" s="610"/>
      <c r="K5" s="610"/>
    </row>
    <row r="6" spans="1:11" s="247" customFormat="1" x14ac:dyDescent="0.25">
      <c r="A6" s="34" t="s">
        <v>1202</v>
      </c>
      <c r="B6" s="251" t="s">
        <v>1109</v>
      </c>
      <c r="C6" s="243">
        <v>4</v>
      </c>
      <c r="D6" s="243">
        <v>5.5</v>
      </c>
      <c r="E6" s="243"/>
      <c r="F6" s="243">
        <f t="shared" ref="F6:F8" si="0">C6*D6</f>
        <v>22</v>
      </c>
      <c r="G6" s="243">
        <f t="shared" ref="G6:G10" si="1">F6</f>
        <v>22</v>
      </c>
      <c r="H6" s="244" t="s">
        <v>1076</v>
      </c>
      <c r="I6" s="253">
        <v>0.4</v>
      </c>
      <c r="J6" s="254">
        <f>Insumos!D19</f>
        <v>0</v>
      </c>
      <c r="K6" s="254">
        <f>TRUNC(G6*I6*J6,2)</f>
        <v>0</v>
      </c>
    </row>
    <row r="7" spans="1:11" s="247" customFormat="1" x14ac:dyDescent="0.25">
      <c r="A7" s="34" t="s">
        <v>1203</v>
      </c>
      <c r="B7" s="251" t="s">
        <v>1250</v>
      </c>
      <c r="C7" s="243">
        <v>4</v>
      </c>
      <c r="D7" s="243">
        <v>5.5</v>
      </c>
      <c r="E7" s="243"/>
      <c r="F7" s="243">
        <f t="shared" si="0"/>
        <v>22</v>
      </c>
      <c r="G7" s="243">
        <f t="shared" si="1"/>
        <v>22</v>
      </c>
      <c r="H7" s="244" t="s">
        <v>1076</v>
      </c>
      <c r="I7" s="253">
        <v>0.4</v>
      </c>
      <c r="J7" s="254">
        <f>Insumos!D5</f>
        <v>0</v>
      </c>
      <c r="K7" s="254">
        <f t="shared" ref="K7:K12" si="2">TRUNC(G7*I7*J7,2)</f>
        <v>0</v>
      </c>
    </row>
    <row r="8" spans="1:11" s="247" customFormat="1" x14ac:dyDescent="0.25">
      <c r="A8" s="34" t="s">
        <v>1204</v>
      </c>
      <c r="B8" s="251" t="s">
        <v>1251</v>
      </c>
      <c r="C8" s="243">
        <v>4</v>
      </c>
      <c r="D8" s="243">
        <v>5.5</v>
      </c>
      <c r="E8" s="243"/>
      <c r="F8" s="243">
        <f t="shared" si="0"/>
        <v>22</v>
      </c>
      <c r="G8" s="243">
        <f t="shared" si="1"/>
        <v>22</v>
      </c>
      <c r="H8" s="244" t="s">
        <v>1076</v>
      </c>
      <c r="I8" s="253">
        <v>0.4</v>
      </c>
      <c r="J8" s="254">
        <f>Insumos!D6</f>
        <v>0</v>
      </c>
      <c r="K8" s="254">
        <f t="shared" si="2"/>
        <v>0</v>
      </c>
    </row>
    <row r="9" spans="1:11" s="247" customFormat="1" x14ac:dyDescent="0.25">
      <c r="A9" s="34" t="s">
        <v>1205</v>
      </c>
      <c r="B9" s="251" t="s">
        <v>1085</v>
      </c>
      <c r="C9" s="242">
        <v>4</v>
      </c>
      <c r="D9" s="242">
        <v>5.5</v>
      </c>
      <c r="E9" s="242"/>
      <c r="F9" s="243">
        <f>C9*D9</f>
        <v>22</v>
      </c>
      <c r="G9" s="243">
        <f>F9</f>
        <v>22</v>
      </c>
      <c r="H9" s="244" t="s">
        <v>1076</v>
      </c>
      <c r="I9" s="253">
        <v>0.4</v>
      </c>
      <c r="J9" s="254">
        <f>Insumos!D7</f>
        <v>0</v>
      </c>
      <c r="K9" s="254">
        <f>TRUNC(G9*I9*J9,2)</f>
        <v>0</v>
      </c>
    </row>
    <row r="10" spans="1:11" s="247" customFormat="1" x14ac:dyDescent="0.25">
      <c r="A10" s="34" t="s">
        <v>1206</v>
      </c>
      <c r="B10" s="251" t="s">
        <v>1122</v>
      </c>
      <c r="C10" s="242">
        <v>4</v>
      </c>
      <c r="D10" s="242">
        <v>5.5</v>
      </c>
      <c r="E10" s="242"/>
      <c r="F10" s="243">
        <f>C10*D10</f>
        <v>22</v>
      </c>
      <c r="G10" s="243">
        <f t="shared" si="1"/>
        <v>22</v>
      </c>
      <c r="H10" s="244" t="s">
        <v>1076</v>
      </c>
      <c r="I10" s="253">
        <v>0.4</v>
      </c>
      <c r="J10" s="254">
        <f>Insumos!D24</f>
        <v>0</v>
      </c>
      <c r="K10" s="254">
        <f t="shared" si="2"/>
        <v>0</v>
      </c>
    </row>
    <row r="11" spans="1:11" s="247" customFormat="1" x14ac:dyDescent="0.25">
      <c r="A11" s="34" t="s">
        <v>1207</v>
      </c>
      <c r="B11" s="262" t="s">
        <v>1094</v>
      </c>
      <c r="C11" s="243">
        <f>4*2+5.5*2</f>
        <v>19</v>
      </c>
      <c r="D11" s="243"/>
      <c r="E11" s="243">
        <v>1.3</v>
      </c>
      <c r="F11" s="243">
        <f>E11*C11</f>
        <v>24.7</v>
      </c>
      <c r="G11" s="259">
        <f>F11</f>
        <v>24.7</v>
      </c>
      <c r="H11" s="260" t="s">
        <v>1076</v>
      </c>
      <c r="I11" s="253">
        <v>0.4</v>
      </c>
      <c r="J11" s="261">
        <f>Insumos!D11</f>
        <v>0</v>
      </c>
      <c r="K11" s="261">
        <f t="shared" si="2"/>
        <v>0</v>
      </c>
    </row>
    <row r="12" spans="1:11" s="247" customFormat="1" ht="30" x14ac:dyDescent="0.25">
      <c r="A12" s="34" t="s">
        <v>1208</v>
      </c>
      <c r="B12" s="262" t="s">
        <v>1126</v>
      </c>
      <c r="C12" s="243"/>
      <c r="D12" s="243"/>
      <c r="E12" s="243"/>
      <c r="F12" s="243">
        <f>F6</f>
        <v>22</v>
      </c>
      <c r="G12" s="259">
        <f>F12</f>
        <v>22</v>
      </c>
      <c r="H12" s="260" t="s">
        <v>1076</v>
      </c>
      <c r="I12" s="253">
        <v>0.4</v>
      </c>
      <c r="J12" s="261">
        <f>Insumos!D27</f>
        <v>0</v>
      </c>
      <c r="K12" s="261">
        <f t="shared" si="2"/>
        <v>0</v>
      </c>
    </row>
    <row r="13" spans="1:11" s="247" customFormat="1" x14ac:dyDescent="0.25">
      <c r="A13" s="394"/>
      <c r="B13" s="386"/>
      <c r="C13" s="382"/>
      <c r="D13" s="382"/>
      <c r="E13" s="382"/>
      <c r="F13" s="382"/>
      <c r="G13" s="382"/>
      <c r="H13" s="382"/>
      <c r="I13" s="382"/>
      <c r="J13" s="395" t="s">
        <v>1064</v>
      </c>
      <c r="K13" s="396">
        <f>SUM(K6:K12)</f>
        <v>0</v>
      </c>
    </row>
    <row r="14" spans="1:11" x14ac:dyDescent="0.25">
      <c r="A14" s="146" t="s">
        <v>1418</v>
      </c>
      <c r="B14" s="179" t="s">
        <v>1219</v>
      </c>
      <c r="C14" s="388"/>
      <c r="D14" s="388"/>
      <c r="E14" s="388"/>
      <c r="F14" s="388"/>
      <c r="G14" s="148"/>
      <c r="H14" s="148"/>
      <c r="I14" s="148"/>
      <c r="J14" s="156"/>
      <c r="K14" s="187"/>
    </row>
    <row r="15" spans="1:11" x14ac:dyDescent="0.25">
      <c r="A15" s="611" t="s">
        <v>1196</v>
      </c>
      <c r="B15" s="612" t="s">
        <v>1067</v>
      </c>
      <c r="C15" s="643" t="s">
        <v>1197</v>
      </c>
      <c r="D15" s="643"/>
      <c r="E15" s="643"/>
      <c r="F15" s="643"/>
      <c r="G15" s="619" t="s">
        <v>14</v>
      </c>
      <c r="H15" s="610" t="s">
        <v>1068</v>
      </c>
      <c r="I15" s="608" t="s">
        <v>35</v>
      </c>
      <c r="J15" s="630" t="s">
        <v>1069</v>
      </c>
      <c r="K15" s="630" t="s">
        <v>16</v>
      </c>
    </row>
    <row r="16" spans="1:11" x14ac:dyDescent="0.25">
      <c r="A16" s="611"/>
      <c r="B16" s="612"/>
      <c r="C16" s="389"/>
      <c r="D16" s="389"/>
      <c r="E16" s="389"/>
      <c r="F16" s="389"/>
      <c r="G16" s="620"/>
      <c r="H16" s="610"/>
      <c r="I16" s="609"/>
      <c r="J16" s="630"/>
      <c r="K16" s="630"/>
    </row>
    <row r="17" spans="1:11" x14ac:dyDescent="0.25">
      <c r="A17" s="34" t="s">
        <v>1209</v>
      </c>
      <c r="B17" s="6" t="s">
        <v>1147</v>
      </c>
      <c r="C17" s="313"/>
      <c r="D17" s="313"/>
      <c r="E17" s="313"/>
      <c r="F17" s="313"/>
      <c r="G17" s="143">
        <v>1</v>
      </c>
      <c r="H17" s="140" t="s">
        <v>1140</v>
      </c>
      <c r="I17" s="150">
        <f t="shared" ref="I17:I21" si="3">G17/SUM($G$17:$G$21)</f>
        <v>6.6666666666666666E-2</v>
      </c>
      <c r="J17" s="167">
        <f>Insumos!D49</f>
        <v>0</v>
      </c>
      <c r="K17" s="199">
        <f>TRUNC(G17*I17*J17,2)</f>
        <v>0</v>
      </c>
    </row>
    <row r="18" spans="1:11" x14ac:dyDescent="0.25">
      <c r="A18" s="34" t="s">
        <v>1210</v>
      </c>
      <c r="B18" s="6" t="s">
        <v>1148</v>
      </c>
      <c r="C18" s="313"/>
      <c r="D18" s="313"/>
      <c r="E18" s="313"/>
      <c r="F18" s="313"/>
      <c r="G18" s="143">
        <v>1</v>
      </c>
      <c r="H18" s="140" t="s">
        <v>1140</v>
      </c>
      <c r="I18" s="150">
        <f t="shared" si="3"/>
        <v>6.6666666666666666E-2</v>
      </c>
      <c r="J18" s="167">
        <f>Insumos!D50</f>
        <v>0</v>
      </c>
      <c r="K18" s="199">
        <f>TRUNC(G18*I18*J18,2)</f>
        <v>0</v>
      </c>
    </row>
    <row r="19" spans="1:11" x14ac:dyDescent="0.25">
      <c r="A19" s="34" t="s">
        <v>1211</v>
      </c>
      <c r="B19" s="6" t="s">
        <v>1149</v>
      </c>
      <c r="C19" s="313"/>
      <c r="D19" s="313"/>
      <c r="E19" s="313"/>
      <c r="F19" s="313"/>
      <c r="G19" s="143">
        <v>1</v>
      </c>
      <c r="H19" s="140" t="s">
        <v>1140</v>
      </c>
      <c r="I19" s="150">
        <f t="shared" si="3"/>
        <v>6.6666666666666666E-2</v>
      </c>
      <c r="J19" s="167">
        <f>Insumos!D51</f>
        <v>0</v>
      </c>
      <c r="K19" s="199">
        <f>TRUNC(G19*I19*J19,2)</f>
        <v>0</v>
      </c>
    </row>
    <row r="20" spans="1:11" x14ac:dyDescent="0.25">
      <c r="A20" s="34" t="s">
        <v>1212</v>
      </c>
      <c r="B20" s="6" t="s">
        <v>1150</v>
      </c>
      <c r="C20" s="313"/>
      <c r="D20" s="313"/>
      <c r="E20" s="313"/>
      <c r="F20" s="313"/>
      <c r="G20" s="143">
        <v>8</v>
      </c>
      <c r="H20" s="140" t="s">
        <v>1151</v>
      </c>
      <c r="I20" s="150">
        <f t="shared" si="3"/>
        <v>0.53333333333333333</v>
      </c>
      <c r="J20" s="167">
        <f>Insumos!D52</f>
        <v>0</v>
      </c>
      <c r="K20" s="199">
        <f>TRUNC(G20*I20*J20,2)</f>
        <v>0</v>
      </c>
    </row>
    <row r="21" spans="1:11" x14ac:dyDescent="0.25">
      <c r="A21" s="34" t="s">
        <v>1213</v>
      </c>
      <c r="B21" s="6" t="s">
        <v>1248</v>
      </c>
      <c r="C21" s="313"/>
      <c r="D21" s="313"/>
      <c r="E21" s="313"/>
      <c r="F21" s="313"/>
      <c r="G21" s="143">
        <v>4</v>
      </c>
      <c r="H21" s="140" t="s">
        <v>1154</v>
      </c>
      <c r="I21" s="150">
        <f t="shared" si="3"/>
        <v>0.26666666666666666</v>
      </c>
      <c r="J21" s="167">
        <f>Insumos!D54</f>
        <v>0</v>
      </c>
      <c r="K21" s="199">
        <f>TRUNC(G21*I21*J21,2)</f>
        <v>0</v>
      </c>
    </row>
    <row r="22" spans="1:11" x14ac:dyDescent="0.25">
      <c r="A22" s="152"/>
      <c r="B22" s="159"/>
      <c r="C22" s="387"/>
      <c r="D22" s="387"/>
      <c r="E22" s="387"/>
      <c r="F22" s="387"/>
      <c r="G22" s="154"/>
      <c r="H22" s="157"/>
      <c r="I22" s="157"/>
      <c r="J22" s="158" t="s">
        <v>1064</v>
      </c>
      <c r="K22" s="203">
        <f>SUM(K17:K21)</f>
        <v>0</v>
      </c>
    </row>
    <row r="23" spans="1:11" x14ac:dyDescent="0.25">
      <c r="A23" s="146" t="s">
        <v>1419</v>
      </c>
      <c r="B23" s="179" t="s">
        <v>1155</v>
      </c>
      <c r="C23" s="388"/>
      <c r="D23" s="388"/>
      <c r="E23" s="388"/>
      <c r="F23" s="388"/>
      <c r="G23" s="148"/>
      <c r="H23" s="148"/>
      <c r="I23" s="148"/>
      <c r="J23" s="156"/>
      <c r="K23" s="187"/>
    </row>
    <row r="24" spans="1:11" x14ac:dyDescent="0.25">
      <c r="A24" s="611" t="s">
        <v>1196</v>
      </c>
      <c r="B24" s="612" t="s">
        <v>1067</v>
      </c>
      <c r="C24" s="613" t="s">
        <v>1197</v>
      </c>
      <c r="D24" s="614"/>
      <c r="E24" s="614"/>
      <c r="F24" s="615"/>
      <c r="G24" s="619" t="s">
        <v>14</v>
      </c>
      <c r="H24" s="610" t="s">
        <v>1068</v>
      </c>
      <c r="I24" s="608" t="s">
        <v>35</v>
      </c>
      <c r="J24" s="630" t="s">
        <v>1249</v>
      </c>
      <c r="K24" s="630" t="s">
        <v>16</v>
      </c>
    </row>
    <row r="25" spans="1:11" x14ac:dyDescent="0.25">
      <c r="A25" s="611"/>
      <c r="B25" s="612"/>
      <c r="C25" s="616"/>
      <c r="D25" s="617"/>
      <c r="E25" s="617"/>
      <c r="F25" s="618"/>
      <c r="G25" s="620"/>
      <c r="H25" s="610"/>
      <c r="I25" s="609"/>
      <c r="J25" s="630"/>
      <c r="K25" s="630"/>
    </row>
    <row r="26" spans="1:11" x14ac:dyDescent="0.25">
      <c r="A26" s="124" t="s">
        <v>1214</v>
      </c>
      <c r="B26" s="104" t="s">
        <v>1156</v>
      </c>
      <c r="C26" s="313"/>
      <c r="D26" s="313"/>
      <c r="E26" s="313"/>
      <c r="F26" s="313"/>
      <c r="G26" s="143">
        <f>F6/30</f>
        <v>0.73333333333333328</v>
      </c>
      <c r="H26" s="140" t="s">
        <v>1228</v>
      </c>
      <c r="I26" s="150">
        <f>G26/SUM($G$26:$G$36)</f>
        <v>1.9610173520323265E-2</v>
      </c>
      <c r="J26" s="167">
        <f>Insumos!D58</f>
        <v>0</v>
      </c>
      <c r="K26" s="199">
        <f t="shared" ref="K26:K36" si="4">TRUNC(G26*I26*J26,2)</f>
        <v>0</v>
      </c>
    </row>
    <row r="27" spans="1:11" x14ac:dyDescent="0.25">
      <c r="A27" s="124" t="s">
        <v>1215</v>
      </c>
      <c r="B27" s="104" t="s">
        <v>1171</v>
      </c>
      <c r="C27" s="143"/>
      <c r="D27" s="143"/>
      <c r="E27" s="143"/>
      <c r="F27" s="143"/>
      <c r="G27" s="143">
        <f>F9</f>
        <v>22</v>
      </c>
      <c r="H27" s="140" t="s">
        <v>1089</v>
      </c>
      <c r="I27" s="150">
        <f t="shared" ref="I27:I36" si="5">G27/SUM($G$26:$G$36)</f>
        <v>0.58830520560969801</v>
      </c>
      <c r="J27" s="167">
        <f>Insumos!D69</f>
        <v>0</v>
      </c>
      <c r="K27" s="199">
        <f t="shared" si="4"/>
        <v>0</v>
      </c>
    </row>
    <row r="28" spans="1:11" x14ac:dyDescent="0.25">
      <c r="A28" s="124" t="s">
        <v>1216</v>
      </c>
      <c r="B28" s="104" t="s">
        <v>1158</v>
      </c>
      <c r="C28" s="143"/>
      <c r="D28" s="143"/>
      <c r="E28" s="143"/>
      <c r="F28" s="143"/>
      <c r="G28" s="143">
        <f>G27*0.2/3.6/2</f>
        <v>0.61111111111111116</v>
      </c>
      <c r="H28" s="140" t="s">
        <v>1159</v>
      </c>
      <c r="I28" s="150">
        <f t="shared" si="5"/>
        <v>1.6341811266936058E-2</v>
      </c>
      <c r="J28" s="167">
        <f>Insumos!D60</f>
        <v>0</v>
      </c>
      <c r="K28" s="199">
        <f t="shared" si="4"/>
        <v>0</v>
      </c>
    </row>
    <row r="29" spans="1:11" x14ac:dyDescent="0.25">
      <c r="A29" s="124" t="s">
        <v>1217</v>
      </c>
      <c r="B29" s="104" t="s">
        <v>1160</v>
      </c>
      <c r="C29" s="143"/>
      <c r="D29" s="143"/>
      <c r="E29" s="143"/>
      <c r="F29" s="143"/>
      <c r="G29" s="143">
        <f>G28</f>
        <v>0.61111111111111116</v>
      </c>
      <c r="H29" s="140" t="s">
        <v>1159</v>
      </c>
      <c r="I29" s="150">
        <f t="shared" si="5"/>
        <v>1.6341811266936058E-2</v>
      </c>
      <c r="J29" s="167">
        <f>Insumos!D61</f>
        <v>0</v>
      </c>
      <c r="K29" s="199">
        <f t="shared" si="4"/>
        <v>0</v>
      </c>
    </row>
    <row r="30" spans="1:11" x14ac:dyDescent="0.25">
      <c r="A30" s="124" t="s">
        <v>1220</v>
      </c>
      <c r="B30" s="104" t="s">
        <v>1161</v>
      </c>
      <c r="C30" s="143"/>
      <c r="D30" s="143"/>
      <c r="E30" s="143"/>
      <c r="F30" s="143"/>
      <c r="G30" s="143">
        <f>G27*0.02</f>
        <v>0.44</v>
      </c>
      <c r="H30" s="140" t="s">
        <v>1162</v>
      </c>
      <c r="I30" s="150">
        <f t="shared" si="5"/>
        <v>1.176610411219396E-2</v>
      </c>
      <c r="J30" s="167">
        <f>Insumos!D62</f>
        <v>0</v>
      </c>
      <c r="K30" s="199">
        <f t="shared" si="4"/>
        <v>0</v>
      </c>
    </row>
    <row r="31" spans="1:11" x14ac:dyDescent="0.25">
      <c r="A31" s="124" t="s">
        <v>1222</v>
      </c>
      <c r="B31" s="104" t="s">
        <v>1163</v>
      </c>
      <c r="C31" s="143"/>
      <c r="D31" s="143"/>
      <c r="E31" s="143"/>
      <c r="F31" s="143"/>
      <c r="G31" s="143">
        <v>2</v>
      </c>
      <c r="H31" s="140" t="s">
        <v>1068</v>
      </c>
      <c r="I31" s="150">
        <f t="shared" si="5"/>
        <v>5.3482291419063459E-2</v>
      </c>
      <c r="J31" s="167">
        <f>Insumos!D63</f>
        <v>0</v>
      </c>
      <c r="K31" s="199">
        <f t="shared" si="4"/>
        <v>0</v>
      </c>
    </row>
    <row r="32" spans="1:11" x14ac:dyDescent="0.25">
      <c r="A32" s="124" t="s">
        <v>1223</v>
      </c>
      <c r="B32" s="104" t="s">
        <v>1164</v>
      </c>
      <c r="C32" s="143"/>
      <c r="D32" s="143"/>
      <c r="E32" s="143"/>
      <c r="F32" s="143"/>
      <c r="G32" s="143">
        <v>2</v>
      </c>
      <c r="H32" s="140" t="s">
        <v>1068</v>
      </c>
      <c r="I32" s="150">
        <f t="shared" si="5"/>
        <v>5.3482291419063459E-2</v>
      </c>
      <c r="J32" s="167">
        <f>Insumos!D64</f>
        <v>0</v>
      </c>
      <c r="K32" s="199">
        <f t="shared" si="4"/>
        <v>0</v>
      </c>
    </row>
    <row r="33" spans="1:11" x14ac:dyDescent="0.25">
      <c r="A33" s="124" t="s">
        <v>1224</v>
      </c>
      <c r="B33" s="104" t="s">
        <v>1165</v>
      </c>
      <c r="C33" s="143"/>
      <c r="D33" s="143"/>
      <c r="E33" s="143"/>
      <c r="F33" s="143"/>
      <c r="G33" s="143">
        <v>2</v>
      </c>
      <c r="H33" s="140" t="s">
        <v>1068</v>
      </c>
      <c r="I33" s="150">
        <f t="shared" si="5"/>
        <v>5.3482291419063459E-2</v>
      </c>
      <c r="J33" s="167">
        <f>Insumos!D65</f>
        <v>0</v>
      </c>
      <c r="K33" s="199">
        <f t="shared" si="4"/>
        <v>0</v>
      </c>
    </row>
    <row r="34" spans="1:11" x14ac:dyDescent="0.25">
      <c r="A34" s="124" t="s">
        <v>1225</v>
      </c>
      <c r="B34" s="104" t="s">
        <v>1166</v>
      </c>
      <c r="C34" s="143"/>
      <c r="D34" s="143"/>
      <c r="E34" s="143"/>
      <c r="F34" s="143"/>
      <c r="G34" s="143">
        <v>1</v>
      </c>
      <c r="H34" s="140" t="s">
        <v>1096</v>
      </c>
      <c r="I34" s="150">
        <f t="shared" si="5"/>
        <v>2.6741145709531729E-2</v>
      </c>
      <c r="J34" s="167">
        <f>Insumos!D66</f>
        <v>0</v>
      </c>
      <c r="K34" s="199">
        <f t="shared" si="4"/>
        <v>0</v>
      </c>
    </row>
    <row r="35" spans="1:11" x14ac:dyDescent="0.25">
      <c r="A35" s="124" t="s">
        <v>1226</v>
      </c>
      <c r="B35" s="104" t="s">
        <v>1167</v>
      </c>
      <c r="C35" s="143"/>
      <c r="D35" s="143"/>
      <c r="E35" s="143"/>
      <c r="F35" s="143"/>
      <c r="G35" s="143">
        <v>1</v>
      </c>
      <c r="H35" s="140" t="s">
        <v>1168</v>
      </c>
      <c r="I35" s="150">
        <f t="shared" si="5"/>
        <v>2.6741145709531729E-2</v>
      </c>
      <c r="J35" s="167">
        <f>Insumos!D67</f>
        <v>0</v>
      </c>
      <c r="K35" s="199">
        <f t="shared" si="4"/>
        <v>0</v>
      </c>
    </row>
    <row r="36" spans="1:11" x14ac:dyDescent="0.25">
      <c r="A36" s="124" t="s">
        <v>1227</v>
      </c>
      <c r="B36" s="104" t="s">
        <v>1169</v>
      </c>
      <c r="C36" s="143"/>
      <c r="D36" s="143"/>
      <c r="E36" s="143"/>
      <c r="F36" s="143"/>
      <c r="G36" s="143">
        <v>5</v>
      </c>
      <c r="H36" s="140" t="s">
        <v>1170</v>
      </c>
      <c r="I36" s="150">
        <f t="shared" si="5"/>
        <v>0.13370572854765864</v>
      </c>
      <c r="J36" s="167">
        <f>Insumos!D68</f>
        <v>0</v>
      </c>
      <c r="K36" s="199">
        <f t="shared" si="4"/>
        <v>0</v>
      </c>
    </row>
    <row r="37" spans="1:11" x14ac:dyDescent="0.25">
      <c r="A37" s="152"/>
      <c r="B37" s="159"/>
      <c r="C37" s="159"/>
      <c r="D37" s="159"/>
      <c r="E37" s="159"/>
      <c r="F37" s="159"/>
      <c r="G37" s="159"/>
      <c r="H37" s="159"/>
      <c r="I37" s="159"/>
      <c r="J37" s="160" t="s">
        <v>1064</v>
      </c>
      <c r="K37" s="205">
        <f>SUM(K26:K36)</f>
        <v>0</v>
      </c>
    </row>
    <row r="38" spans="1:11" x14ac:dyDescent="0.25">
      <c r="A38" s="146" t="s">
        <v>1420</v>
      </c>
      <c r="B38" s="179" t="s">
        <v>1176</v>
      </c>
      <c r="C38" s="148"/>
      <c r="D38" s="148"/>
      <c r="E38" s="148"/>
      <c r="F38" s="148"/>
      <c r="G38" s="148"/>
      <c r="H38" s="148"/>
      <c r="I38" s="148"/>
      <c r="J38" s="156"/>
      <c r="K38" s="187"/>
    </row>
    <row r="39" spans="1:11" x14ac:dyDescent="0.25">
      <c r="A39" s="611" t="s">
        <v>1196</v>
      </c>
      <c r="B39" s="612" t="s">
        <v>1067</v>
      </c>
      <c r="C39" s="613" t="s">
        <v>1197</v>
      </c>
      <c r="D39" s="614"/>
      <c r="E39" s="614"/>
      <c r="F39" s="615"/>
      <c r="G39" s="619" t="s">
        <v>14</v>
      </c>
      <c r="H39" s="610" t="s">
        <v>1068</v>
      </c>
      <c r="I39" s="608" t="s">
        <v>35</v>
      </c>
      <c r="J39" s="630" t="s">
        <v>1249</v>
      </c>
      <c r="K39" s="630" t="s">
        <v>16</v>
      </c>
    </row>
    <row r="40" spans="1:11" x14ac:dyDescent="0.25">
      <c r="A40" s="611"/>
      <c r="B40" s="612"/>
      <c r="C40" s="616"/>
      <c r="D40" s="617"/>
      <c r="E40" s="617"/>
      <c r="F40" s="618"/>
      <c r="G40" s="620"/>
      <c r="H40" s="610"/>
      <c r="I40" s="609"/>
      <c r="J40" s="630"/>
      <c r="K40" s="630"/>
    </row>
    <row r="41" spans="1:11" x14ac:dyDescent="0.25">
      <c r="A41" s="124" t="s">
        <v>1229</v>
      </c>
      <c r="B41" s="6" t="s">
        <v>1242</v>
      </c>
      <c r="C41" s="605"/>
      <c r="D41" s="606"/>
      <c r="E41" s="606"/>
      <c r="F41" s="607"/>
      <c r="G41" s="143">
        <v>2</v>
      </c>
      <c r="H41" s="140" t="s">
        <v>1140</v>
      </c>
      <c r="I41" s="150">
        <v>2</v>
      </c>
      <c r="J41" s="167">
        <f>Insumos!D75</f>
        <v>0</v>
      </c>
      <c r="K41" s="199">
        <f>TRUNC(G41*I41*J41,2)</f>
        <v>0</v>
      </c>
    </row>
    <row r="42" spans="1:11" x14ac:dyDescent="0.25">
      <c r="A42" s="152"/>
      <c r="B42" s="159"/>
      <c r="C42" s="159"/>
      <c r="D42" s="159"/>
      <c r="E42" s="159"/>
      <c r="F42" s="159"/>
      <c r="G42" s="159"/>
      <c r="H42" s="159"/>
      <c r="I42" s="159"/>
      <c r="J42" s="160" t="s">
        <v>1064</v>
      </c>
      <c r="K42" s="205">
        <f>SUM(K41)</f>
        <v>0</v>
      </c>
    </row>
    <row r="43" spans="1:11" x14ac:dyDescent="0.25">
      <c r="A43" s="146" t="s">
        <v>1421</v>
      </c>
      <c r="B43" s="179" t="s">
        <v>1178</v>
      </c>
      <c r="C43" s="148"/>
      <c r="D43" s="148"/>
      <c r="E43" s="148"/>
      <c r="F43" s="148"/>
      <c r="G43" s="148"/>
      <c r="H43" s="148"/>
      <c r="I43" s="148"/>
      <c r="J43" s="156"/>
      <c r="K43" s="187"/>
    </row>
    <row r="44" spans="1:11" x14ac:dyDescent="0.25">
      <c r="A44" s="611" t="s">
        <v>1196</v>
      </c>
      <c r="B44" s="612" t="s">
        <v>1067</v>
      </c>
      <c r="C44" s="613" t="s">
        <v>1197</v>
      </c>
      <c r="D44" s="614"/>
      <c r="E44" s="614"/>
      <c r="F44" s="615"/>
      <c r="G44" s="619" t="s">
        <v>14</v>
      </c>
      <c r="H44" s="610" t="s">
        <v>1068</v>
      </c>
      <c r="I44" s="608" t="s">
        <v>35</v>
      </c>
      <c r="J44" s="630" t="s">
        <v>1249</v>
      </c>
      <c r="K44" s="630" t="s">
        <v>16</v>
      </c>
    </row>
    <row r="45" spans="1:11" x14ac:dyDescent="0.25">
      <c r="A45" s="611"/>
      <c r="B45" s="612"/>
      <c r="C45" s="616"/>
      <c r="D45" s="617"/>
      <c r="E45" s="617"/>
      <c r="F45" s="618"/>
      <c r="G45" s="620"/>
      <c r="H45" s="610"/>
      <c r="I45" s="609"/>
      <c r="J45" s="630"/>
      <c r="K45" s="630"/>
    </row>
    <row r="46" spans="1:11" x14ac:dyDescent="0.25">
      <c r="A46" s="124" t="s">
        <v>1231</v>
      </c>
      <c r="B46" s="104" t="s">
        <v>1244</v>
      </c>
      <c r="C46" s="605"/>
      <c r="D46" s="606"/>
      <c r="E46" s="606"/>
      <c r="F46" s="607"/>
      <c r="G46" s="143">
        <v>2</v>
      </c>
      <c r="H46" s="140" t="s">
        <v>1140</v>
      </c>
      <c r="I46" s="150">
        <v>1</v>
      </c>
      <c r="J46" s="167">
        <f>Insumos!D78</f>
        <v>0</v>
      </c>
      <c r="K46" s="199">
        <f>TRUNC(G46*I46*J46,2)</f>
        <v>0</v>
      </c>
    </row>
    <row r="47" spans="1:11" x14ac:dyDescent="0.25">
      <c r="A47" s="152"/>
      <c r="B47" s="159"/>
      <c r="C47" s="159"/>
      <c r="D47" s="159"/>
      <c r="E47" s="159"/>
      <c r="F47" s="159"/>
      <c r="G47" s="159"/>
      <c r="H47" s="159"/>
      <c r="I47" s="159"/>
      <c r="J47" s="160" t="s">
        <v>1064</v>
      </c>
      <c r="K47" s="205">
        <f>K46</f>
        <v>0</v>
      </c>
    </row>
    <row r="48" spans="1:11" x14ac:dyDescent="0.25">
      <c r="A48" s="146" t="s">
        <v>1422</v>
      </c>
      <c r="B48" s="179" t="s">
        <v>1180</v>
      </c>
      <c r="C48" s="148"/>
      <c r="D48" s="148"/>
      <c r="E48" s="148"/>
      <c r="F48" s="148"/>
      <c r="G48" s="148"/>
      <c r="H48" s="148"/>
      <c r="I48" s="148"/>
      <c r="J48" s="156"/>
      <c r="K48" s="187"/>
    </row>
    <row r="49" spans="1:11" x14ac:dyDescent="0.25">
      <c r="A49" s="611" t="s">
        <v>1196</v>
      </c>
      <c r="B49" s="612" t="s">
        <v>1067</v>
      </c>
      <c r="C49" s="613" t="s">
        <v>1197</v>
      </c>
      <c r="D49" s="614"/>
      <c r="E49" s="614"/>
      <c r="F49" s="615"/>
      <c r="G49" s="619" t="s">
        <v>14</v>
      </c>
      <c r="H49" s="610" t="s">
        <v>1068</v>
      </c>
      <c r="I49" s="608" t="s">
        <v>35</v>
      </c>
      <c r="J49" s="630" t="s">
        <v>1249</v>
      </c>
      <c r="K49" s="630" t="s">
        <v>16</v>
      </c>
    </row>
    <row r="50" spans="1:11" x14ac:dyDescent="0.25">
      <c r="A50" s="611"/>
      <c r="B50" s="612"/>
      <c r="C50" s="616"/>
      <c r="D50" s="617"/>
      <c r="E50" s="617"/>
      <c r="F50" s="618"/>
      <c r="G50" s="620"/>
      <c r="H50" s="610"/>
      <c r="I50" s="609"/>
      <c r="J50" s="630"/>
      <c r="K50" s="630"/>
    </row>
    <row r="51" spans="1:11" x14ac:dyDescent="0.25">
      <c r="A51" s="124" t="s">
        <v>1232</v>
      </c>
      <c r="B51" s="6" t="s">
        <v>1181</v>
      </c>
      <c r="C51" s="605"/>
      <c r="D51" s="606"/>
      <c r="E51" s="606"/>
      <c r="F51" s="607"/>
      <c r="G51" s="143">
        <v>1</v>
      </c>
      <c r="H51" s="140" t="s">
        <v>1140</v>
      </c>
      <c r="I51" s="150">
        <f>G51/SUM($G$51:$G$53)</f>
        <v>0.33333333333333331</v>
      </c>
      <c r="J51" s="167">
        <f>Insumos!D81</f>
        <v>0</v>
      </c>
      <c r="K51" s="199">
        <f>TRUNC(G51*I51*J51,2)</f>
        <v>0</v>
      </c>
    </row>
    <row r="52" spans="1:11" x14ac:dyDescent="0.25">
      <c r="A52" s="124" t="s">
        <v>1233</v>
      </c>
      <c r="B52" s="6" t="s">
        <v>1182</v>
      </c>
      <c r="C52" s="605"/>
      <c r="D52" s="606"/>
      <c r="E52" s="606"/>
      <c r="F52" s="607"/>
      <c r="G52" s="143">
        <v>1</v>
      </c>
      <c r="H52" s="140" t="s">
        <v>1140</v>
      </c>
      <c r="I52" s="150">
        <f t="shared" ref="I52:I53" si="6">G52/SUM($G$51:$G$53)</f>
        <v>0.33333333333333331</v>
      </c>
      <c r="J52" s="167">
        <f>Insumos!D82</f>
        <v>0</v>
      </c>
      <c r="K52" s="199">
        <f>TRUNC(G52*I52*J52,2)</f>
        <v>0</v>
      </c>
    </row>
    <row r="53" spans="1:11" x14ac:dyDescent="0.25">
      <c r="A53" s="124" t="s">
        <v>1234</v>
      </c>
      <c r="B53" s="6" t="s">
        <v>1183</v>
      </c>
      <c r="C53" s="605"/>
      <c r="D53" s="606"/>
      <c r="E53" s="606"/>
      <c r="F53" s="607"/>
      <c r="G53" s="143">
        <v>1</v>
      </c>
      <c r="H53" s="140" t="s">
        <v>1140</v>
      </c>
      <c r="I53" s="150">
        <f t="shared" si="6"/>
        <v>0.33333333333333331</v>
      </c>
      <c r="J53" s="167">
        <f>Insumos!D83</f>
        <v>0</v>
      </c>
      <c r="K53" s="199">
        <f>TRUNC(G53*I53*J53,2)</f>
        <v>0</v>
      </c>
    </row>
    <row r="54" spans="1:11" x14ac:dyDescent="0.25">
      <c r="A54" s="152"/>
      <c r="B54" s="159"/>
      <c r="C54" s="159"/>
      <c r="D54" s="159"/>
      <c r="E54" s="159"/>
      <c r="F54" s="159"/>
      <c r="G54" s="159"/>
      <c r="H54" s="159"/>
      <c r="I54" s="159"/>
      <c r="J54" s="160" t="s">
        <v>1064</v>
      </c>
      <c r="K54" s="205">
        <f>SUM(K51:K53)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5:J16"/>
    <mergeCell ref="K15:K16"/>
    <mergeCell ref="A24:A25"/>
    <mergeCell ref="B24:B25"/>
    <mergeCell ref="C24:F25"/>
    <mergeCell ref="G24:G25"/>
    <mergeCell ref="H24:H25"/>
    <mergeCell ref="I24:I25"/>
    <mergeCell ref="J24:J25"/>
    <mergeCell ref="K24:K25"/>
    <mergeCell ref="A15:A16"/>
    <mergeCell ref="B15:B16"/>
    <mergeCell ref="C15:F15"/>
    <mergeCell ref="G15:G16"/>
    <mergeCell ref="H15:H16"/>
    <mergeCell ref="I15:I16"/>
    <mergeCell ref="J39:J40"/>
    <mergeCell ref="K39:K40"/>
    <mergeCell ref="C41:F41"/>
    <mergeCell ref="A44:A45"/>
    <mergeCell ref="B44:B45"/>
    <mergeCell ref="C44:F45"/>
    <mergeCell ref="G44:G45"/>
    <mergeCell ref="H44:H45"/>
    <mergeCell ref="I44:I45"/>
    <mergeCell ref="J44:J45"/>
    <mergeCell ref="A39:A40"/>
    <mergeCell ref="B39:B40"/>
    <mergeCell ref="C39:F40"/>
    <mergeCell ref="G39:G40"/>
    <mergeCell ref="H39:H40"/>
    <mergeCell ref="I39:I40"/>
    <mergeCell ref="A49:A50"/>
    <mergeCell ref="B49:B50"/>
    <mergeCell ref="C49:F50"/>
    <mergeCell ref="G49:G50"/>
    <mergeCell ref="H49:H50"/>
    <mergeCell ref="C51:F51"/>
    <mergeCell ref="C52:F52"/>
    <mergeCell ref="C53:F53"/>
    <mergeCell ref="K44:K45"/>
    <mergeCell ref="C46:F46"/>
    <mergeCell ref="I49:I50"/>
    <mergeCell ref="J49:J50"/>
    <mergeCell ref="K49:K50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view="pageBreakPreview" topLeftCell="A19" zoomScale="85" zoomScaleNormal="85" zoomScaleSheetLayoutView="85" workbookViewId="0">
      <selection activeCell="A46" sqref="A46:A47"/>
    </sheetView>
  </sheetViews>
  <sheetFormatPr defaultRowHeight="15" x14ac:dyDescent="0.25"/>
  <cols>
    <col min="1" max="1" width="10.42578125" customWidth="1"/>
    <col min="2" max="2" width="65.5703125" customWidth="1"/>
    <col min="3" max="4" width="7" bestFit="1" customWidth="1"/>
    <col min="5" max="5" width="6.42578125" bestFit="1" customWidth="1"/>
    <col min="6" max="6" width="8" bestFit="1" customWidth="1"/>
    <col min="7" max="7" width="10.85546875" customWidth="1"/>
    <col min="9" max="9" width="8.5703125" bestFit="1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16</v>
      </c>
      <c r="B2" s="184" t="s">
        <v>1340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2434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1339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1118</v>
      </c>
      <c r="C6" s="243">
        <v>5</v>
      </c>
      <c r="D6" s="243">
        <v>5</v>
      </c>
      <c r="E6" s="243"/>
      <c r="F6" s="243">
        <f>C6*D6</f>
        <v>25</v>
      </c>
      <c r="G6" s="243">
        <f>F6</f>
        <v>25</v>
      </c>
      <c r="H6" s="244" t="s">
        <v>1076</v>
      </c>
      <c r="I6" s="253">
        <v>0.29654999999999998</v>
      </c>
      <c r="J6" s="254">
        <f>Insumos!D21</f>
        <v>0</v>
      </c>
      <c r="K6" s="254">
        <f>TRUNC(G6*I6*J6,2)</f>
        <v>0</v>
      </c>
    </row>
    <row r="7" spans="1:11" s="247" customFormat="1" x14ac:dyDescent="0.25">
      <c r="A7" s="34" t="s">
        <v>1203</v>
      </c>
      <c r="B7" s="251" t="str">
        <f>[2]INSUMOS!A7</f>
        <v>Locação Estrutura Metálica - PISO</v>
      </c>
      <c r="C7" s="243">
        <v>4</v>
      </c>
      <c r="D7" s="243">
        <v>4</v>
      </c>
      <c r="E7" s="243"/>
      <c r="F7" s="243">
        <f>C7*D7</f>
        <v>16</v>
      </c>
      <c r="G7" s="243">
        <f>F7</f>
        <v>16</v>
      </c>
      <c r="H7" s="244" t="s">
        <v>1076</v>
      </c>
      <c r="I7" s="253">
        <v>0.29654999999999998</v>
      </c>
      <c r="J7" s="254">
        <f>Insumos!D7</f>
        <v>0</v>
      </c>
      <c r="K7" s="254">
        <f>TRUNC(G7*I7*J7,2)</f>
        <v>0</v>
      </c>
    </row>
    <row r="8" spans="1:11" s="247" customFormat="1" x14ac:dyDescent="0.25">
      <c r="A8" s="34" t="s">
        <v>1202</v>
      </c>
      <c r="B8" s="251" t="s">
        <v>1075</v>
      </c>
      <c r="C8" s="243">
        <v>0.7</v>
      </c>
      <c r="D8" s="243">
        <v>3</v>
      </c>
      <c r="E8" s="243">
        <v>8</v>
      </c>
      <c r="F8" s="243">
        <f>C8*D8*E8</f>
        <v>16.799999999999997</v>
      </c>
      <c r="G8" s="243">
        <f>F8</f>
        <v>16.799999999999997</v>
      </c>
      <c r="H8" s="244" t="s">
        <v>1076</v>
      </c>
      <c r="I8" s="253">
        <v>0.29654999999999998</v>
      </c>
      <c r="J8" s="254">
        <f>Insumos!D4</f>
        <v>0</v>
      </c>
      <c r="K8" s="254">
        <f>TRUNC(G8*I8*J8,2)</f>
        <v>0</v>
      </c>
    </row>
    <row r="9" spans="1:11" s="247" customFormat="1" ht="30" x14ac:dyDescent="0.25">
      <c r="A9" s="34" t="s">
        <v>1205</v>
      </c>
      <c r="B9" s="255" t="s">
        <v>1126</v>
      </c>
      <c r="C9" s="243"/>
      <c r="D9" s="243"/>
      <c r="E9" s="243"/>
      <c r="F9" s="243"/>
      <c r="G9" s="243">
        <f>F6</f>
        <v>25</v>
      </c>
      <c r="H9" s="244" t="s">
        <v>1076</v>
      </c>
      <c r="I9" s="253">
        <v>0.29654900000000001</v>
      </c>
      <c r="J9" s="254">
        <f>Insumos!D27</f>
        <v>0</v>
      </c>
      <c r="K9" s="254">
        <f>TRUNC(G9*I9*J9,2)</f>
        <v>0</v>
      </c>
    </row>
    <row r="10" spans="1:11" x14ac:dyDescent="0.25">
      <c r="A10" s="152"/>
      <c r="B10" s="159"/>
      <c r="C10" s="154"/>
      <c r="D10" s="154"/>
      <c r="E10" s="154"/>
      <c r="F10" s="154"/>
      <c r="G10" s="154"/>
      <c r="H10" s="154"/>
      <c r="I10" s="154"/>
      <c r="J10" s="191" t="s">
        <v>1064</v>
      </c>
      <c r="K10" s="190">
        <f>SUM(K8:K9)</f>
        <v>0</v>
      </c>
    </row>
    <row r="11" spans="1:11" x14ac:dyDescent="0.25">
      <c r="A11" s="146" t="s">
        <v>2435</v>
      </c>
      <c r="B11" s="179" t="s">
        <v>1219</v>
      </c>
      <c r="C11" s="148"/>
      <c r="D11" s="148"/>
      <c r="E11" s="148"/>
      <c r="F11" s="148"/>
      <c r="G11" s="148"/>
      <c r="H11" s="148"/>
      <c r="I11" s="148"/>
      <c r="J11" s="148"/>
      <c r="K11" s="188"/>
    </row>
    <row r="12" spans="1:11" x14ac:dyDescent="0.25">
      <c r="A12" s="611" t="s">
        <v>1196</v>
      </c>
      <c r="B12" s="612" t="s">
        <v>1067</v>
      </c>
      <c r="C12" s="611" t="s">
        <v>1197</v>
      </c>
      <c r="D12" s="611"/>
      <c r="E12" s="611"/>
      <c r="F12" s="611"/>
      <c r="G12" s="619" t="s">
        <v>14</v>
      </c>
      <c r="H12" s="610" t="s">
        <v>1068</v>
      </c>
      <c r="I12" s="608" t="s">
        <v>35</v>
      </c>
      <c r="J12" s="610" t="s">
        <v>1069</v>
      </c>
      <c r="K12" s="610" t="s">
        <v>16</v>
      </c>
    </row>
    <row r="13" spans="1:11" x14ac:dyDescent="0.25">
      <c r="A13" s="611"/>
      <c r="B13" s="612"/>
      <c r="C13" s="161"/>
      <c r="D13" s="161"/>
      <c r="E13" s="161"/>
      <c r="F13" s="161"/>
      <c r="G13" s="620"/>
      <c r="H13" s="610"/>
      <c r="I13" s="609"/>
      <c r="J13" s="610"/>
      <c r="K13" s="610"/>
    </row>
    <row r="14" spans="1:11" x14ac:dyDescent="0.25">
      <c r="A14" s="124" t="s">
        <v>1206</v>
      </c>
      <c r="B14" s="6" t="s">
        <v>1147</v>
      </c>
      <c r="C14" s="143"/>
      <c r="D14" s="143"/>
      <c r="E14" s="143"/>
      <c r="F14" s="143"/>
      <c r="G14" s="143">
        <v>1</v>
      </c>
      <c r="H14" s="140" t="s">
        <v>1140</v>
      </c>
      <c r="I14" s="150">
        <v>0.2</v>
      </c>
      <c r="J14" s="167">
        <f>Insumos!D49</f>
        <v>0</v>
      </c>
      <c r="K14" s="167">
        <f>TRUNC(G14*I14*J14,2)</f>
        <v>0</v>
      </c>
    </row>
    <row r="15" spans="1:11" x14ac:dyDescent="0.25">
      <c r="A15" s="124" t="s">
        <v>1207</v>
      </c>
      <c r="B15" s="6" t="s">
        <v>1148</v>
      </c>
      <c r="C15" s="143"/>
      <c r="D15" s="143"/>
      <c r="E15" s="143"/>
      <c r="F15" s="143"/>
      <c r="G15" s="143">
        <v>1</v>
      </c>
      <c r="H15" s="140" t="s">
        <v>1140</v>
      </c>
      <c r="I15" s="150">
        <v>0.2</v>
      </c>
      <c r="J15" s="167">
        <f>Insumos!D50</f>
        <v>0</v>
      </c>
      <c r="K15" s="167">
        <f>TRUNC(G15*I15*J15,2)</f>
        <v>0</v>
      </c>
    </row>
    <row r="16" spans="1:11" x14ac:dyDescent="0.25">
      <c r="A16" s="124" t="s">
        <v>1208</v>
      </c>
      <c r="B16" s="6" t="s">
        <v>1149</v>
      </c>
      <c r="C16" s="143"/>
      <c r="D16" s="143"/>
      <c r="E16" s="143"/>
      <c r="F16" s="143"/>
      <c r="G16" s="143">
        <v>1</v>
      </c>
      <c r="H16" s="140" t="s">
        <v>1140</v>
      </c>
      <c r="I16" s="150">
        <v>0.2</v>
      </c>
      <c r="J16" s="167">
        <f>Insumos!D51</f>
        <v>0</v>
      </c>
      <c r="K16" s="167">
        <f>TRUNC(G16*I16*J16,2)</f>
        <v>0</v>
      </c>
    </row>
    <row r="17" spans="1:11" x14ac:dyDescent="0.25">
      <c r="A17" s="124" t="s">
        <v>1209</v>
      </c>
      <c r="B17" s="6" t="s">
        <v>1150</v>
      </c>
      <c r="C17" s="143"/>
      <c r="D17" s="143"/>
      <c r="E17" s="143"/>
      <c r="F17" s="143"/>
      <c r="G17" s="143">
        <v>6</v>
      </c>
      <c r="H17" s="140" t="s">
        <v>1151</v>
      </c>
      <c r="I17" s="150">
        <v>0.2</v>
      </c>
      <c r="J17" s="167">
        <f>Insumos!D52</f>
        <v>0</v>
      </c>
      <c r="K17" s="167">
        <f>TRUNC(G17*I17*J17,2)</f>
        <v>0</v>
      </c>
    </row>
    <row r="18" spans="1:11" x14ac:dyDescent="0.25">
      <c r="A18" s="124" t="s">
        <v>1210</v>
      </c>
      <c r="B18" s="6" t="s">
        <v>1248</v>
      </c>
      <c r="C18" s="143"/>
      <c r="D18" s="143"/>
      <c r="E18" s="143"/>
      <c r="F18" s="143"/>
      <c r="G18" s="143">
        <v>4</v>
      </c>
      <c r="H18" s="140" t="s">
        <v>1154</v>
      </c>
      <c r="I18" s="150">
        <v>0.2</v>
      </c>
      <c r="J18" s="167">
        <f>Insumos!D54</f>
        <v>0</v>
      </c>
      <c r="K18" s="167">
        <f>TRUNC(G18*I18*J18,2)</f>
        <v>0</v>
      </c>
    </row>
    <row r="19" spans="1:11" x14ac:dyDescent="0.25">
      <c r="A19" s="152"/>
      <c r="B19" s="159"/>
      <c r="C19" s="154"/>
      <c r="D19" s="154"/>
      <c r="E19" s="154"/>
      <c r="F19" s="154"/>
      <c r="G19" s="154"/>
      <c r="H19" s="157"/>
      <c r="I19" s="157"/>
      <c r="J19" s="192" t="s">
        <v>1064</v>
      </c>
      <c r="K19" s="193">
        <f>SUM(K14:K18)</f>
        <v>0</v>
      </c>
    </row>
    <row r="20" spans="1:11" x14ac:dyDescent="0.25">
      <c r="A20" s="146" t="s">
        <v>2436</v>
      </c>
      <c r="B20" s="179" t="s">
        <v>1155</v>
      </c>
      <c r="C20" s="148"/>
      <c r="D20" s="148"/>
      <c r="E20" s="148"/>
      <c r="F20" s="148"/>
      <c r="G20" s="148"/>
      <c r="H20" s="148"/>
      <c r="I20" s="148"/>
      <c r="J20" s="148"/>
      <c r="K20" s="188"/>
    </row>
    <row r="21" spans="1:11" x14ac:dyDescent="0.25">
      <c r="A21" s="611" t="s">
        <v>1196</v>
      </c>
      <c r="B21" s="612" t="s">
        <v>1067</v>
      </c>
      <c r="C21" s="613" t="s">
        <v>1197</v>
      </c>
      <c r="D21" s="614"/>
      <c r="E21" s="614"/>
      <c r="F21" s="615"/>
      <c r="G21" s="619" t="s">
        <v>14</v>
      </c>
      <c r="H21" s="610" t="s">
        <v>1068</v>
      </c>
      <c r="I21" s="608" t="s">
        <v>35</v>
      </c>
      <c r="J21" s="610" t="s">
        <v>1249</v>
      </c>
      <c r="K21" s="610" t="s">
        <v>16</v>
      </c>
    </row>
    <row r="22" spans="1:11" x14ac:dyDescent="0.25">
      <c r="A22" s="611"/>
      <c r="B22" s="612"/>
      <c r="C22" s="616"/>
      <c r="D22" s="617"/>
      <c r="E22" s="617"/>
      <c r="F22" s="618"/>
      <c r="G22" s="620"/>
      <c r="H22" s="610"/>
      <c r="I22" s="609"/>
      <c r="J22" s="610"/>
      <c r="K22" s="610"/>
    </row>
    <row r="23" spans="1:11" x14ac:dyDescent="0.25">
      <c r="A23" s="124" t="s">
        <v>1211</v>
      </c>
      <c r="B23" s="104" t="s">
        <v>1156</v>
      </c>
      <c r="C23" s="143"/>
      <c r="D23" s="143"/>
      <c r="E23" s="143"/>
      <c r="F23" s="143"/>
      <c r="G23" s="143">
        <f>G9/60</f>
        <v>0.41666666666666669</v>
      </c>
      <c r="H23" s="140" t="s">
        <v>1228</v>
      </c>
      <c r="I23" s="150">
        <v>0.25</v>
      </c>
      <c r="J23" s="167">
        <f>Insumos!D58</f>
        <v>0</v>
      </c>
      <c r="K23" s="167">
        <f t="shared" ref="K23:K33" si="0">TRUNC(G23*I23*J23,2)</f>
        <v>0</v>
      </c>
    </row>
    <row r="24" spans="1:11" x14ac:dyDescent="0.25">
      <c r="A24" s="124" t="s">
        <v>1212</v>
      </c>
      <c r="B24" s="104" t="s">
        <v>1171</v>
      </c>
      <c r="C24" s="143"/>
      <c r="D24" s="143"/>
      <c r="E24" s="143"/>
      <c r="F24" s="143"/>
      <c r="G24" s="143">
        <f>F7</f>
        <v>16</v>
      </c>
      <c r="H24" s="140" t="s">
        <v>1089</v>
      </c>
      <c r="I24" s="150">
        <v>0.25</v>
      </c>
      <c r="J24" s="167">
        <f>Insumos!D69</f>
        <v>0</v>
      </c>
      <c r="K24" s="167">
        <f t="shared" si="0"/>
        <v>0</v>
      </c>
    </row>
    <row r="25" spans="1:11" x14ac:dyDescent="0.25">
      <c r="A25" s="124" t="s">
        <v>1213</v>
      </c>
      <c r="B25" s="104" t="s">
        <v>1158</v>
      </c>
      <c r="C25" s="143"/>
      <c r="D25" s="143"/>
      <c r="E25" s="143"/>
      <c r="F25" s="143"/>
      <c r="G25" s="143">
        <f>(G24*0.06)/3.6</f>
        <v>0.26666666666666666</v>
      </c>
      <c r="H25" s="140" t="s">
        <v>1159</v>
      </c>
      <c r="I25" s="150">
        <v>1</v>
      </c>
      <c r="J25" s="167">
        <f>Insumos!D60</f>
        <v>0</v>
      </c>
      <c r="K25" s="167">
        <f t="shared" si="0"/>
        <v>0</v>
      </c>
    </row>
    <row r="26" spans="1:11" x14ac:dyDescent="0.25">
      <c r="A26" s="124" t="s">
        <v>1214</v>
      </c>
      <c r="B26" s="104" t="s">
        <v>1160</v>
      </c>
      <c r="C26" s="143"/>
      <c r="D26" s="143"/>
      <c r="E26" s="143"/>
      <c r="F26" s="143"/>
      <c r="G26" s="143">
        <f>((G24)/5*0.06)/3.6</f>
        <v>5.333333333333333E-2</v>
      </c>
      <c r="H26" s="140" t="s">
        <v>1159</v>
      </c>
      <c r="I26" s="150">
        <v>1</v>
      </c>
      <c r="J26" s="167">
        <f>Insumos!D61</f>
        <v>0</v>
      </c>
      <c r="K26" s="167">
        <f t="shared" si="0"/>
        <v>0</v>
      </c>
    </row>
    <row r="27" spans="1:11" x14ac:dyDescent="0.25">
      <c r="A27" s="124" t="s">
        <v>1215</v>
      </c>
      <c r="B27" s="104" t="s">
        <v>1161</v>
      </c>
      <c r="C27" s="143"/>
      <c r="D27" s="143"/>
      <c r="E27" s="143"/>
      <c r="F27" s="143"/>
      <c r="G27" s="143">
        <f>G26/1.4</f>
        <v>3.8095238095238092E-2</v>
      </c>
      <c r="H27" s="140" t="s">
        <v>1162</v>
      </c>
      <c r="I27" s="150">
        <v>1</v>
      </c>
      <c r="J27" s="167">
        <f>Insumos!D62</f>
        <v>0</v>
      </c>
      <c r="K27" s="167">
        <f t="shared" si="0"/>
        <v>0</v>
      </c>
    </row>
    <row r="28" spans="1:11" x14ac:dyDescent="0.25">
      <c r="A28" s="124" t="s">
        <v>1216</v>
      </c>
      <c r="B28" s="104" t="s">
        <v>1163</v>
      </c>
      <c r="C28" s="143"/>
      <c r="D28" s="143"/>
      <c r="E28" s="143"/>
      <c r="F28" s="143"/>
      <c r="G28" s="143">
        <v>2</v>
      </c>
      <c r="H28" s="140" t="s">
        <v>1068</v>
      </c>
      <c r="I28" s="150">
        <v>0.5</v>
      </c>
      <c r="J28" s="167">
        <f>Insumos!D63</f>
        <v>0</v>
      </c>
      <c r="K28" s="167">
        <f t="shared" si="0"/>
        <v>0</v>
      </c>
    </row>
    <row r="29" spans="1:11" x14ac:dyDescent="0.25">
      <c r="A29" s="124" t="s">
        <v>1217</v>
      </c>
      <c r="B29" s="104" t="s">
        <v>1164</v>
      </c>
      <c r="C29" s="143"/>
      <c r="D29" s="143"/>
      <c r="E29" s="143"/>
      <c r="F29" s="143"/>
      <c r="G29" s="143">
        <v>1</v>
      </c>
      <c r="H29" s="140" t="s">
        <v>1068</v>
      </c>
      <c r="I29" s="150">
        <v>0.5</v>
      </c>
      <c r="J29" s="167">
        <f>Insumos!D64</f>
        <v>0</v>
      </c>
      <c r="K29" s="167">
        <f t="shared" si="0"/>
        <v>0</v>
      </c>
    </row>
    <row r="30" spans="1:11" x14ac:dyDescent="0.25">
      <c r="A30" s="124" t="s">
        <v>1220</v>
      </c>
      <c r="B30" s="104" t="s">
        <v>1165</v>
      </c>
      <c r="C30" s="143"/>
      <c r="D30" s="143"/>
      <c r="E30" s="143"/>
      <c r="F30" s="143"/>
      <c r="G30" s="143">
        <v>2</v>
      </c>
      <c r="H30" s="140" t="s">
        <v>1068</v>
      </c>
      <c r="I30" s="150">
        <v>0.25</v>
      </c>
      <c r="J30" s="167">
        <f>Insumos!D65</f>
        <v>0</v>
      </c>
      <c r="K30" s="167">
        <f t="shared" si="0"/>
        <v>0</v>
      </c>
    </row>
    <row r="31" spans="1:11" x14ac:dyDescent="0.25">
      <c r="A31" s="124" t="s">
        <v>1222</v>
      </c>
      <c r="B31" s="104" t="s">
        <v>1166</v>
      </c>
      <c r="C31" s="143"/>
      <c r="D31" s="143"/>
      <c r="E31" s="143"/>
      <c r="F31" s="143"/>
      <c r="G31" s="143">
        <v>0.23</v>
      </c>
      <c r="H31" s="140" t="s">
        <v>1096</v>
      </c>
      <c r="I31" s="150">
        <v>1</v>
      </c>
      <c r="J31" s="167">
        <f>Insumos!D66</f>
        <v>0</v>
      </c>
      <c r="K31" s="167">
        <f t="shared" si="0"/>
        <v>0</v>
      </c>
    </row>
    <row r="32" spans="1:11" x14ac:dyDescent="0.25">
      <c r="A32" s="124" t="s">
        <v>1223</v>
      </c>
      <c r="B32" s="104" t="s">
        <v>1167</v>
      </c>
      <c r="C32" s="143"/>
      <c r="D32" s="143"/>
      <c r="E32" s="143"/>
      <c r="F32" s="143"/>
      <c r="G32" s="143">
        <v>0.12</v>
      </c>
      <c r="H32" s="140" t="s">
        <v>1168</v>
      </c>
      <c r="I32" s="150">
        <v>1</v>
      </c>
      <c r="J32" s="167">
        <f>Insumos!D67</f>
        <v>0</v>
      </c>
      <c r="K32" s="167">
        <f t="shared" si="0"/>
        <v>0</v>
      </c>
    </row>
    <row r="33" spans="1:11" x14ac:dyDescent="0.25">
      <c r="A33" s="124" t="s">
        <v>1224</v>
      </c>
      <c r="B33" s="104" t="s">
        <v>1169</v>
      </c>
      <c r="C33" s="143"/>
      <c r="D33" s="143"/>
      <c r="E33" s="143"/>
      <c r="F33" s="143"/>
      <c r="G33" s="143">
        <v>0.31</v>
      </c>
      <c r="H33" s="140" t="s">
        <v>1170</v>
      </c>
      <c r="I33" s="150">
        <v>1</v>
      </c>
      <c r="J33" s="167">
        <f>Insumos!D68</f>
        <v>0</v>
      </c>
      <c r="K33" s="167">
        <f t="shared" si="0"/>
        <v>0</v>
      </c>
    </row>
    <row r="34" spans="1:11" x14ac:dyDescent="0.25">
      <c r="A34" s="152"/>
      <c r="B34" s="159"/>
      <c r="C34" s="159"/>
      <c r="D34" s="159"/>
      <c r="E34" s="159"/>
      <c r="F34" s="159"/>
      <c r="G34" s="159"/>
      <c r="H34" s="159"/>
      <c r="I34" s="159"/>
      <c r="J34" s="170" t="s">
        <v>1064</v>
      </c>
      <c r="K34" s="175">
        <f>SUM(K23:K33)</f>
        <v>0</v>
      </c>
    </row>
    <row r="35" spans="1:11" x14ac:dyDescent="0.25">
      <c r="A35" s="146" t="s">
        <v>2437</v>
      </c>
      <c r="B35" s="179" t="s">
        <v>1176</v>
      </c>
      <c r="C35" s="148"/>
      <c r="D35" s="148"/>
      <c r="E35" s="148"/>
      <c r="F35" s="148"/>
      <c r="G35" s="148"/>
      <c r="H35" s="148"/>
      <c r="I35" s="148"/>
      <c r="J35" s="148"/>
      <c r="K35" s="188"/>
    </row>
    <row r="36" spans="1:11" x14ac:dyDescent="0.25">
      <c r="A36" s="611" t="s">
        <v>1196</v>
      </c>
      <c r="B36" s="612" t="s">
        <v>1067</v>
      </c>
      <c r="C36" s="613" t="s">
        <v>1197</v>
      </c>
      <c r="D36" s="614"/>
      <c r="E36" s="614"/>
      <c r="F36" s="615"/>
      <c r="G36" s="619" t="s">
        <v>14</v>
      </c>
      <c r="H36" s="610" t="s">
        <v>1068</v>
      </c>
      <c r="I36" s="608" t="s">
        <v>35</v>
      </c>
      <c r="J36" s="610" t="s">
        <v>1249</v>
      </c>
      <c r="K36" s="610" t="s">
        <v>16</v>
      </c>
    </row>
    <row r="37" spans="1:11" x14ac:dyDescent="0.25">
      <c r="A37" s="611"/>
      <c r="B37" s="612"/>
      <c r="C37" s="616"/>
      <c r="D37" s="617"/>
      <c r="E37" s="617"/>
      <c r="F37" s="618"/>
      <c r="G37" s="620"/>
      <c r="H37" s="610"/>
      <c r="I37" s="609"/>
      <c r="J37" s="610"/>
      <c r="K37" s="610"/>
    </row>
    <row r="38" spans="1:11" x14ac:dyDescent="0.25">
      <c r="A38" s="124" t="s">
        <v>1225</v>
      </c>
      <c r="B38" s="6" t="s">
        <v>1242</v>
      </c>
      <c r="C38" s="605"/>
      <c r="D38" s="606"/>
      <c r="E38" s="606"/>
      <c r="F38" s="607"/>
      <c r="G38" s="143">
        <v>1</v>
      </c>
      <c r="H38" s="140" t="s">
        <v>1140</v>
      </c>
      <c r="I38" s="150">
        <v>2</v>
      </c>
      <c r="J38" s="167">
        <f>Insumos!D75</f>
        <v>0</v>
      </c>
      <c r="K38" s="167">
        <f>TRUNC(G38*I38*J38,2)</f>
        <v>0</v>
      </c>
    </row>
    <row r="39" spans="1:11" x14ac:dyDescent="0.25">
      <c r="A39" s="152"/>
      <c r="B39" s="159"/>
      <c r="C39" s="159"/>
      <c r="D39" s="159"/>
      <c r="E39" s="159"/>
      <c r="F39" s="159"/>
      <c r="G39" s="159"/>
      <c r="H39" s="159"/>
      <c r="I39" s="159"/>
      <c r="J39" s="170" t="s">
        <v>1064</v>
      </c>
      <c r="K39" s="175">
        <f>SUM(K38)</f>
        <v>0</v>
      </c>
    </row>
    <row r="40" spans="1:11" x14ac:dyDescent="0.25">
      <c r="A40" s="146" t="s">
        <v>2438</v>
      </c>
      <c r="B40" s="179" t="s">
        <v>1178</v>
      </c>
      <c r="C40" s="148"/>
      <c r="D40" s="148"/>
      <c r="E40" s="148"/>
      <c r="F40" s="148"/>
      <c r="G40" s="148"/>
      <c r="H40" s="148"/>
      <c r="I40" s="148"/>
      <c r="J40" s="148"/>
      <c r="K40" s="188"/>
    </row>
    <row r="41" spans="1:11" x14ac:dyDescent="0.25">
      <c r="A41" s="611" t="s">
        <v>1196</v>
      </c>
      <c r="B41" s="612" t="s">
        <v>1067</v>
      </c>
      <c r="C41" s="613" t="s">
        <v>1197</v>
      </c>
      <c r="D41" s="614"/>
      <c r="E41" s="614"/>
      <c r="F41" s="615"/>
      <c r="G41" s="619" t="s">
        <v>14</v>
      </c>
      <c r="H41" s="610" t="s">
        <v>1068</v>
      </c>
      <c r="I41" s="608" t="s">
        <v>35</v>
      </c>
      <c r="J41" s="610" t="s">
        <v>1249</v>
      </c>
      <c r="K41" s="610" t="s">
        <v>16</v>
      </c>
    </row>
    <row r="42" spans="1:11" x14ac:dyDescent="0.25">
      <c r="A42" s="611"/>
      <c r="B42" s="612"/>
      <c r="C42" s="616"/>
      <c r="D42" s="617"/>
      <c r="E42" s="617"/>
      <c r="F42" s="618"/>
      <c r="G42" s="620"/>
      <c r="H42" s="610"/>
      <c r="I42" s="609"/>
      <c r="J42" s="610"/>
      <c r="K42" s="610"/>
    </row>
    <row r="43" spans="1:11" x14ac:dyDescent="0.25">
      <c r="A43" s="124" t="s">
        <v>1226</v>
      </c>
      <c r="B43" s="6" t="s">
        <v>42</v>
      </c>
      <c r="C43" s="605"/>
      <c r="D43" s="606"/>
      <c r="E43" s="606"/>
      <c r="F43" s="607"/>
      <c r="G43" s="143">
        <v>1</v>
      </c>
      <c r="H43" s="140" t="s">
        <v>1140</v>
      </c>
      <c r="I43" s="150">
        <v>1</v>
      </c>
      <c r="J43" s="167">
        <f>Insumos!D78</f>
        <v>0</v>
      </c>
      <c r="K43" s="167">
        <f>TRUNC(G43*I43*J43,2)</f>
        <v>0</v>
      </c>
    </row>
    <row r="44" spans="1:11" x14ac:dyDescent="0.25">
      <c r="A44" s="152"/>
      <c r="B44" s="159"/>
      <c r="C44" s="159"/>
      <c r="D44" s="159"/>
      <c r="E44" s="159"/>
      <c r="F44" s="159"/>
      <c r="G44" s="159"/>
      <c r="H44" s="159"/>
      <c r="I44" s="159"/>
      <c r="J44" s="170" t="s">
        <v>1064</v>
      </c>
      <c r="K44" s="175">
        <f>K43</f>
        <v>0</v>
      </c>
    </row>
    <row r="45" spans="1:11" x14ac:dyDescent="0.25">
      <c r="A45" s="146" t="s">
        <v>2439</v>
      </c>
      <c r="B45" s="179" t="s">
        <v>1180</v>
      </c>
      <c r="C45" s="148"/>
      <c r="D45" s="148"/>
      <c r="E45" s="148"/>
      <c r="F45" s="148"/>
      <c r="G45" s="148"/>
      <c r="H45" s="148"/>
      <c r="I45" s="148"/>
      <c r="J45" s="148"/>
      <c r="K45" s="188"/>
    </row>
    <row r="46" spans="1:11" x14ac:dyDescent="0.25">
      <c r="A46" s="611" t="s">
        <v>1196</v>
      </c>
      <c r="B46" s="612" t="s">
        <v>1067</v>
      </c>
      <c r="C46" s="613" t="s">
        <v>1197</v>
      </c>
      <c r="D46" s="614"/>
      <c r="E46" s="614"/>
      <c r="F46" s="615"/>
      <c r="G46" s="619" t="s">
        <v>14</v>
      </c>
      <c r="H46" s="610" t="s">
        <v>1068</v>
      </c>
      <c r="I46" s="608" t="s">
        <v>35</v>
      </c>
      <c r="J46" s="610" t="s">
        <v>1249</v>
      </c>
      <c r="K46" s="610" t="s">
        <v>16</v>
      </c>
    </row>
    <row r="47" spans="1:11" x14ac:dyDescent="0.25">
      <c r="A47" s="611"/>
      <c r="B47" s="612"/>
      <c r="C47" s="616"/>
      <c r="D47" s="617"/>
      <c r="E47" s="617"/>
      <c r="F47" s="618"/>
      <c r="G47" s="620"/>
      <c r="H47" s="610"/>
      <c r="I47" s="609"/>
      <c r="J47" s="610"/>
      <c r="K47" s="610"/>
    </row>
    <row r="48" spans="1:11" x14ac:dyDescent="0.25">
      <c r="A48" s="124" t="s">
        <v>1227</v>
      </c>
      <c r="B48" s="6" t="s">
        <v>1181</v>
      </c>
      <c r="C48" s="605"/>
      <c r="D48" s="606"/>
      <c r="E48" s="606"/>
      <c r="F48" s="607"/>
      <c r="G48" s="143">
        <v>1</v>
      </c>
      <c r="H48" s="140" t="s">
        <v>1140</v>
      </c>
      <c r="I48" s="150">
        <v>0</v>
      </c>
      <c r="J48" s="167">
        <f>Insumos!D81</f>
        <v>0</v>
      </c>
      <c r="K48" s="167">
        <f>TRUNC(G48*I48*J48,2)</f>
        <v>0</v>
      </c>
    </row>
    <row r="49" spans="1:11" x14ac:dyDescent="0.25">
      <c r="A49" s="124" t="s">
        <v>1229</v>
      </c>
      <c r="B49" s="6" t="s">
        <v>1182</v>
      </c>
      <c r="C49" s="605"/>
      <c r="D49" s="606"/>
      <c r="E49" s="606"/>
      <c r="F49" s="607"/>
      <c r="G49" s="143">
        <v>1</v>
      </c>
      <c r="H49" s="140" t="s">
        <v>1140</v>
      </c>
      <c r="I49" s="150">
        <v>0.1</v>
      </c>
      <c r="J49" s="167">
        <f>Insumos!D82</f>
        <v>0</v>
      </c>
      <c r="K49" s="167">
        <f>TRUNC(G49*I49*J49,2)</f>
        <v>0</v>
      </c>
    </row>
    <row r="50" spans="1:11" x14ac:dyDescent="0.25">
      <c r="A50" s="124" t="s">
        <v>1231</v>
      </c>
      <c r="B50" s="6" t="s">
        <v>1183</v>
      </c>
      <c r="C50" s="605"/>
      <c r="D50" s="606"/>
      <c r="E50" s="606"/>
      <c r="F50" s="607"/>
      <c r="G50" s="143">
        <v>1</v>
      </c>
      <c r="H50" s="140" t="s">
        <v>1140</v>
      </c>
      <c r="I50" s="150">
        <v>0.1</v>
      </c>
      <c r="J50" s="167">
        <f>Insumos!D83</f>
        <v>0</v>
      </c>
      <c r="K50" s="167">
        <f>TRUNC(G50*I50*J50,2)</f>
        <v>0</v>
      </c>
    </row>
    <row r="51" spans="1:11" x14ac:dyDescent="0.25">
      <c r="A51" s="152"/>
      <c r="B51" s="159"/>
      <c r="C51" s="159"/>
      <c r="D51" s="159"/>
      <c r="E51" s="159"/>
      <c r="F51" s="159"/>
      <c r="G51" s="159"/>
      <c r="H51" s="159"/>
      <c r="I51" s="159"/>
      <c r="J51" s="170" t="s">
        <v>1064</v>
      </c>
      <c r="K51" s="175">
        <f>SUM(K48:K50)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2:J13"/>
    <mergeCell ref="K12:K13"/>
    <mergeCell ref="A21:A22"/>
    <mergeCell ref="B21:B22"/>
    <mergeCell ref="C21:F22"/>
    <mergeCell ref="G21:G22"/>
    <mergeCell ref="H21:H22"/>
    <mergeCell ref="I21:I22"/>
    <mergeCell ref="J21:J22"/>
    <mergeCell ref="K21:K22"/>
    <mergeCell ref="A12:A13"/>
    <mergeCell ref="B12:B13"/>
    <mergeCell ref="C12:F12"/>
    <mergeCell ref="G12:G13"/>
    <mergeCell ref="H12:H13"/>
    <mergeCell ref="I12:I13"/>
    <mergeCell ref="J36:J37"/>
    <mergeCell ref="K36:K37"/>
    <mergeCell ref="C38:F38"/>
    <mergeCell ref="A41:A42"/>
    <mergeCell ref="B41:B42"/>
    <mergeCell ref="C41:F42"/>
    <mergeCell ref="G41:G42"/>
    <mergeCell ref="H41:H42"/>
    <mergeCell ref="I41:I42"/>
    <mergeCell ref="J41:J42"/>
    <mergeCell ref="A36:A37"/>
    <mergeCell ref="B36:B37"/>
    <mergeCell ref="C36:F37"/>
    <mergeCell ref="G36:G37"/>
    <mergeCell ref="H36:H37"/>
    <mergeCell ref="I36:I37"/>
    <mergeCell ref="A46:A47"/>
    <mergeCell ref="B46:B47"/>
    <mergeCell ref="C46:F47"/>
    <mergeCell ref="G46:G47"/>
    <mergeCell ref="H46:H47"/>
    <mergeCell ref="C48:F48"/>
    <mergeCell ref="C49:F49"/>
    <mergeCell ref="C50:F50"/>
    <mergeCell ref="K41:K42"/>
    <mergeCell ref="C43:F43"/>
    <mergeCell ref="I46:I47"/>
    <mergeCell ref="J46:J47"/>
    <mergeCell ref="K46:K47"/>
  </mergeCells>
  <pageMargins left="0.511811024" right="0.511811024" top="0.78740157499999996" bottom="0.78740157499999996" header="0.31496062000000002" footer="0.31496062000000002"/>
  <pageSetup paperSize="9" scale="5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view="pageBreakPreview" zoomScale="80" zoomScaleNormal="70" zoomScaleSheetLayoutView="80" workbookViewId="0">
      <selection activeCell="B3" sqref="B3:F3"/>
    </sheetView>
  </sheetViews>
  <sheetFormatPr defaultRowHeight="15" x14ac:dyDescent="0.25"/>
  <cols>
    <col min="1" max="1" width="12" customWidth="1"/>
    <col min="2" max="2" width="67.28515625" customWidth="1"/>
    <col min="3" max="4" width="8.42578125" customWidth="1"/>
    <col min="5" max="5" width="7.7109375" customWidth="1"/>
    <col min="6" max="7" width="10.85546875" customWidth="1"/>
    <col min="8" max="8" width="9.7109375" customWidth="1"/>
    <col min="9" max="9" width="9.42578125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19</v>
      </c>
      <c r="B2" s="184" t="s">
        <v>1953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106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5" t="s">
        <v>1423</v>
      </c>
      <c r="C6" s="243"/>
      <c r="D6" s="243">
        <f>2.6*2+10</f>
        <v>15.2</v>
      </c>
      <c r="E6" s="243">
        <v>10.199999999999999</v>
      </c>
      <c r="F6" s="243">
        <f>E6*D6</f>
        <v>155.04</v>
      </c>
      <c r="G6" s="243">
        <f>F6</f>
        <v>155.04</v>
      </c>
      <c r="H6" s="244" t="s">
        <v>1076</v>
      </c>
      <c r="I6" s="253">
        <v>1</v>
      </c>
      <c r="J6" s="254">
        <f>Insumos!D22</f>
        <v>0</v>
      </c>
      <c r="K6" s="263">
        <f>TRUNC(G6*I6*J6,2)</f>
        <v>0</v>
      </c>
    </row>
    <row r="7" spans="1:11" s="247" customFormat="1" x14ac:dyDescent="0.25">
      <c r="A7" s="34" t="s">
        <v>1203</v>
      </c>
      <c r="B7" s="255" t="s">
        <v>1094</v>
      </c>
      <c r="C7" s="243">
        <v>2</v>
      </c>
      <c r="D7" s="243">
        <f>D6</f>
        <v>15.2</v>
      </c>
      <c r="E7" s="243">
        <v>2.6</v>
      </c>
      <c r="F7" s="243">
        <f>E7*D7*C7</f>
        <v>79.039999999999992</v>
      </c>
      <c r="G7" s="243">
        <f>F7</f>
        <v>79.039999999999992</v>
      </c>
      <c r="H7" s="244" t="s">
        <v>1076</v>
      </c>
      <c r="I7" s="253">
        <v>1</v>
      </c>
      <c r="J7" s="254">
        <f>Insumos!D11</f>
        <v>0</v>
      </c>
      <c r="K7" s="263">
        <f>TRUNC(G7*I7*J7,2)</f>
        <v>0</v>
      </c>
    </row>
    <row r="8" spans="1:11" s="247" customFormat="1" x14ac:dyDescent="0.25">
      <c r="A8" s="34" t="s">
        <v>1204</v>
      </c>
      <c r="B8" s="255" t="s">
        <v>1128</v>
      </c>
      <c r="C8" s="243">
        <v>3.6</v>
      </c>
      <c r="D8" s="243">
        <f>D6</f>
        <v>15.2</v>
      </c>
      <c r="E8" s="243"/>
      <c r="F8" s="243">
        <f>D8*C8</f>
        <v>54.72</v>
      </c>
      <c r="G8" s="243">
        <f>F8</f>
        <v>54.72</v>
      </c>
      <c r="H8" s="244" t="s">
        <v>1076</v>
      </c>
      <c r="I8" s="253">
        <v>1</v>
      </c>
      <c r="J8" s="254">
        <f>Insumos!D29</f>
        <v>0</v>
      </c>
      <c r="K8" s="263">
        <f>TRUNC(G8*I8*J8,2)</f>
        <v>0</v>
      </c>
    </row>
    <row r="9" spans="1:11" s="247" customFormat="1" ht="30" x14ac:dyDescent="0.25">
      <c r="A9" s="34" t="s">
        <v>1205</v>
      </c>
      <c r="B9" s="255" t="s">
        <v>1123</v>
      </c>
      <c r="C9" s="243">
        <v>4</v>
      </c>
      <c r="D9" s="243"/>
      <c r="E9" s="243"/>
      <c r="F9" s="243"/>
      <c r="G9" s="243">
        <f>C9</f>
        <v>4</v>
      </c>
      <c r="H9" s="244" t="s">
        <v>1076</v>
      </c>
      <c r="I9" s="253">
        <v>1</v>
      </c>
      <c r="J9" s="254">
        <f>Insumos!D25</f>
        <v>0</v>
      </c>
      <c r="K9" s="263">
        <f>TRUNC(G9*I9*J9,2)</f>
        <v>0</v>
      </c>
    </row>
    <row r="10" spans="1:11" s="247" customFormat="1" x14ac:dyDescent="0.25">
      <c r="A10" s="394"/>
      <c r="B10" s="386"/>
      <c r="C10" s="382"/>
      <c r="D10" s="382"/>
      <c r="E10" s="382"/>
      <c r="F10" s="382"/>
      <c r="G10" s="382"/>
      <c r="H10" s="382"/>
      <c r="I10" s="382"/>
      <c r="J10" s="395" t="s">
        <v>1064</v>
      </c>
      <c r="K10" s="396">
        <f>SUM(K6:K9)</f>
        <v>0</v>
      </c>
    </row>
    <row r="11" spans="1:11" s="247" customFormat="1" x14ac:dyDescent="0.25">
      <c r="A11" s="401" t="s">
        <v>107</v>
      </c>
      <c r="B11" s="402" t="s">
        <v>1219</v>
      </c>
      <c r="C11" s="383"/>
      <c r="D11" s="383"/>
      <c r="E11" s="383"/>
      <c r="F11" s="383"/>
      <c r="G11" s="383"/>
      <c r="H11" s="383"/>
      <c r="I11" s="383"/>
      <c r="J11" s="403"/>
      <c r="K11" s="404"/>
    </row>
    <row r="12" spans="1:11" x14ac:dyDescent="0.25">
      <c r="A12" s="611" t="s">
        <v>1196</v>
      </c>
      <c r="B12" s="612" t="s">
        <v>1067</v>
      </c>
      <c r="C12" s="643" t="s">
        <v>1197</v>
      </c>
      <c r="D12" s="643"/>
      <c r="E12" s="643"/>
      <c r="F12" s="643"/>
      <c r="G12" s="619" t="s">
        <v>14</v>
      </c>
      <c r="H12" s="610" t="s">
        <v>1068</v>
      </c>
      <c r="I12" s="608" t="s">
        <v>35</v>
      </c>
      <c r="J12" s="630" t="s">
        <v>1069</v>
      </c>
      <c r="K12" s="630" t="s">
        <v>16</v>
      </c>
    </row>
    <row r="13" spans="1:11" x14ac:dyDescent="0.25">
      <c r="A13" s="611"/>
      <c r="B13" s="612"/>
      <c r="C13" s="389"/>
      <c r="D13" s="389"/>
      <c r="E13" s="389"/>
      <c r="F13" s="389"/>
      <c r="G13" s="620"/>
      <c r="H13" s="610"/>
      <c r="I13" s="609"/>
      <c r="J13" s="630"/>
      <c r="K13" s="630"/>
    </row>
    <row r="14" spans="1:11" x14ac:dyDescent="0.25">
      <c r="A14" s="124" t="s">
        <v>1206</v>
      </c>
      <c r="B14" s="6" t="s">
        <v>1147</v>
      </c>
      <c r="C14" s="313"/>
      <c r="D14" s="313"/>
      <c r="E14" s="313"/>
      <c r="F14" s="313"/>
      <c r="G14" s="143">
        <v>4</v>
      </c>
      <c r="H14" s="140" t="s">
        <v>1140</v>
      </c>
      <c r="I14" s="150">
        <f>G14/SUM($G$14:$G$19)</f>
        <v>4.4444444444444446E-2</v>
      </c>
      <c r="J14" s="167">
        <f>Insumos!D49</f>
        <v>0</v>
      </c>
      <c r="K14" s="199">
        <f t="shared" ref="K14:K19" si="0">TRUNC(G14*I14*J14,2)</f>
        <v>0</v>
      </c>
    </row>
    <row r="15" spans="1:11" x14ac:dyDescent="0.25">
      <c r="A15" s="124" t="s">
        <v>1207</v>
      </c>
      <c r="B15" s="6" t="s">
        <v>1148</v>
      </c>
      <c r="C15" s="313"/>
      <c r="D15" s="313"/>
      <c r="E15" s="313"/>
      <c r="F15" s="313"/>
      <c r="G15" s="143">
        <v>4</v>
      </c>
      <c r="H15" s="140" t="s">
        <v>1140</v>
      </c>
      <c r="I15" s="150">
        <f t="shared" ref="I15:I19" si="1">G15/SUM($G$14:$G$19)</f>
        <v>4.4444444444444446E-2</v>
      </c>
      <c r="J15" s="167">
        <f>Insumos!D50</f>
        <v>0</v>
      </c>
      <c r="K15" s="199">
        <f t="shared" si="0"/>
        <v>0</v>
      </c>
    </row>
    <row r="16" spans="1:11" x14ac:dyDescent="0.25">
      <c r="A16" s="124" t="s">
        <v>1208</v>
      </c>
      <c r="B16" s="6" t="s">
        <v>1149</v>
      </c>
      <c r="C16" s="313"/>
      <c r="D16" s="313"/>
      <c r="E16" s="313"/>
      <c r="F16" s="313"/>
      <c r="G16" s="143">
        <v>8</v>
      </c>
      <c r="H16" s="140" t="s">
        <v>1140</v>
      </c>
      <c r="I16" s="150">
        <f t="shared" si="1"/>
        <v>8.8888888888888892E-2</v>
      </c>
      <c r="J16" s="167">
        <f>Insumos!D51</f>
        <v>0</v>
      </c>
      <c r="K16" s="199">
        <f t="shared" si="0"/>
        <v>0</v>
      </c>
    </row>
    <row r="17" spans="1:11" x14ac:dyDescent="0.25">
      <c r="A17" s="124" t="s">
        <v>1209</v>
      </c>
      <c r="B17" s="6" t="s">
        <v>1150</v>
      </c>
      <c r="C17" s="313"/>
      <c r="D17" s="313"/>
      <c r="E17" s="313"/>
      <c r="F17" s="313"/>
      <c r="G17" s="143">
        <v>50</v>
      </c>
      <c r="H17" s="140" t="s">
        <v>1151</v>
      </c>
      <c r="I17" s="150">
        <f t="shared" si="1"/>
        <v>0.55555555555555558</v>
      </c>
      <c r="J17" s="167">
        <f>Insumos!D52</f>
        <v>0</v>
      </c>
      <c r="K17" s="199">
        <f t="shared" si="0"/>
        <v>0</v>
      </c>
    </row>
    <row r="18" spans="1:11" x14ac:dyDescent="0.25">
      <c r="A18" s="124" t="s">
        <v>1210</v>
      </c>
      <c r="B18" s="6" t="s">
        <v>1152</v>
      </c>
      <c r="C18" s="313"/>
      <c r="D18" s="313"/>
      <c r="E18" s="313"/>
      <c r="F18" s="313"/>
      <c r="G18" s="143">
        <v>4</v>
      </c>
      <c r="H18" s="140" t="s">
        <v>1124</v>
      </c>
      <c r="I18" s="150">
        <f t="shared" si="1"/>
        <v>4.4444444444444446E-2</v>
      </c>
      <c r="J18" s="167">
        <f>Insumos!D53</f>
        <v>0</v>
      </c>
      <c r="K18" s="199">
        <f t="shared" si="0"/>
        <v>0</v>
      </c>
    </row>
    <row r="19" spans="1:11" x14ac:dyDescent="0.25">
      <c r="A19" s="124" t="s">
        <v>1211</v>
      </c>
      <c r="B19" s="6" t="s">
        <v>1248</v>
      </c>
      <c r="C19" s="313"/>
      <c r="D19" s="313"/>
      <c r="E19" s="313"/>
      <c r="F19" s="313"/>
      <c r="G19" s="143">
        <v>20</v>
      </c>
      <c r="H19" s="140" t="s">
        <v>1154</v>
      </c>
      <c r="I19" s="150">
        <f t="shared" si="1"/>
        <v>0.22222222222222221</v>
      </c>
      <c r="J19" s="167">
        <f>Insumos!D54</f>
        <v>0</v>
      </c>
      <c r="K19" s="199">
        <f t="shared" si="0"/>
        <v>0</v>
      </c>
    </row>
    <row r="20" spans="1:11" x14ac:dyDescent="0.25">
      <c r="A20" s="152"/>
      <c r="B20" s="159"/>
      <c r="C20" s="387"/>
      <c r="D20" s="387"/>
      <c r="E20" s="387"/>
      <c r="F20" s="387"/>
      <c r="G20" s="154"/>
      <c r="H20" s="157"/>
      <c r="I20" s="157"/>
      <c r="J20" s="158" t="s">
        <v>1064</v>
      </c>
      <c r="K20" s="203">
        <f>SUM(K14:K19)</f>
        <v>0</v>
      </c>
    </row>
    <row r="21" spans="1:11" x14ac:dyDescent="0.25">
      <c r="A21" s="146" t="s">
        <v>108</v>
      </c>
      <c r="B21" s="179" t="s">
        <v>1155</v>
      </c>
      <c r="C21" s="388"/>
      <c r="D21" s="388"/>
      <c r="E21" s="388"/>
      <c r="F21" s="388"/>
      <c r="G21" s="148"/>
      <c r="H21" s="148"/>
      <c r="I21" s="148"/>
      <c r="J21" s="156"/>
      <c r="K21" s="187"/>
    </row>
    <row r="22" spans="1:11" x14ac:dyDescent="0.25">
      <c r="A22" s="611"/>
      <c r="B22" s="612" t="s">
        <v>1067</v>
      </c>
      <c r="C22" s="613" t="s">
        <v>1197</v>
      </c>
      <c r="D22" s="614"/>
      <c r="E22" s="614"/>
      <c r="F22" s="615"/>
      <c r="G22" s="619" t="s">
        <v>14</v>
      </c>
      <c r="H22" s="610" t="s">
        <v>1068</v>
      </c>
      <c r="I22" s="608" t="s">
        <v>35</v>
      </c>
      <c r="J22" s="630" t="s">
        <v>1249</v>
      </c>
      <c r="K22" s="630" t="s">
        <v>16</v>
      </c>
    </row>
    <row r="23" spans="1:11" x14ac:dyDescent="0.25">
      <c r="A23" s="611"/>
      <c r="B23" s="612"/>
      <c r="C23" s="616"/>
      <c r="D23" s="617"/>
      <c r="E23" s="617"/>
      <c r="F23" s="618"/>
      <c r="G23" s="620"/>
      <c r="H23" s="610"/>
      <c r="I23" s="609"/>
      <c r="J23" s="630"/>
      <c r="K23" s="630"/>
    </row>
    <row r="24" spans="1:11" x14ac:dyDescent="0.25">
      <c r="A24" s="124" t="s">
        <v>1212</v>
      </c>
      <c r="B24" s="104" t="s">
        <v>1156</v>
      </c>
      <c r="C24" s="313"/>
      <c r="D24" s="313"/>
      <c r="E24" s="313"/>
      <c r="F24" s="313"/>
      <c r="G24" s="143">
        <f>G6/30</f>
        <v>5.1680000000000001</v>
      </c>
      <c r="H24" s="140" t="s">
        <v>1228</v>
      </c>
      <c r="I24" s="150">
        <f>G24/SUM($G$24:$G$27)</f>
        <v>0.20534011443102354</v>
      </c>
      <c r="J24" s="167">
        <f>Insumos!D58</f>
        <v>0</v>
      </c>
      <c r="K24" s="199">
        <f>TRUNC(G24*I24*J24,2)</f>
        <v>0</v>
      </c>
    </row>
    <row r="25" spans="1:11" x14ac:dyDescent="0.25">
      <c r="A25" s="124" t="s">
        <v>1213</v>
      </c>
      <c r="B25" s="6" t="s">
        <v>1166</v>
      </c>
      <c r="C25" s="143"/>
      <c r="D25" s="143"/>
      <c r="E25" s="143"/>
      <c r="F25" s="143"/>
      <c r="G25" s="143">
        <v>5</v>
      </c>
      <c r="H25" s="140" t="s">
        <v>1096</v>
      </c>
      <c r="I25" s="150">
        <f t="shared" ref="I25:I27" si="2">G25/SUM($G$24:$G$27)</f>
        <v>0.19866497139224412</v>
      </c>
      <c r="J25" s="167">
        <f>Insumos!D66</f>
        <v>0</v>
      </c>
      <c r="K25" s="199">
        <f>TRUNC(G25*I25*J25,2)</f>
        <v>0</v>
      </c>
    </row>
    <row r="26" spans="1:11" x14ac:dyDescent="0.25">
      <c r="A26" s="124" t="s">
        <v>1214</v>
      </c>
      <c r="B26" s="6" t="s">
        <v>1167</v>
      </c>
      <c r="C26" s="143"/>
      <c r="D26" s="143"/>
      <c r="E26" s="143"/>
      <c r="F26" s="143"/>
      <c r="G26" s="143">
        <v>5</v>
      </c>
      <c r="H26" s="140" t="s">
        <v>1168</v>
      </c>
      <c r="I26" s="150">
        <f t="shared" si="2"/>
        <v>0.19866497139224412</v>
      </c>
      <c r="J26" s="167">
        <f>Insumos!D67</f>
        <v>0</v>
      </c>
      <c r="K26" s="199">
        <f>TRUNC(G26*I26*J26,2)</f>
        <v>0</v>
      </c>
    </row>
    <row r="27" spans="1:11" x14ac:dyDescent="0.25">
      <c r="A27" s="124" t="s">
        <v>1215</v>
      </c>
      <c r="B27" s="6" t="s">
        <v>1270</v>
      </c>
      <c r="C27" s="143"/>
      <c r="D27" s="143"/>
      <c r="E27" s="143"/>
      <c r="F27" s="143"/>
      <c r="G27" s="143">
        <v>10</v>
      </c>
      <c r="H27" s="140" t="s">
        <v>1170</v>
      </c>
      <c r="I27" s="150">
        <f t="shared" si="2"/>
        <v>0.39732994278448824</v>
      </c>
      <c r="J27" s="167">
        <f>Insumos!D68</f>
        <v>0</v>
      </c>
      <c r="K27" s="199">
        <f>TRUNC(G27*I27*J27,2)</f>
        <v>0</v>
      </c>
    </row>
    <row r="28" spans="1:11" x14ac:dyDescent="0.25">
      <c r="A28" s="152"/>
      <c r="B28" s="159"/>
      <c r="C28" s="159"/>
      <c r="D28" s="159"/>
      <c r="E28" s="159"/>
      <c r="F28" s="159"/>
      <c r="G28" s="159"/>
      <c r="H28" s="159"/>
      <c r="I28" s="159"/>
      <c r="J28" s="160" t="s">
        <v>1064</v>
      </c>
      <c r="K28" s="205">
        <f>SUM(K24:K27)</f>
        <v>0</v>
      </c>
    </row>
    <row r="29" spans="1:11" x14ac:dyDescent="0.25">
      <c r="A29" s="146" t="s">
        <v>109</v>
      </c>
      <c r="B29" s="179" t="s">
        <v>1176</v>
      </c>
      <c r="C29" s="148"/>
      <c r="D29" s="148"/>
      <c r="E29" s="148"/>
      <c r="F29" s="148"/>
      <c r="G29" s="148"/>
      <c r="H29" s="148"/>
      <c r="I29" s="148"/>
      <c r="J29" s="156"/>
      <c r="K29" s="187"/>
    </row>
    <row r="30" spans="1:11" x14ac:dyDescent="0.25">
      <c r="A30" s="611" t="s">
        <v>1196</v>
      </c>
      <c r="B30" s="612" t="s">
        <v>1067</v>
      </c>
      <c r="C30" s="613" t="s">
        <v>1197</v>
      </c>
      <c r="D30" s="614"/>
      <c r="E30" s="614"/>
      <c r="F30" s="615"/>
      <c r="G30" s="619" t="s">
        <v>14</v>
      </c>
      <c r="H30" s="610" t="s">
        <v>1068</v>
      </c>
      <c r="I30" s="608" t="s">
        <v>35</v>
      </c>
      <c r="J30" s="630" t="s">
        <v>1249</v>
      </c>
      <c r="K30" s="630" t="s">
        <v>16</v>
      </c>
    </row>
    <row r="31" spans="1:11" x14ac:dyDescent="0.25">
      <c r="A31" s="611"/>
      <c r="B31" s="612"/>
      <c r="C31" s="616"/>
      <c r="D31" s="617"/>
      <c r="E31" s="617"/>
      <c r="F31" s="618"/>
      <c r="G31" s="620"/>
      <c r="H31" s="610"/>
      <c r="I31" s="609"/>
      <c r="J31" s="630"/>
      <c r="K31" s="630"/>
    </row>
    <row r="32" spans="1:11" x14ac:dyDescent="0.25">
      <c r="A32" s="124" t="s">
        <v>1216</v>
      </c>
      <c r="B32" s="6" t="s">
        <v>1242</v>
      </c>
      <c r="C32" s="605"/>
      <c r="D32" s="606"/>
      <c r="E32" s="606"/>
      <c r="F32" s="607"/>
      <c r="G32" s="143">
        <v>4</v>
      </c>
      <c r="H32" s="140" t="s">
        <v>1140</v>
      </c>
      <c r="I32" s="150">
        <v>5</v>
      </c>
      <c r="J32" s="167">
        <f>Insumos!D75</f>
        <v>0</v>
      </c>
      <c r="K32" s="199">
        <f>TRUNC(G32*I32*J32,2)</f>
        <v>0</v>
      </c>
    </row>
    <row r="33" spans="1:11" x14ac:dyDescent="0.25">
      <c r="A33" s="152"/>
      <c r="B33" s="159"/>
      <c r="C33" s="159"/>
      <c r="D33" s="159"/>
      <c r="E33" s="159"/>
      <c r="F33" s="159"/>
      <c r="G33" s="159"/>
      <c r="H33" s="159"/>
      <c r="I33" s="159"/>
      <c r="J33" s="160" t="s">
        <v>1064</v>
      </c>
      <c r="K33" s="205">
        <f>SUM(K32)</f>
        <v>0</v>
      </c>
    </row>
    <row r="34" spans="1:11" x14ac:dyDescent="0.25">
      <c r="A34" s="146" t="s">
        <v>110</v>
      </c>
      <c r="B34" s="179" t="s">
        <v>1178</v>
      </c>
      <c r="C34" s="148"/>
      <c r="D34" s="148"/>
      <c r="E34" s="148"/>
      <c r="F34" s="148"/>
      <c r="G34" s="148"/>
      <c r="H34" s="148"/>
      <c r="I34" s="148"/>
      <c r="J34" s="156"/>
      <c r="K34" s="187"/>
    </row>
    <row r="35" spans="1:11" x14ac:dyDescent="0.25">
      <c r="A35" s="611" t="s">
        <v>1196</v>
      </c>
      <c r="B35" s="612" t="s">
        <v>1067</v>
      </c>
      <c r="C35" s="613" t="s">
        <v>1197</v>
      </c>
      <c r="D35" s="614"/>
      <c r="E35" s="614"/>
      <c r="F35" s="615"/>
      <c r="G35" s="619" t="s">
        <v>14</v>
      </c>
      <c r="H35" s="610" t="s">
        <v>1068</v>
      </c>
      <c r="I35" s="608" t="s">
        <v>35</v>
      </c>
      <c r="J35" s="630" t="s">
        <v>1249</v>
      </c>
      <c r="K35" s="630" t="s">
        <v>16</v>
      </c>
    </row>
    <row r="36" spans="1:11" x14ac:dyDescent="0.25">
      <c r="A36" s="611"/>
      <c r="B36" s="612"/>
      <c r="C36" s="616"/>
      <c r="D36" s="617"/>
      <c r="E36" s="617"/>
      <c r="F36" s="618"/>
      <c r="G36" s="620"/>
      <c r="H36" s="610"/>
      <c r="I36" s="609"/>
      <c r="J36" s="630"/>
      <c r="K36" s="630"/>
    </row>
    <row r="37" spans="1:11" x14ac:dyDescent="0.25">
      <c r="A37" s="124" t="s">
        <v>1217</v>
      </c>
      <c r="B37" s="104" t="s">
        <v>1179</v>
      </c>
      <c r="C37" s="605"/>
      <c r="D37" s="606"/>
      <c r="E37" s="606"/>
      <c r="F37" s="607"/>
      <c r="G37" s="143">
        <v>4</v>
      </c>
      <c r="H37" s="140" t="s">
        <v>1140</v>
      </c>
      <c r="I37" s="150">
        <v>5</v>
      </c>
      <c r="J37" s="167">
        <f>Insumos!D78</f>
        <v>0</v>
      </c>
      <c r="K37" s="199">
        <f>TRUNC(G37*I37*J37,2)</f>
        <v>0</v>
      </c>
    </row>
    <row r="38" spans="1:11" x14ac:dyDescent="0.25">
      <c r="A38" s="152"/>
      <c r="B38" s="159"/>
      <c r="C38" s="159"/>
      <c r="D38" s="159"/>
      <c r="E38" s="159"/>
      <c r="F38" s="159"/>
      <c r="G38" s="159"/>
      <c r="H38" s="159"/>
      <c r="I38" s="159"/>
      <c r="J38" s="160" t="s">
        <v>1064</v>
      </c>
      <c r="K38" s="205">
        <f>K37</f>
        <v>0</v>
      </c>
    </row>
    <row r="39" spans="1:11" x14ac:dyDescent="0.25">
      <c r="A39" s="146" t="s">
        <v>111</v>
      </c>
      <c r="B39" s="179" t="s">
        <v>1180</v>
      </c>
      <c r="C39" s="148"/>
      <c r="D39" s="148"/>
      <c r="E39" s="148"/>
      <c r="F39" s="148"/>
      <c r="G39" s="148"/>
      <c r="H39" s="148"/>
      <c r="I39" s="148"/>
      <c r="J39" s="156"/>
      <c r="K39" s="187"/>
    </row>
    <row r="40" spans="1:11" x14ac:dyDescent="0.25">
      <c r="A40" s="611" t="s">
        <v>1196</v>
      </c>
      <c r="B40" s="612" t="s">
        <v>1067</v>
      </c>
      <c r="C40" s="613" t="s">
        <v>1197</v>
      </c>
      <c r="D40" s="614"/>
      <c r="E40" s="614"/>
      <c r="F40" s="615"/>
      <c r="G40" s="619" t="s">
        <v>14</v>
      </c>
      <c r="H40" s="610" t="s">
        <v>1068</v>
      </c>
      <c r="I40" s="608" t="s">
        <v>35</v>
      </c>
      <c r="J40" s="630" t="s">
        <v>1249</v>
      </c>
      <c r="K40" s="630" t="s">
        <v>16</v>
      </c>
    </row>
    <row r="41" spans="1:11" x14ac:dyDescent="0.25">
      <c r="A41" s="611"/>
      <c r="B41" s="612"/>
      <c r="C41" s="616"/>
      <c r="D41" s="617"/>
      <c r="E41" s="617"/>
      <c r="F41" s="618"/>
      <c r="G41" s="620"/>
      <c r="H41" s="610"/>
      <c r="I41" s="609"/>
      <c r="J41" s="630"/>
      <c r="K41" s="630"/>
    </row>
    <row r="42" spans="1:11" x14ac:dyDescent="0.25">
      <c r="A42" s="124" t="s">
        <v>1220</v>
      </c>
      <c r="B42" s="6" t="s">
        <v>1181</v>
      </c>
      <c r="C42" s="605"/>
      <c r="D42" s="606"/>
      <c r="E42" s="606"/>
      <c r="F42" s="607"/>
      <c r="G42" s="143">
        <v>1</v>
      </c>
      <c r="H42" s="140" t="s">
        <v>1140</v>
      </c>
      <c r="I42" s="150">
        <f>G42/SUM($G$42:$G$44)</f>
        <v>0.33333333333333331</v>
      </c>
      <c r="J42" s="167">
        <f>Insumos!D81</f>
        <v>0</v>
      </c>
      <c r="K42" s="199">
        <f>TRUNC(G42*I42*J42,2)</f>
        <v>0</v>
      </c>
    </row>
    <row r="43" spans="1:11" x14ac:dyDescent="0.25">
      <c r="A43" s="124" t="s">
        <v>1222</v>
      </c>
      <c r="B43" s="6" t="s">
        <v>1182</v>
      </c>
      <c r="C43" s="605"/>
      <c r="D43" s="606"/>
      <c r="E43" s="606"/>
      <c r="F43" s="607"/>
      <c r="G43" s="143">
        <v>1</v>
      </c>
      <c r="H43" s="140" t="s">
        <v>1140</v>
      </c>
      <c r="I43" s="150">
        <f t="shared" ref="I43:I44" si="3">G43/SUM($G$42:$G$44)</f>
        <v>0.33333333333333331</v>
      </c>
      <c r="J43" s="167">
        <f>Insumos!D82</f>
        <v>0</v>
      </c>
      <c r="K43" s="199">
        <f>TRUNC(G43*I43*J43,2)</f>
        <v>0</v>
      </c>
    </row>
    <row r="44" spans="1:11" x14ac:dyDescent="0.25">
      <c r="A44" s="124" t="s">
        <v>1223</v>
      </c>
      <c r="B44" s="6" t="s">
        <v>1183</v>
      </c>
      <c r="C44" s="605"/>
      <c r="D44" s="606"/>
      <c r="E44" s="606"/>
      <c r="F44" s="607"/>
      <c r="G44" s="143">
        <v>1</v>
      </c>
      <c r="H44" s="140" t="s">
        <v>1140</v>
      </c>
      <c r="I44" s="150">
        <f t="shared" si="3"/>
        <v>0.33333333333333331</v>
      </c>
      <c r="J44" s="167">
        <f>Insumos!D83</f>
        <v>0</v>
      </c>
      <c r="K44" s="199">
        <f>TRUNC(G44*I44*J44,2)</f>
        <v>0</v>
      </c>
    </row>
    <row r="45" spans="1:11" x14ac:dyDescent="0.25">
      <c r="A45" s="152"/>
      <c r="B45" s="159"/>
      <c r="C45" s="159"/>
      <c r="D45" s="159"/>
      <c r="E45" s="159"/>
      <c r="F45" s="159"/>
      <c r="G45" s="159"/>
      <c r="H45" s="159"/>
      <c r="I45" s="159"/>
      <c r="J45" s="160" t="s">
        <v>1064</v>
      </c>
      <c r="K45" s="205">
        <f>SUM(K42:K44)</f>
        <v>0</v>
      </c>
    </row>
  </sheetData>
  <mergeCells count="55">
    <mergeCell ref="C44:F44"/>
    <mergeCell ref="C43:F43"/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H30:H31"/>
    <mergeCell ref="I12:I13"/>
    <mergeCell ref="J12:J13"/>
    <mergeCell ref="K12:K13"/>
    <mergeCell ref="I22:I23"/>
    <mergeCell ref="J22:J23"/>
    <mergeCell ref="K22:K23"/>
    <mergeCell ref="A12:A13"/>
    <mergeCell ref="B12:B13"/>
    <mergeCell ref="C12:F12"/>
    <mergeCell ref="G12:G13"/>
    <mergeCell ref="H12:H13"/>
    <mergeCell ref="A22:A23"/>
    <mergeCell ref="B22:B23"/>
    <mergeCell ref="C22:F23"/>
    <mergeCell ref="G22:G23"/>
    <mergeCell ref="H22:H23"/>
    <mergeCell ref="I30:I31"/>
    <mergeCell ref="J30:J31"/>
    <mergeCell ref="K30:K31"/>
    <mergeCell ref="C32:F32"/>
    <mergeCell ref="A35:A36"/>
    <mergeCell ref="B35:B36"/>
    <mergeCell ref="C35:F36"/>
    <mergeCell ref="G35:G36"/>
    <mergeCell ref="H35:H36"/>
    <mergeCell ref="I35:I36"/>
    <mergeCell ref="J35:J36"/>
    <mergeCell ref="K35:K36"/>
    <mergeCell ref="A30:A31"/>
    <mergeCell ref="B30:B31"/>
    <mergeCell ref="C30:F31"/>
    <mergeCell ref="G30:G31"/>
    <mergeCell ref="C37:F37"/>
    <mergeCell ref="A40:A41"/>
    <mergeCell ref="B40:B41"/>
    <mergeCell ref="C40:F41"/>
    <mergeCell ref="G40:G41"/>
    <mergeCell ref="H40:H41"/>
    <mergeCell ref="I40:I41"/>
    <mergeCell ref="J40:J41"/>
    <mergeCell ref="K40:K41"/>
    <mergeCell ref="C42:F42"/>
  </mergeCells>
  <pageMargins left="0.511811024" right="0.511811024" top="0.78740157499999996" bottom="0.78740157499999996" header="0.31496062000000002" footer="0.31496062000000002"/>
  <pageSetup paperSize="9" scale="52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view="pageBreakPreview" topLeftCell="A18" zoomScale="80" zoomScaleNormal="85" zoomScaleSheetLayoutView="80" workbookViewId="0">
      <selection activeCell="B3" sqref="B3:F3"/>
    </sheetView>
  </sheetViews>
  <sheetFormatPr defaultRowHeight="15" x14ac:dyDescent="0.25"/>
  <cols>
    <col min="1" max="1" width="11.85546875" customWidth="1"/>
    <col min="2" max="2" width="62.5703125" customWidth="1"/>
    <col min="3" max="4" width="8.42578125" customWidth="1"/>
    <col min="5" max="5" width="7.7109375" customWidth="1"/>
    <col min="6" max="7" width="10.85546875" customWidth="1"/>
    <col min="8" max="8" width="9.7109375" customWidth="1"/>
    <col min="9" max="9" width="8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20</v>
      </c>
      <c r="B2" s="184" t="s">
        <v>1321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113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68" t="s">
        <v>1197</v>
      </c>
      <c r="D4" s="669"/>
      <c r="E4" s="669"/>
      <c r="F4" s="670"/>
      <c r="G4" s="619" t="s">
        <v>14</v>
      </c>
      <c r="H4" s="608" t="s">
        <v>1068</v>
      </c>
      <c r="I4" s="608" t="s">
        <v>35</v>
      </c>
      <c r="J4" s="608" t="s">
        <v>1069</v>
      </c>
      <c r="K4" s="608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09"/>
      <c r="I5" s="609"/>
      <c r="J5" s="609"/>
      <c r="K5" s="609"/>
    </row>
    <row r="6" spans="1:11" s="247" customFormat="1" x14ac:dyDescent="0.25">
      <c r="A6" s="34" t="s">
        <v>1202</v>
      </c>
      <c r="B6" s="255" t="s">
        <v>1424</v>
      </c>
      <c r="C6" s="243"/>
      <c r="D6" s="243">
        <v>5.6</v>
      </c>
      <c r="E6" s="243">
        <v>2.6</v>
      </c>
      <c r="F6" s="243">
        <f>E6*D6</f>
        <v>14.559999999999999</v>
      </c>
      <c r="G6" s="243">
        <f>F6</f>
        <v>14.559999999999999</v>
      </c>
      <c r="H6" s="244" t="s">
        <v>1076</v>
      </c>
      <c r="I6" s="253">
        <v>1</v>
      </c>
      <c r="J6" s="254">
        <f>Insumos!D23</f>
        <v>0</v>
      </c>
      <c r="K6" s="263">
        <f>TRUNC(G6*I6*J6,2)</f>
        <v>0</v>
      </c>
    </row>
    <row r="7" spans="1:11" s="247" customFormat="1" x14ac:dyDescent="0.25">
      <c r="A7" s="34" t="s">
        <v>1203</v>
      </c>
      <c r="B7" s="255" t="s">
        <v>1094</v>
      </c>
      <c r="C7" s="243"/>
      <c r="D7" s="243">
        <v>5.6</v>
      </c>
      <c r="E7" s="243">
        <v>2</v>
      </c>
      <c r="F7" s="243">
        <f>E7*D7</f>
        <v>11.2</v>
      </c>
      <c r="G7" s="243">
        <f>F7</f>
        <v>11.2</v>
      </c>
      <c r="H7" s="244" t="s">
        <v>1076</v>
      </c>
      <c r="I7" s="253">
        <v>1</v>
      </c>
      <c r="J7" s="254">
        <f>Insumos!D11</f>
        <v>0</v>
      </c>
      <c r="K7" s="263">
        <f>TRUNC(G7*I7*J7,2)</f>
        <v>0</v>
      </c>
    </row>
    <row r="8" spans="1:11" s="247" customFormat="1" ht="30" x14ac:dyDescent="0.25">
      <c r="A8" s="34" t="s">
        <v>1204</v>
      </c>
      <c r="B8" s="255" t="s">
        <v>1128</v>
      </c>
      <c r="C8" s="243">
        <v>1</v>
      </c>
      <c r="D8" s="243">
        <v>5.6</v>
      </c>
      <c r="E8" s="243"/>
      <c r="F8" s="243">
        <f>C8*D8</f>
        <v>5.6</v>
      </c>
      <c r="G8" s="243">
        <f>F8</f>
        <v>5.6</v>
      </c>
      <c r="H8" s="244" t="s">
        <v>1076</v>
      </c>
      <c r="I8" s="253">
        <v>1</v>
      </c>
      <c r="J8" s="254">
        <f>Insumos!D29</f>
        <v>0</v>
      </c>
      <c r="K8" s="263">
        <f>TRUNC(G8*I8*J8,2)</f>
        <v>0</v>
      </c>
    </row>
    <row r="9" spans="1:11" s="247" customFormat="1" x14ac:dyDescent="0.25">
      <c r="A9" s="394"/>
      <c r="B9" s="386"/>
      <c r="C9" s="382"/>
      <c r="D9" s="382"/>
      <c r="E9" s="382"/>
      <c r="F9" s="382"/>
      <c r="G9" s="382"/>
      <c r="H9" s="382"/>
      <c r="I9" s="382"/>
      <c r="J9" s="395" t="s">
        <v>1064</v>
      </c>
      <c r="K9" s="396">
        <f>SUM(K6:K8)</f>
        <v>0</v>
      </c>
    </row>
    <row r="10" spans="1:11" s="247" customFormat="1" x14ac:dyDescent="0.25">
      <c r="A10" s="401" t="s">
        <v>114</v>
      </c>
      <c r="B10" s="402" t="s">
        <v>1219</v>
      </c>
      <c r="C10" s="383"/>
      <c r="D10" s="383"/>
      <c r="E10" s="383"/>
      <c r="F10" s="383"/>
      <c r="G10" s="383"/>
      <c r="H10" s="383"/>
      <c r="I10" s="383"/>
      <c r="J10" s="403"/>
      <c r="K10" s="404"/>
    </row>
    <row r="11" spans="1:11" s="247" customFormat="1" x14ac:dyDescent="0.25">
      <c r="A11" s="611" t="s">
        <v>1196</v>
      </c>
      <c r="B11" s="612" t="s">
        <v>1067</v>
      </c>
      <c r="C11" s="665" t="s">
        <v>1197</v>
      </c>
      <c r="D11" s="666"/>
      <c r="E11" s="666"/>
      <c r="F11" s="667"/>
      <c r="G11" s="619" t="s">
        <v>14</v>
      </c>
      <c r="H11" s="608" t="s">
        <v>1068</v>
      </c>
      <c r="I11" s="608" t="s">
        <v>35</v>
      </c>
      <c r="J11" s="634" t="s">
        <v>1069</v>
      </c>
      <c r="K11" s="634" t="s">
        <v>16</v>
      </c>
    </row>
    <row r="12" spans="1:11" x14ac:dyDescent="0.25">
      <c r="A12" s="611"/>
      <c r="B12" s="612"/>
      <c r="C12" s="389"/>
      <c r="D12" s="389"/>
      <c r="E12" s="389"/>
      <c r="F12" s="389"/>
      <c r="G12" s="620"/>
      <c r="H12" s="609"/>
      <c r="I12" s="609"/>
      <c r="J12" s="635"/>
      <c r="K12" s="635"/>
    </row>
    <row r="13" spans="1:11" x14ac:dyDescent="0.25">
      <c r="A13" s="124" t="s">
        <v>1205</v>
      </c>
      <c r="B13" s="6" t="s">
        <v>1147</v>
      </c>
      <c r="C13" s="313"/>
      <c r="D13" s="313"/>
      <c r="E13" s="313"/>
      <c r="F13" s="313"/>
      <c r="G13" s="143">
        <v>1</v>
      </c>
      <c r="H13" s="140" t="s">
        <v>1140</v>
      </c>
      <c r="I13" s="150">
        <f>G13/SUM($G$13:$G$18)</f>
        <v>9.0909090909090912E-2</v>
      </c>
      <c r="J13" s="167">
        <f>Insumos!D49</f>
        <v>0</v>
      </c>
      <c r="K13" s="199">
        <f t="shared" ref="K13:K18" si="0">TRUNC(G13*I13*J13,2)</f>
        <v>0</v>
      </c>
    </row>
    <row r="14" spans="1:11" x14ac:dyDescent="0.25">
      <c r="A14" s="124" t="s">
        <v>1206</v>
      </c>
      <c r="B14" s="6" t="s">
        <v>1148</v>
      </c>
      <c r="C14" s="313"/>
      <c r="D14" s="313"/>
      <c r="E14" s="313"/>
      <c r="F14" s="313"/>
      <c r="G14" s="143">
        <v>1</v>
      </c>
      <c r="H14" s="140" t="s">
        <v>1140</v>
      </c>
      <c r="I14" s="150">
        <f t="shared" ref="I14:I18" si="1">G14/SUM($G$13:$G$18)</f>
        <v>9.0909090909090912E-2</v>
      </c>
      <c r="J14" s="167">
        <f>Insumos!D50</f>
        <v>0</v>
      </c>
      <c r="K14" s="199">
        <f t="shared" si="0"/>
        <v>0</v>
      </c>
    </row>
    <row r="15" spans="1:11" x14ac:dyDescent="0.25">
      <c r="A15" s="124" t="s">
        <v>1207</v>
      </c>
      <c r="B15" s="6" t="s">
        <v>1149</v>
      </c>
      <c r="C15" s="313"/>
      <c r="D15" s="313"/>
      <c r="E15" s="313"/>
      <c r="F15" s="313"/>
      <c r="G15" s="143">
        <v>1</v>
      </c>
      <c r="H15" s="140" t="s">
        <v>1140</v>
      </c>
      <c r="I15" s="150">
        <f t="shared" si="1"/>
        <v>9.0909090909090912E-2</v>
      </c>
      <c r="J15" s="167">
        <f>Insumos!D51</f>
        <v>0</v>
      </c>
      <c r="K15" s="199">
        <f t="shared" si="0"/>
        <v>0</v>
      </c>
    </row>
    <row r="16" spans="1:11" x14ac:dyDescent="0.25">
      <c r="A16" s="124" t="s">
        <v>1208</v>
      </c>
      <c r="B16" s="6" t="s">
        <v>1150</v>
      </c>
      <c r="C16" s="313"/>
      <c r="D16" s="313"/>
      <c r="E16" s="313"/>
      <c r="F16" s="313"/>
      <c r="G16" s="143">
        <v>6</v>
      </c>
      <c r="H16" s="140" t="s">
        <v>1151</v>
      </c>
      <c r="I16" s="150">
        <f t="shared" si="1"/>
        <v>0.54545454545454541</v>
      </c>
      <c r="J16" s="167">
        <f>Insumos!D52</f>
        <v>0</v>
      </c>
      <c r="K16" s="199">
        <f t="shared" si="0"/>
        <v>0</v>
      </c>
    </row>
    <row r="17" spans="1:11" x14ac:dyDescent="0.25">
      <c r="A17" s="124" t="s">
        <v>1209</v>
      </c>
      <c r="B17" s="6" t="s">
        <v>1152</v>
      </c>
      <c r="C17" s="313"/>
      <c r="D17" s="313"/>
      <c r="E17" s="313"/>
      <c r="F17" s="313"/>
      <c r="G17" s="143">
        <v>1</v>
      </c>
      <c r="H17" s="140" t="s">
        <v>1124</v>
      </c>
      <c r="I17" s="150">
        <f t="shared" si="1"/>
        <v>9.0909090909090912E-2</v>
      </c>
      <c r="J17" s="167">
        <f>Insumos!D53</f>
        <v>0</v>
      </c>
      <c r="K17" s="199">
        <f t="shared" si="0"/>
        <v>0</v>
      </c>
    </row>
    <row r="18" spans="1:11" x14ac:dyDescent="0.25">
      <c r="A18" s="124" t="s">
        <v>1210</v>
      </c>
      <c r="B18" s="6" t="s">
        <v>1248</v>
      </c>
      <c r="C18" s="313"/>
      <c r="D18" s="313"/>
      <c r="E18" s="313"/>
      <c r="F18" s="313"/>
      <c r="G18" s="143">
        <v>1</v>
      </c>
      <c r="H18" s="140" t="s">
        <v>1154</v>
      </c>
      <c r="I18" s="150">
        <f t="shared" si="1"/>
        <v>9.0909090909090912E-2</v>
      </c>
      <c r="J18" s="167">
        <f>Insumos!D54</f>
        <v>0</v>
      </c>
      <c r="K18" s="199">
        <f t="shared" si="0"/>
        <v>0</v>
      </c>
    </row>
    <row r="19" spans="1:11" x14ac:dyDescent="0.25">
      <c r="A19" s="152"/>
      <c r="B19" s="159"/>
      <c r="C19" s="387"/>
      <c r="D19" s="387"/>
      <c r="E19" s="387"/>
      <c r="F19" s="387"/>
      <c r="G19" s="154"/>
      <c r="H19" s="157"/>
      <c r="I19" s="157"/>
      <c r="J19" s="158" t="s">
        <v>1064</v>
      </c>
      <c r="K19" s="203">
        <f>SUM(K13:K18)</f>
        <v>0</v>
      </c>
    </row>
    <row r="20" spans="1:11" x14ac:dyDescent="0.25">
      <c r="A20" s="146" t="s">
        <v>115</v>
      </c>
      <c r="B20" s="179" t="s">
        <v>1155</v>
      </c>
      <c r="C20" s="388"/>
      <c r="D20" s="388"/>
      <c r="E20" s="388"/>
      <c r="F20" s="388"/>
      <c r="G20" s="148"/>
      <c r="H20" s="148"/>
      <c r="I20" s="148"/>
      <c r="J20" s="156"/>
      <c r="K20" s="187"/>
    </row>
    <row r="21" spans="1:11" x14ac:dyDescent="0.25">
      <c r="A21" s="611"/>
      <c r="B21" s="612" t="s">
        <v>1067</v>
      </c>
      <c r="C21" s="613" t="s">
        <v>1197</v>
      </c>
      <c r="D21" s="614"/>
      <c r="E21" s="614"/>
      <c r="F21" s="615"/>
      <c r="G21" s="619" t="s">
        <v>14</v>
      </c>
      <c r="H21" s="608" t="s">
        <v>1068</v>
      </c>
      <c r="I21" s="608" t="s">
        <v>35</v>
      </c>
      <c r="J21" s="634" t="s">
        <v>1249</v>
      </c>
      <c r="K21" s="634" t="s">
        <v>16</v>
      </c>
    </row>
    <row r="22" spans="1:11" x14ac:dyDescent="0.25">
      <c r="A22" s="611"/>
      <c r="B22" s="612"/>
      <c r="C22" s="616"/>
      <c r="D22" s="617"/>
      <c r="E22" s="617"/>
      <c r="F22" s="618"/>
      <c r="G22" s="620"/>
      <c r="H22" s="609"/>
      <c r="I22" s="609"/>
      <c r="J22" s="635"/>
      <c r="K22" s="635"/>
    </row>
    <row r="23" spans="1:11" x14ac:dyDescent="0.25">
      <c r="A23" s="124" t="s">
        <v>1211</v>
      </c>
      <c r="B23" s="104" t="s">
        <v>1156</v>
      </c>
      <c r="C23" s="313"/>
      <c r="D23" s="313"/>
      <c r="E23" s="313"/>
      <c r="F23" s="313"/>
      <c r="G23" s="143">
        <f>G6/30</f>
        <v>0.48533333333333328</v>
      </c>
      <c r="H23" s="140" t="s">
        <v>1228</v>
      </c>
      <c r="I23" s="150">
        <f>G23/SUM($G$23:$G$26)</f>
        <v>0.36363636363636365</v>
      </c>
      <c r="J23" s="167">
        <f>Insumos!D58</f>
        <v>0</v>
      </c>
      <c r="K23" s="199">
        <f>TRUNC(G23*I23*J23,2)</f>
        <v>0</v>
      </c>
    </row>
    <row r="24" spans="1:11" x14ac:dyDescent="0.25">
      <c r="A24" s="124" t="s">
        <v>1212</v>
      </c>
      <c r="B24" s="6" t="s">
        <v>1166</v>
      </c>
      <c r="C24" s="313"/>
      <c r="D24" s="313"/>
      <c r="E24" s="313"/>
      <c r="F24" s="313"/>
      <c r="G24" s="143">
        <f>G6/30</f>
        <v>0.48533333333333328</v>
      </c>
      <c r="H24" s="140" t="s">
        <v>1096</v>
      </c>
      <c r="I24" s="150">
        <f t="shared" ref="I24:I26" si="2">G24/SUM($G$23:$G$26)</f>
        <v>0.36363636363636365</v>
      </c>
      <c r="J24" s="167">
        <f>Insumos!D66</f>
        <v>0</v>
      </c>
      <c r="K24" s="199">
        <f>TRUNC(G24*I24*J24,2)</f>
        <v>0</v>
      </c>
    </row>
    <row r="25" spans="1:11" x14ac:dyDescent="0.25">
      <c r="A25" s="124" t="s">
        <v>1213</v>
      </c>
      <c r="B25" s="6" t="s">
        <v>1167</v>
      </c>
      <c r="C25" s="143"/>
      <c r="D25" s="143"/>
      <c r="E25" s="143"/>
      <c r="F25" s="143"/>
      <c r="G25" s="143">
        <f>G6/80</f>
        <v>0.182</v>
      </c>
      <c r="H25" s="140" t="s">
        <v>1168</v>
      </c>
      <c r="I25" s="150">
        <f t="shared" si="2"/>
        <v>0.13636363636363638</v>
      </c>
      <c r="J25" s="167">
        <f>Insumos!D67</f>
        <v>0</v>
      </c>
      <c r="K25" s="199">
        <f>TRUNC(G25*I25*J25,2)</f>
        <v>0</v>
      </c>
    </row>
    <row r="26" spans="1:11" x14ac:dyDescent="0.25">
      <c r="A26" s="124" t="s">
        <v>1214</v>
      </c>
      <c r="B26" s="6" t="s">
        <v>1270</v>
      </c>
      <c r="C26" s="143"/>
      <c r="D26" s="143"/>
      <c r="E26" s="143"/>
      <c r="F26" s="143"/>
      <c r="G26" s="143">
        <f>G6/80</f>
        <v>0.182</v>
      </c>
      <c r="H26" s="140" t="s">
        <v>1170</v>
      </c>
      <c r="I26" s="150">
        <f t="shared" si="2"/>
        <v>0.13636363636363638</v>
      </c>
      <c r="J26" s="167">
        <f>Insumos!D68</f>
        <v>0</v>
      </c>
      <c r="K26" s="199">
        <f>TRUNC(G26*I26*J26,2)</f>
        <v>0</v>
      </c>
    </row>
    <row r="27" spans="1:11" x14ac:dyDescent="0.25">
      <c r="A27" s="152"/>
      <c r="B27" s="159"/>
      <c r="C27" s="159"/>
      <c r="D27" s="159"/>
      <c r="E27" s="159"/>
      <c r="F27" s="159"/>
      <c r="G27" s="159"/>
      <c r="H27" s="159"/>
      <c r="I27" s="159"/>
      <c r="J27" s="160" t="s">
        <v>1064</v>
      </c>
      <c r="K27" s="205">
        <f>SUM(K23:K26)</f>
        <v>0</v>
      </c>
    </row>
    <row r="28" spans="1:11" x14ac:dyDescent="0.25">
      <c r="A28" s="146" t="s">
        <v>116</v>
      </c>
      <c r="B28" s="179" t="s">
        <v>1176</v>
      </c>
      <c r="C28" s="148"/>
      <c r="D28" s="148"/>
      <c r="E28" s="148"/>
      <c r="F28" s="148"/>
      <c r="G28" s="148"/>
      <c r="H28" s="148"/>
      <c r="I28" s="148"/>
      <c r="J28" s="156"/>
      <c r="K28" s="187"/>
    </row>
    <row r="29" spans="1:11" x14ac:dyDescent="0.25">
      <c r="A29" s="611" t="s">
        <v>1196</v>
      </c>
      <c r="B29" s="612" t="s">
        <v>1067</v>
      </c>
      <c r="C29" s="613" t="s">
        <v>1197</v>
      </c>
      <c r="D29" s="614"/>
      <c r="E29" s="614"/>
      <c r="F29" s="615"/>
      <c r="G29" s="619" t="s">
        <v>14</v>
      </c>
      <c r="H29" s="608" t="s">
        <v>1068</v>
      </c>
      <c r="I29" s="608" t="s">
        <v>35</v>
      </c>
      <c r="J29" s="634" t="s">
        <v>1249</v>
      </c>
      <c r="K29" s="634" t="s">
        <v>16</v>
      </c>
    </row>
    <row r="30" spans="1:11" x14ac:dyDescent="0.25">
      <c r="A30" s="611"/>
      <c r="B30" s="612"/>
      <c r="C30" s="616"/>
      <c r="D30" s="617"/>
      <c r="E30" s="617"/>
      <c r="F30" s="618"/>
      <c r="G30" s="620"/>
      <c r="H30" s="609"/>
      <c r="I30" s="609"/>
      <c r="J30" s="635"/>
      <c r="K30" s="635"/>
    </row>
    <row r="31" spans="1:11" x14ac:dyDescent="0.25">
      <c r="A31" s="124" t="s">
        <v>1215</v>
      </c>
      <c r="B31" s="6" t="s">
        <v>1242</v>
      </c>
      <c r="C31" s="605"/>
      <c r="D31" s="606"/>
      <c r="E31" s="606"/>
      <c r="F31" s="607"/>
      <c r="G31" s="143">
        <v>0.5</v>
      </c>
      <c r="H31" s="140" t="s">
        <v>1140</v>
      </c>
      <c r="I31" s="150">
        <v>1</v>
      </c>
      <c r="J31" s="167">
        <f>Insumos!D75</f>
        <v>0</v>
      </c>
      <c r="K31" s="199">
        <f>TRUNC(G31*I31*J31,2)</f>
        <v>0</v>
      </c>
    </row>
    <row r="32" spans="1:11" x14ac:dyDescent="0.25">
      <c r="A32" s="152"/>
      <c r="B32" s="159"/>
      <c r="C32" s="159"/>
      <c r="D32" s="159"/>
      <c r="E32" s="159"/>
      <c r="F32" s="159"/>
      <c r="G32" s="159"/>
      <c r="H32" s="159"/>
      <c r="I32" s="159"/>
      <c r="J32" s="160" t="s">
        <v>1064</v>
      </c>
      <c r="K32" s="205">
        <f>SUM(K31)</f>
        <v>0</v>
      </c>
    </row>
    <row r="33" spans="1:11" x14ac:dyDescent="0.25">
      <c r="A33" s="146" t="s">
        <v>117</v>
      </c>
      <c r="B33" s="179" t="s">
        <v>1178</v>
      </c>
      <c r="C33" s="148"/>
      <c r="D33" s="148"/>
      <c r="E33" s="148"/>
      <c r="F33" s="148"/>
      <c r="G33" s="148"/>
      <c r="H33" s="148"/>
      <c r="I33" s="148"/>
      <c r="J33" s="156"/>
      <c r="K33" s="187"/>
    </row>
    <row r="34" spans="1:11" x14ac:dyDescent="0.25">
      <c r="A34" s="611" t="s">
        <v>1196</v>
      </c>
      <c r="B34" s="612" t="s">
        <v>1067</v>
      </c>
      <c r="C34" s="613" t="s">
        <v>1197</v>
      </c>
      <c r="D34" s="614"/>
      <c r="E34" s="614"/>
      <c r="F34" s="615"/>
      <c r="G34" s="619" t="s">
        <v>14</v>
      </c>
      <c r="H34" s="608" t="s">
        <v>1068</v>
      </c>
      <c r="I34" s="608" t="s">
        <v>35</v>
      </c>
      <c r="J34" s="634" t="s">
        <v>1249</v>
      </c>
      <c r="K34" s="634" t="s">
        <v>16</v>
      </c>
    </row>
    <row r="35" spans="1:11" x14ac:dyDescent="0.25">
      <c r="A35" s="611"/>
      <c r="B35" s="612"/>
      <c r="C35" s="616"/>
      <c r="D35" s="617"/>
      <c r="E35" s="617"/>
      <c r="F35" s="618"/>
      <c r="G35" s="620"/>
      <c r="H35" s="609"/>
      <c r="I35" s="609"/>
      <c r="J35" s="635"/>
      <c r="K35" s="635"/>
    </row>
    <row r="36" spans="1:11" x14ac:dyDescent="0.25">
      <c r="A36" s="124" t="s">
        <v>1216</v>
      </c>
      <c r="B36" s="104" t="s">
        <v>1179</v>
      </c>
      <c r="C36" s="605"/>
      <c r="D36" s="606"/>
      <c r="E36" s="606"/>
      <c r="F36" s="607"/>
      <c r="G36" s="143">
        <v>0.5</v>
      </c>
      <c r="H36" s="140" t="s">
        <v>1140</v>
      </c>
      <c r="I36" s="150">
        <v>1</v>
      </c>
      <c r="J36" s="167">
        <f>Insumos!D78</f>
        <v>0</v>
      </c>
      <c r="K36" s="199">
        <f>TRUNC(G36*I36*J36,2)</f>
        <v>0</v>
      </c>
    </row>
    <row r="37" spans="1:11" x14ac:dyDescent="0.25">
      <c r="A37" s="152"/>
      <c r="B37" s="159"/>
      <c r="C37" s="159"/>
      <c r="D37" s="159"/>
      <c r="E37" s="159"/>
      <c r="F37" s="159"/>
      <c r="G37" s="159"/>
      <c r="H37" s="159"/>
      <c r="I37" s="159"/>
      <c r="J37" s="160" t="s">
        <v>1064</v>
      </c>
      <c r="K37" s="205">
        <f>K36</f>
        <v>0</v>
      </c>
    </row>
    <row r="38" spans="1:11" x14ac:dyDescent="0.25">
      <c r="A38" s="146" t="s">
        <v>118</v>
      </c>
      <c r="B38" s="179" t="s">
        <v>1180</v>
      </c>
      <c r="C38" s="148"/>
      <c r="D38" s="148"/>
      <c r="E38" s="148"/>
      <c r="F38" s="148"/>
      <c r="G38" s="148"/>
      <c r="H38" s="148"/>
      <c r="I38" s="148"/>
      <c r="J38" s="156"/>
      <c r="K38" s="187"/>
    </row>
    <row r="39" spans="1:11" x14ac:dyDescent="0.25">
      <c r="A39" s="611" t="s">
        <v>1196</v>
      </c>
      <c r="B39" s="612" t="s">
        <v>1067</v>
      </c>
      <c r="C39" s="613" t="s">
        <v>1197</v>
      </c>
      <c r="D39" s="614"/>
      <c r="E39" s="614"/>
      <c r="F39" s="615"/>
      <c r="G39" s="619" t="s">
        <v>14</v>
      </c>
      <c r="H39" s="608" t="s">
        <v>1068</v>
      </c>
      <c r="I39" s="608" t="s">
        <v>35</v>
      </c>
      <c r="J39" s="634" t="s">
        <v>1249</v>
      </c>
      <c r="K39" s="634" t="s">
        <v>16</v>
      </c>
    </row>
    <row r="40" spans="1:11" x14ac:dyDescent="0.25">
      <c r="A40" s="611"/>
      <c r="B40" s="612"/>
      <c r="C40" s="616"/>
      <c r="D40" s="617"/>
      <c r="E40" s="617"/>
      <c r="F40" s="618"/>
      <c r="G40" s="620"/>
      <c r="H40" s="609"/>
      <c r="I40" s="609"/>
      <c r="J40" s="635"/>
      <c r="K40" s="635"/>
    </row>
    <row r="41" spans="1:11" x14ac:dyDescent="0.25">
      <c r="A41" s="124" t="s">
        <v>1217</v>
      </c>
      <c r="B41" s="6" t="s">
        <v>1181</v>
      </c>
      <c r="C41" s="605"/>
      <c r="D41" s="606"/>
      <c r="E41" s="606"/>
      <c r="F41" s="607"/>
      <c r="G41" s="143">
        <v>0.05</v>
      </c>
      <c r="H41" s="140" t="s">
        <v>1140</v>
      </c>
      <c r="I41" s="150">
        <f>G41/SUM($G$41:$G$43)</f>
        <v>0.33333333333333331</v>
      </c>
      <c r="J41" s="167">
        <f>Insumos!D81</f>
        <v>0</v>
      </c>
      <c r="K41" s="199">
        <f>TRUNC(G41*I41*J41,2)</f>
        <v>0</v>
      </c>
    </row>
    <row r="42" spans="1:11" x14ac:dyDescent="0.25">
      <c r="A42" s="124" t="s">
        <v>1220</v>
      </c>
      <c r="B42" s="6" t="s">
        <v>1182</v>
      </c>
      <c r="C42" s="605"/>
      <c r="D42" s="606"/>
      <c r="E42" s="606"/>
      <c r="F42" s="607"/>
      <c r="G42" s="143">
        <v>0.05</v>
      </c>
      <c r="H42" s="140" t="s">
        <v>1140</v>
      </c>
      <c r="I42" s="150">
        <f t="shared" ref="I42:I43" si="3">G42/SUM($G$41:$G$43)</f>
        <v>0.33333333333333331</v>
      </c>
      <c r="J42" s="167">
        <f>Insumos!D82</f>
        <v>0</v>
      </c>
      <c r="K42" s="199">
        <f>TRUNC(G42*I42*J42,2)</f>
        <v>0</v>
      </c>
    </row>
    <row r="43" spans="1:11" x14ac:dyDescent="0.25">
      <c r="A43" s="124" t="s">
        <v>1222</v>
      </c>
      <c r="B43" s="6" t="s">
        <v>1183</v>
      </c>
      <c r="C43" s="605"/>
      <c r="D43" s="606"/>
      <c r="E43" s="606"/>
      <c r="F43" s="607"/>
      <c r="G43" s="143">
        <v>0.05</v>
      </c>
      <c r="H43" s="140" t="s">
        <v>1140</v>
      </c>
      <c r="I43" s="150">
        <f t="shared" si="3"/>
        <v>0.33333333333333331</v>
      </c>
      <c r="J43" s="167">
        <f>Insumos!D83</f>
        <v>0</v>
      </c>
      <c r="K43" s="199">
        <f>TRUNC(G43*I43*J43,2)</f>
        <v>0</v>
      </c>
    </row>
    <row r="44" spans="1:11" x14ac:dyDescent="0.25">
      <c r="A44" s="152"/>
      <c r="B44" s="159"/>
      <c r="C44" s="159"/>
      <c r="D44" s="159"/>
      <c r="E44" s="159"/>
      <c r="F44" s="159"/>
      <c r="G44" s="159"/>
      <c r="H44" s="159"/>
      <c r="I44" s="159"/>
      <c r="J44" s="160" t="s">
        <v>1064</v>
      </c>
      <c r="K44" s="205">
        <f>SUM(K41:K43)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1:J12"/>
    <mergeCell ref="K11:K12"/>
    <mergeCell ref="A21:A22"/>
    <mergeCell ref="B21:B22"/>
    <mergeCell ref="C21:F22"/>
    <mergeCell ref="G21:G22"/>
    <mergeCell ref="H21:H22"/>
    <mergeCell ref="I21:I22"/>
    <mergeCell ref="J21:J22"/>
    <mergeCell ref="K21:K22"/>
    <mergeCell ref="A11:A12"/>
    <mergeCell ref="B11:B12"/>
    <mergeCell ref="C11:F11"/>
    <mergeCell ref="G11:G12"/>
    <mergeCell ref="H11:H12"/>
    <mergeCell ref="I11:I12"/>
    <mergeCell ref="J29:J30"/>
    <mergeCell ref="K29:K30"/>
    <mergeCell ref="C31:F31"/>
    <mergeCell ref="A34:A35"/>
    <mergeCell ref="B34:B35"/>
    <mergeCell ref="C34:F35"/>
    <mergeCell ref="G34:G35"/>
    <mergeCell ref="H34:H35"/>
    <mergeCell ref="I34:I35"/>
    <mergeCell ref="J34:J35"/>
    <mergeCell ref="A29:A30"/>
    <mergeCell ref="B29:B30"/>
    <mergeCell ref="C29:F30"/>
    <mergeCell ref="G29:G30"/>
    <mergeCell ref="H29:H30"/>
    <mergeCell ref="I29:I30"/>
    <mergeCell ref="A39:A40"/>
    <mergeCell ref="B39:B40"/>
    <mergeCell ref="C39:F40"/>
    <mergeCell ref="G39:G40"/>
    <mergeCell ref="H39:H40"/>
    <mergeCell ref="C41:F41"/>
    <mergeCell ref="C42:F42"/>
    <mergeCell ref="C43:F43"/>
    <mergeCell ref="K34:K35"/>
    <mergeCell ref="C36:F36"/>
    <mergeCell ref="I39:I40"/>
    <mergeCell ref="J39:J40"/>
    <mergeCell ref="K39:K40"/>
  </mergeCells>
  <pageMargins left="0.511811024" right="0.511811024" top="0.78740157499999996" bottom="0.78740157499999996" header="0.31496062000000002" footer="0.31496062000000002"/>
  <pageSetup paperSize="9" scale="54" fitToHeight="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view="pageBreakPreview" topLeftCell="A16" zoomScale="80" zoomScaleNormal="70" zoomScaleSheetLayoutView="80" workbookViewId="0">
      <selection activeCell="B3" sqref="B3:F3"/>
    </sheetView>
  </sheetViews>
  <sheetFormatPr defaultRowHeight="15" x14ac:dyDescent="0.25"/>
  <cols>
    <col min="1" max="1" width="12" customWidth="1"/>
    <col min="2" max="2" width="67.28515625" customWidth="1"/>
    <col min="3" max="4" width="8.42578125" customWidth="1"/>
    <col min="5" max="5" width="7.7109375" customWidth="1"/>
    <col min="6" max="7" width="10.85546875" customWidth="1"/>
    <col min="8" max="8" width="9.7109375" customWidth="1"/>
    <col min="9" max="9" width="9.42578125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21</v>
      </c>
      <c r="B2" s="184" t="s">
        <v>1918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120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5" t="s">
        <v>1917</v>
      </c>
      <c r="C6" s="243">
        <v>10.9</v>
      </c>
      <c r="D6" s="243">
        <v>2.6</v>
      </c>
      <c r="E6" s="243">
        <v>2</v>
      </c>
      <c r="F6" s="243">
        <f>E6*D6*C6</f>
        <v>56.680000000000007</v>
      </c>
      <c r="G6" s="243">
        <f>F6</f>
        <v>56.680000000000007</v>
      </c>
      <c r="H6" s="244" t="s">
        <v>1076</v>
      </c>
      <c r="I6" s="253">
        <v>1</v>
      </c>
      <c r="J6" s="254">
        <f>Insumos!D22</f>
        <v>0</v>
      </c>
      <c r="K6" s="263">
        <f>TRUNC(G6*I6*J6,2)</f>
        <v>0</v>
      </c>
    </row>
    <row r="7" spans="1:11" s="247" customFormat="1" x14ac:dyDescent="0.25">
      <c r="A7" s="34" t="s">
        <v>1203</v>
      </c>
      <c r="B7" s="255" t="s">
        <v>1128</v>
      </c>
      <c r="C7" s="243">
        <f>C6</f>
        <v>10.9</v>
      </c>
      <c r="D7" s="243">
        <f>D6</f>
        <v>2.6</v>
      </c>
      <c r="E7" s="243"/>
      <c r="F7" s="243">
        <f>D7*C7</f>
        <v>28.340000000000003</v>
      </c>
      <c r="G7" s="243">
        <f>F7</f>
        <v>28.340000000000003</v>
      </c>
      <c r="H7" s="244" t="s">
        <v>1076</v>
      </c>
      <c r="I7" s="253">
        <v>1</v>
      </c>
      <c r="J7" s="254">
        <f>Insumos!D29</f>
        <v>0</v>
      </c>
      <c r="K7" s="263">
        <f>TRUNC(G7*I7*J7,2)</f>
        <v>0</v>
      </c>
    </row>
    <row r="8" spans="1:11" s="247" customFormat="1" x14ac:dyDescent="0.25">
      <c r="A8" s="394"/>
      <c r="B8" s="386"/>
      <c r="C8" s="382"/>
      <c r="D8" s="382"/>
      <c r="E8" s="382"/>
      <c r="F8" s="382"/>
      <c r="G8" s="382"/>
      <c r="H8" s="382"/>
      <c r="I8" s="382"/>
      <c r="J8" s="395" t="s">
        <v>1064</v>
      </c>
      <c r="K8" s="396">
        <f>SUM(K6:K7)</f>
        <v>0</v>
      </c>
    </row>
    <row r="9" spans="1:11" s="247" customFormat="1" x14ac:dyDescent="0.25">
      <c r="A9" s="401" t="s">
        <v>121</v>
      </c>
      <c r="B9" s="402" t="s">
        <v>1219</v>
      </c>
      <c r="C9" s="383"/>
      <c r="D9" s="383"/>
      <c r="E9" s="383"/>
      <c r="F9" s="383"/>
      <c r="G9" s="383"/>
      <c r="H9" s="383"/>
      <c r="I9" s="383"/>
      <c r="J9" s="403"/>
      <c r="K9" s="404"/>
    </row>
    <row r="10" spans="1:11" s="247" customFormat="1" x14ac:dyDescent="0.25">
      <c r="A10" s="611" t="s">
        <v>1196</v>
      </c>
      <c r="B10" s="612" t="s">
        <v>1067</v>
      </c>
      <c r="C10" s="643" t="s">
        <v>1197</v>
      </c>
      <c r="D10" s="643"/>
      <c r="E10" s="643"/>
      <c r="F10" s="643"/>
      <c r="G10" s="619" t="s">
        <v>14</v>
      </c>
      <c r="H10" s="610" t="s">
        <v>1068</v>
      </c>
      <c r="I10" s="608" t="s">
        <v>35</v>
      </c>
      <c r="J10" s="630" t="s">
        <v>1069</v>
      </c>
      <c r="K10" s="630" t="s">
        <v>16</v>
      </c>
    </row>
    <row r="11" spans="1:11" s="247" customFormat="1" x14ac:dyDescent="0.25">
      <c r="A11" s="611"/>
      <c r="B11" s="612"/>
      <c r="C11" s="384"/>
      <c r="D11" s="384"/>
      <c r="E11" s="384"/>
      <c r="F11" s="384"/>
      <c r="G11" s="664"/>
      <c r="H11" s="610"/>
      <c r="I11" s="660"/>
      <c r="J11" s="630"/>
      <c r="K11" s="630"/>
    </row>
    <row r="12" spans="1:11" x14ac:dyDescent="0.25">
      <c r="A12" s="124" t="s">
        <v>1204</v>
      </c>
      <c r="B12" s="6" t="s">
        <v>1147</v>
      </c>
      <c r="C12" s="313"/>
      <c r="D12" s="313"/>
      <c r="E12" s="313"/>
      <c r="F12" s="313"/>
      <c r="G12" s="143">
        <v>1</v>
      </c>
      <c r="H12" s="140" t="s">
        <v>1140</v>
      </c>
      <c r="I12" s="150">
        <f>G12/SUM($G$12:$G$17)</f>
        <v>5.8823529411764705E-2</v>
      </c>
      <c r="J12" s="167">
        <f>Insumos!D49</f>
        <v>0</v>
      </c>
      <c r="K12" s="199">
        <f t="shared" ref="K12:K17" si="0">TRUNC(G12*I12*J12,2)</f>
        <v>0</v>
      </c>
    </row>
    <row r="13" spans="1:11" x14ac:dyDescent="0.25">
      <c r="A13" s="124" t="s">
        <v>1205</v>
      </c>
      <c r="B13" s="6" t="s">
        <v>1148</v>
      </c>
      <c r="C13" s="313"/>
      <c r="D13" s="313"/>
      <c r="E13" s="313"/>
      <c r="F13" s="313"/>
      <c r="G13" s="143">
        <v>1</v>
      </c>
      <c r="H13" s="140" t="s">
        <v>1140</v>
      </c>
      <c r="I13" s="150">
        <f t="shared" ref="I13:I17" si="1">G13/SUM($G$12:$G$17)</f>
        <v>5.8823529411764705E-2</v>
      </c>
      <c r="J13" s="167">
        <f>Insumos!D50</f>
        <v>0</v>
      </c>
      <c r="K13" s="199">
        <f t="shared" si="0"/>
        <v>0</v>
      </c>
    </row>
    <row r="14" spans="1:11" x14ac:dyDescent="0.25">
      <c r="A14" s="124" t="s">
        <v>1206</v>
      </c>
      <c r="B14" s="6" t="s">
        <v>1149</v>
      </c>
      <c r="C14" s="313"/>
      <c r="D14" s="313"/>
      <c r="E14" s="313"/>
      <c r="F14" s="313"/>
      <c r="G14" s="143">
        <v>1</v>
      </c>
      <c r="H14" s="140" t="s">
        <v>1140</v>
      </c>
      <c r="I14" s="150">
        <f t="shared" si="1"/>
        <v>5.8823529411764705E-2</v>
      </c>
      <c r="J14" s="167">
        <f>Insumos!D51</f>
        <v>0</v>
      </c>
      <c r="K14" s="199">
        <f t="shared" si="0"/>
        <v>0</v>
      </c>
    </row>
    <row r="15" spans="1:11" x14ac:dyDescent="0.25">
      <c r="A15" s="124" t="s">
        <v>1207</v>
      </c>
      <c r="B15" s="6" t="s">
        <v>1150</v>
      </c>
      <c r="C15" s="313"/>
      <c r="D15" s="313"/>
      <c r="E15" s="313"/>
      <c r="F15" s="313"/>
      <c r="G15" s="143">
        <v>12</v>
      </c>
      <c r="H15" s="140" t="s">
        <v>1151</v>
      </c>
      <c r="I15" s="150">
        <f t="shared" si="1"/>
        <v>0.70588235294117652</v>
      </c>
      <c r="J15" s="167">
        <f>Insumos!D52</f>
        <v>0</v>
      </c>
      <c r="K15" s="199">
        <f t="shared" si="0"/>
        <v>0</v>
      </c>
    </row>
    <row r="16" spans="1:11" x14ac:dyDescent="0.25">
      <c r="A16" s="124" t="s">
        <v>1208</v>
      </c>
      <c r="B16" s="6" t="s">
        <v>1152</v>
      </c>
      <c r="C16" s="313"/>
      <c r="D16" s="313"/>
      <c r="E16" s="313"/>
      <c r="F16" s="313"/>
      <c r="G16" s="143">
        <v>1</v>
      </c>
      <c r="H16" s="140" t="s">
        <v>1124</v>
      </c>
      <c r="I16" s="150">
        <f t="shared" si="1"/>
        <v>5.8823529411764705E-2</v>
      </c>
      <c r="J16" s="167">
        <f>Insumos!D53</f>
        <v>0</v>
      </c>
      <c r="K16" s="199">
        <f t="shared" si="0"/>
        <v>0</v>
      </c>
    </row>
    <row r="17" spans="1:11" x14ac:dyDescent="0.25">
      <c r="A17" s="124" t="s">
        <v>1209</v>
      </c>
      <c r="B17" s="6" t="s">
        <v>1248</v>
      </c>
      <c r="C17" s="313"/>
      <c r="D17" s="313"/>
      <c r="E17" s="313"/>
      <c r="F17" s="313"/>
      <c r="G17" s="143">
        <v>1</v>
      </c>
      <c r="H17" s="140" t="s">
        <v>1154</v>
      </c>
      <c r="I17" s="150">
        <f t="shared" si="1"/>
        <v>5.8823529411764705E-2</v>
      </c>
      <c r="J17" s="167">
        <f>Insumos!D54</f>
        <v>0</v>
      </c>
      <c r="K17" s="199">
        <f t="shared" si="0"/>
        <v>0</v>
      </c>
    </row>
    <row r="18" spans="1:11" x14ac:dyDescent="0.25">
      <c r="A18" s="152"/>
      <c r="B18" s="159"/>
      <c r="C18" s="387"/>
      <c r="D18" s="387"/>
      <c r="E18" s="387"/>
      <c r="F18" s="387"/>
      <c r="G18" s="154"/>
      <c r="H18" s="157"/>
      <c r="I18" s="157"/>
      <c r="J18" s="158" t="s">
        <v>1064</v>
      </c>
      <c r="K18" s="203">
        <f>SUM(K12:K17)</f>
        <v>0</v>
      </c>
    </row>
    <row r="19" spans="1:11" x14ac:dyDescent="0.25">
      <c r="A19" s="146" t="s">
        <v>122</v>
      </c>
      <c r="B19" s="179" t="s">
        <v>1155</v>
      </c>
      <c r="C19" s="388"/>
      <c r="D19" s="388"/>
      <c r="E19" s="388"/>
      <c r="F19" s="388"/>
      <c r="G19" s="148"/>
      <c r="H19" s="148"/>
      <c r="I19" s="148"/>
      <c r="J19" s="156"/>
      <c r="K19" s="187"/>
    </row>
    <row r="20" spans="1:11" x14ac:dyDescent="0.25">
      <c r="A20" s="611"/>
      <c r="B20" s="612" t="s">
        <v>1067</v>
      </c>
      <c r="C20" s="613" t="s">
        <v>1197</v>
      </c>
      <c r="D20" s="614"/>
      <c r="E20" s="614"/>
      <c r="F20" s="615"/>
      <c r="G20" s="619" t="s">
        <v>14</v>
      </c>
      <c r="H20" s="610" t="s">
        <v>1068</v>
      </c>
      <c r="I20" s="608" t="s">
        <v>35</v>
      </c>
      <c r="J20" s="630" t="s">
        <v>1249</v>
      </c>
      <c r="K20" s="630" t="s">
        <v>16</v>
      </c>
    </row>
    <row r="21" spans="1:11" x14ac:dyDescent="0.25">
      <c r="A21" s="611"/>
      <c r="B21" s="612"/>
      <c r="C21" s="616"/>
      <c r="D21" s="617"/>
      <c r="E21" s="617"/>
      <c r="F21" s="618"/>
      <c r="G21" s="620"/>
      <c r="H21" s="610"/>
      <c r="I21" s="609"/>
      <c r="J21" s="630"/>
      <c r="K21" s="630"/>
    </row>
    <row r="22" spans="1:11" x14ac:dyDescent="0.25">
      <c r="A22" s="124" t="s">
        <v>1210</v>
      </c>
      <c r="B22" s="104" t="s">
        <v>1156</v>
      </c>
      <c r="C22" s="313"/>
      <c r="D22" s="313"/>
      <c r="E22" s="313"/>
      <c r="F22" s="313"/>
      <c r="G22" s="143">
        <f>G6/40</f>
        <v>1.4170000000000003</v>
      </c>
      <c r="H22" s="140" t="s">
        <v>1228</v>
      </c>
      <c r="I22" s="150">
        <f>G22/SUM($G$22:$G$25)</f>
        <v>0.5</v>
      </c>
      <c r="J22" s="167">
        <f>Insumos!D58</f>
        <v>0</v>
      </c>
      <c r="K22" s="199">
        <f>TRUNC(G22*I22*J22,2)</f>
        <v>0</v>
      </c>
    </row>
    <row r="23" spans="1:11" x14ac:dyDescent="0.25">
      <c r="A23" s="124" t="s">
        <v>1211</v>
      </c>
      <c r="B23" s="6" t="s">
        <v>1166</v>
      </c>
      <c r="C23" s="313"/>
      <c r="D23" s="313"/>
      <c r="E23" s="313"/>
      <c r="F23" s="313"/>
      <c r="G23" s="143">
        <f>G7/40</f>
        <v>0.70850000000000013</v>
      </c>
      <c r="H23" s="140" t="s">
        <v>1096</v>
      </c>
      <c r="I23" s="150">
        <f t="shared" ref="I23:I25" si="2">G23/SUM($G$22:$G$25)</f>
        <v>0.25</v>
      </c>
      <c r="J23" s="167">
        <f>Insumos!D66</f>
        <v>0</v>
      </c>
      <c r="K23" s="199">
        <f>TRUNC(G23*I23*J23,2)</f>
        <v>0</v>
      </c>
    </row>
    <row r="24" spans="1:11" x14ac:dyDescent="0.25">
      <c r="A24" s="124" t="s">
        <v>1212</v>
      </c>
      <c r="B24" s="6" t="s">
        <v>1167</v>
      </c>
      <c r="C24" s="313"/>
      <c r="D24" s="313"/>
      <c r="E24" s="313"/>
      <c r="F24" s="313"/>
      <c r="G24" s="143">
        <f>G7/80</f>
        <v>0.35425000000000006</v>
      </c>
      <c r="H24" s="140" t="s">
        <v>1168</v>
      </c>
      <c r="I24" s="150">
        <f t="shared" si="2"/>
        <v>0.125</v>
      </c>
      <c r="J24" s="167">
        <f>Insumos!D67</f>
        <v>0</v>
      </c>
      <c r="K24" s="199">
        <f>TRUNC(G24*I24*J24,2)</f>
        <v>0</v>
      </c>
    </row>
    <row r="25" spans="1:11" x14ac:dyDescent="0.25">
      <c r="A25" s="124" t="s">
        <v>1213</v>
      </c>
      <c r="B25" s="6" t="s">
        <v>1270</v>
      </c>
      <c r="C25" s="143"/>
      <c r="D25" s="143"/>
      <c r="E25" s="143"/>
      <c r="F25" s="143"/>
      <c r="G25" s="143">
        <f>G7/80</f>
        <v>0.35425000000000006</v>
      </c>
      <c r="H25" s="140" t="s">
        <v>1170</v>
      </c>
      <c r="I25" s="150">
        <f t="shared" si="2"/>
        <v>0.125</v>
      </c>
      <c r="J25" s="167">
        <f>Insumos!D68</f>
        <v>0</v>
      </c>
      <c r="K25" s="199">
        <f>TRUNC(G25*I25*J25,2)</f>
        <v>0</v>
      </c>
    </row>
    <row r="26" spans="1:11" x14ac:dyDescent="0.25">
      <c r="A26" s="152"/>
      <c r="B26" s="159"/>
      <c r="C26" s="159"/>
      <c r="D26" s="159"/>
      <c r="E26" s="159"/>
      <c r="F26" s="159"/>
      <c r="G26" s="159"/>
      <c r="H26" s="159"/>
      <c r="I26" s="159"/>
      <c r="J26" s="160" t="s">
        <v>1064</v>
      </c>
      <c r="K26" s="205">
        <f>SUM(K22:K25)</f>
        <v>0</v>
      </c>
    </row>
    <row r="27" spans="1:11" x14ac:dyDescent="0.25">
      <c r="A27" s="146" t="s">
        <v>123</v>
      </c>
      <c r="B27" s="179" t="s">
        <v>1176</v>
      </c>
      <c r="C27" s="148"/>
      <c r="D27" s="148"/>
      <c r="E27" s="148"/>
      <c r="F27" s="148"/>
      <c r="G27" s="148"/>
      <c r="H27" s="148"/>
      <c r="I27" s="148"/>
      <c r="J27" s="156"/>
      <c r="K27" s="187"/>
    </row>
    <row r="28" spans="1:11" x14ac:dyDescent="0.25">
      <c r="A28" s="611" t="s">
        <v>1196</v>
      </c>
      <c r="B28" s="612" t="s">
        <v>1067</v>
      </c>
      <c r="C28" s="613" t="s">
        <v>1197</v>
      </c>
      <c r="D28" s="614"/>
      <c r="E28" s="614"/>
      <c r="F28" s="615"/>
      <c r="G28" s="619" t="s">
        <v>14</v>
      </c>
      <c r="H28" s="610" t="s">
        <v>1068</v>
      </c>
      <c r="I28" s="608" t="s">
        <v>35</v>
      </c>
      <c r="J28" s="630" t="s">
        <v>1249</v>
      </c>
      <c r="K28" s="630" t="s">
        <v>16</v>
      </c>
    </row>
    <row r="29" spans="1:11" x14ac:dyDescent="0.25">
      <c r="A29" s="611"/>
      <c r="B29" s="612"/>
      <c r="C29" s="616"/>
      <c r="D29" s="617"/>
      <c r="E29" s="617"/>
      <c r="F29" s="618"/>
      <c r="G29" s="620"/>
      <c r="H29" s="610"/>
      <c r="I29" s="609"/>
      <c r="J29" s="630"/>
      <c r="K29" s="630"/>
    </row>
    <row r="30" spans="1:11" x14ac:dyDescent="0.25">
      <c r="A30" s="124" t="s">
        <v>1214</v>
      </c>
      <c r="B30" s="6" t="s">
        <v>1242</v>
      </c>
      <c r="C30" s="605"/>
      <c r="D30" s="606"/>
      <c r="E30" s="606"/>
      <c r="F30" s="607"/>
      <c r="G30" s="143">
        <v>1</v>
      </c>
      <c r="H30" s="140" t="s">
        <v>1140</v>
      </c>
      <c r="I30" s="150">
        <v>1</v>
      </c>
      <c r="J30" s="167">
        <f>Insumos!D75</f>
        <v>0</v>
      </c>
      <c r="K30" s="199">
        <f>TRUNC(G30*I30*J30,2)</f>
        <v>0</v>
      </c>
    </row>
    <row r="31" spans="1:11" x14ac:dyDescent="0.25">
      <c r="A31" s="152"/>
      <c r="B31" s="159"/>
      <c r="C31" s="159"/>
      <c r="D31" s="159"/>
      <c r="E31" s="159"/>
      <c r="F31" s="159"/>
      <c r="G31" s="159"/>
      <c r="H31" s="159"/>
      <c r="I31" s="159"/>
      <c r="J31" s="160" t="s">
        <v>1064</v>
      </c>
      <c r="K31" s="205">
        <f>SUM(K30)</f>
        <v>0</v>
      </c>
    </row>
    <row r="32" spans="1:11" x14ac:dyDescent="0.25">
      <c r="A32" s="146" t="s">
        <v>124</v>
      </c>
      <c r="B32" s="179" t="s">
        <v>1178</v>
      </c>
      <c r="C32" s="148"/>
      <c r="D32" s="148"/>
      <c r="E32" s="148"/>
      <c r="F32" s="148"/>
      <c r="G32" s="148"/>
      <c r="H32" s="148"/>
      <c r="I32" s="148"/>
      <c r="J32" s="156"/>
      <c r="K32" s="187"/>
    </row>
    <row r="33" spans="1:11" x14ac:dyDescent="0.25">
      <c r="A33" s="611" t="s">
        <v>1196</v>
      </c>
      <c r="B33" s="612" t="s">
        <v>1067</v>
      </c>
      <c r="C33" s="613" t="s">
        <v>1197</v>
      </c>
      <c r="D33" s="614"/>
      <c r="E33" s="614"/>
      <c r="F33" s="615"/>
      <c r="G33" s="619" t="s">
        <v>14</v>
      </c>
      <c r="H33" s="610" t="s">
        <v>1068</v>
      </c>
      <c r="I33" s="608" t="s">
        <v>35</v>
      </c>
      <c r="J33" s="630" t="s">
        <v>1249</v>
      </c>
      <c r="K33" s="630" t="s">
        <v>16</v>
      </c>
    </row>
    <row r="34" spans="1:11" x14ac:dyDescent="0.25">
      <c r="A34" s="611"/>
      <c r="B34" s="612"/>
      <c r="C34" s="616"/>
      <c r="D34" s="617"/>
      <c r="E34" s="617"/>
      <c r="F34" s="618"/>
      <c r="G34" s="620"/>
      <c r="H34" s="610"/>
      <c r="I34" s="609"/>
      <c r="J34" s="630"/>
      <c r="K34" s="630"/>
    </row>
    <row r="35" spans="1:11" x14ac:dyDescent="0.25">
      <c r="A35" s="124" t="s">
        <v>1215</v>
      </c>
      <c r="B35" s="104" t="s">
        <v>1179</v>
      </c>
      <c r="C35" s="605"/>
      <c r="D35" s="606"/>
      <c r="E35" s="606"/>
      <c r="F35" s="607"/>
      <c r="G35" s="143">
        <v>1</v>
      </c>
      <c r="H35" s="140" t="s">
        <v>1140</v>
      </c>
      <c r="I35" s="150">
        <v>1</v>
      </c>
      <c r="J35" s="167">
        <f>Insumos!D78</f>
        <v>0</v>
      </c>
      <c r="K35" s="199">
        <f>TRUNC(G35*I35*J35,2)</f>
        <v>0</v>
      </c>
    </row>
    <row r="36" spans="1:11" x14ac:dyDescent="0.25">
      <c r="A36" s="152"/>
      <c r="B36" s="159"/>
      <c r="C36" s="159"/>
      <c r="D36" s="159"/>
      <c r="E36" s="159"/>
      <c r="F36" s="159"/>
      <c r="G36" s="159"/>
      <c r="H36" s="159"/>
      <c r="I36" s="159"/>
      <c r="J36" s="160" t="s">
        <v>1064</v>
      </c>
      <c r="K36" s="205">
        <f>K35</f>
        <v>0</v>
      </c>
    </row>
    <row r="37" spans="1:11" x14ac:dyDescent="0.25">
      <c r="A37" s="146" t="s">
        <v>125</v>
      </c>
      <c r="B37" s="179" t="s">
        <v>1180</v>
      </c>
      <c r="C37" s="148"/>
      <c r="D37" s="148"/>
      <c r="E37" s="148"/>
      <c r="F37" s="148"/>
      <c r="G37" s="148"/>
      <c r="H37" s="148"/>
      <c r="I37" s="148"/>
      <c r="J37" s="156"/>
      <c r="K37" s="187"/>
    </row>
    <row r="38" spans="1:11" x14ac:dyDescent="0.25">
      <c r="A38" s="611" t="s">
        <v>1196</v>
      </c>
      <c r="B38" s="612" t="s">
        <v>1067</v>
      </c>
      <c r="C38" s="613" t="s">
        <v>1197</v>
      </c>
      <c r="D38" s="614"/>
      <c r="E38" s="614"/>
      <c r="F38" s="615"/>
      <c r="G38" s="619" t="s">
        <v>14</v>
      </c>
      <c r="H38" s="610" t="s">
        <v>1068</v>
      </c>
      <c r="I38" s="608" t="s">
        <v>35</v>
      </c>
      <c r="J38" s="630" t="s">
        <v>1249</v>
      </c>
      <c r="K38" s="630" t="s">
        <v>16</v>
      </c>
    </row>
    <row r="39" spans="1:11" x14ac:dyDescent="0.25">
      <c r="A39" s="611"/>
      <c r="B39" s="612"/>
      <c r="C39" s="616"/>
      <c r="D39" s="617"/>
      <c r="E39" s="617"/>
      <c r="F39" s="618"/>
      <c r="G39" s="620"/>
      <c r="H39" s="610"/>
      <c r="I39" s="609"/>
      <c r="J39" s="630"/>
      <c r="K39" s="630"/>
    </row>
    <row r="40" spans="1:11" x14ac:dyDescent="0.25">
      <c r="A40" s="124" t="s">
        <v>1216</v>
      </c>
      <c r="B40" s="6" t="s">
        <v>1181</v>
      </c>
      <c r="C40" s="605"/>
      <c r="D40" s="606"/>
      <c r="E40" s="606"/>
      <c r="F40" s="607"/>
      <c r="G40" s="143">
        <v>0.1</v>
      </c>
      <c r="H40" s="140" t="s">
        <v>1140</v>
      </c>
      <c r="I40" s="150">
        <f>G40/SUM($G$40:$G$42)</f>
        <v>0.33333333333333331</v>
      </c>
      <c r="J40" s="167">
        <f>Insumos!D81</f>
        <v>0</v>
      </c>
      <c r="K40" s="199">
        <f>TRUNC(G40*I40*J40,2)</f>
        <v>0</v>
      </c>
    </row>
    <row r="41" spans="1:11" x14ac:dyDescent="0.25">
      <c r="A41" s="124" t="s">
        <v>1217</v>
      </c>
      <c r="B41" s="6" t="s">
        <v>1182</v>
      </c>
      <c r="C41" s="605"/>
      <c r="D41" s="606"/>
      <c r="E41" s="606"/>
      <c r="F41" s="607"/>
      <c r="G41" s="143">
        <v>0.1</v>
      </c>
      <c r="H41" s="140" t="s">
        <v>1140</v>
      </c>
      <c r="I41" s="150">
        <f t="shared" ref="I41:I42" si="3">G41/SUM($G$40:$G$42)</f>
        <v>0.33333333333333331</v>
      </c>
      <c r="J41" s="167">
        <f>Insumos!D82</f>
        <v>0</v>
      </c>
      <c r="K41" s="199">
        <f>TRUNC(G41*I41*J41,2)</f>
        <v>0</v>
      </c>
    </row>
    <row r="42" spans="1:11" x14ac:dyDescent="0.25">
      <c r="A42" s="124" t="s">
        <v>1220</v>
      </c>
      <c r="B42" s="6" t="s">
        <v>1183</v>
      </c>
      <c r="C42" s="605"/>
      <c r="D42" s="606"/>
      <c r="E42" s="606"/>
      <c r="F42" s="607"/>
      <c r="G42" s="143">
        <v>0.1</v>
      </c>
      <c r="H42" s="140" t="s">
        <v>1140</v>
      </c>
      <c r="I42" s="150">
        <f t="shared" si="3"/>
        <v>0.33333333333333331</v>
      </c>
      <c r="J42" s="167">
        <f>Insumos!D83</f>
        <v>0</v>
      </c>
      <c r="K42" s="199">
        <f>TRUNC(G42*I42*J42,2)</f>
        <v>0</v>
      </c>
    </row>
    <row r="43" spans="1:11" x14ac:dyDescent="0.25">
      <c r="A43" s="152"/>
      <c r="B43" s="159"/>
      <c r="C43" s="159"/>
      <c r="D43" s="159"/>
      <c r="E43" s="159"/>
      <c r="F43" s="159"/>
      <c r="G43" s="159"/>
      <c r="H43" s="159"/>
      <c r="I43" s="159"/>
      <c r="J43" s="160" t="s">
        <v>1064</v>
      </c>
      <c r="K43" s="205">
        <f>SUM(K40:K42)</f>
        <v>0</v>
      </c>
    </row>
  </sheetData>
  <mergeCells count="55">
    <mergeCell ref="C40:F40"/>
    <mergeCell ref="C41:F41"/>
    <mergeCell ref="C42:F42"/>
    <mergeCell ref="K33:K34"/>
    <mergeCell ref="C35:F35"/>
    <mergeCell ref="I38:I39"/>
    <mergeCell ref="J38:J39"/>
    <mergeCell ref="K38:K39"/>
    <mergeCell ref="A38:A39"/>
    <mergeCell ref="B38:B39"/>
    <mergeCell ref="C38:F39"/>
    <mergeCell ref="G38:G39"/>
    <mergeCell ref="H38:H39"/>
    <mergeCell ref="J28:J29"/>
    <mergeCell ref="K28:K29"/>
    <mergeCell ref="C30:F30"/>
    <mergeCell ref="A33:A34"/>
    <mergeCell ref="B33:B34"/>
    <mergeCell ref="C33:F34"/>
    <mergeCell ref="G33:G34"/>
    <mergeCell ref="H33:H34"/>
    <mergeCell ref="I33:I34"/>
    <mergeCell ref="J33:J34"/>
    <mergeCell ref="A28:A29"/>
    <mergeCell ref="B28:B29"/>
    <mergeCell ref="C28:F29"/>
    <mergeCell ref="G28:G29"/>
    <mergeCell ref="H28:H29"/>
    <mergeCell ref="I28:I29"/>
    <mergeCell ref="J10:J11"/>
    <mergeCell ref="K10:K11"/>
    <mergeCell ref="A20:A21"/>
    <mergeCell ref="B20:B21"/>
    <mergeCell ref="C20:F21"/>
    <mergeCell ref="G20:G21"/>
    <mergeCell ref="H20:H21"/>
    <mergeCell ref="I20:I21"/>
    <mergeCell ref="J20:J21"/>
    <mergeCell ref="K20:K21"/>
    <mergeCell ref="A10:A11"/>
    <mergeCell ref="B10:B11"/>
    <mergeCell ref="C10:F10"/>
    <mergeCell ref="G10:G11"/>
    <mergeCell ref="H10:H11"/>
    <mergeCell ref="I10:I11"/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</mergeCells>
  <pageMargins left="0.511811024" right="0.511811024" top="0.78740157499999996" bottom="0.78740157499999996" header="0.31496062000000002" footer="0.31496062000000002"/>
  <pageSetup paperSize="9" scale="52" fitToHeight="0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view="pageBreakPreview" zoomScale="80" zoomScaleNormal="85" zoomScaleSheetLayoutView="80" workbookViewId="0">
      <selection activeCell="B3" sqref="B3:F3"/>
    </sheetView>
  </sheetViews>
  <sheetFormatPr defaultRowHeight="15" x14ac:dyDescent="0.25"/>
  <cols>
    <col min="1" max="1" width="14.5703125" bestFit="1" customWidth="1"/>
    <col min="2" max="2" width="75" customWidth="1"/>
    <col min="3" max="4" width="8.42578125" customWidth="1"/>
    <col min="5" max="5" width="7.7109375" customWidth="1"/>
    <col min="6" max="7" width="10.85546875" customWidth="1"/>
    <col min="8" max="8" width="9.7109375" customWidth="1"/>
    <col min="9" max="9" width="9.42578125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22</v>
      </c>
      <c r="B2" s="184" t="s">
        <v>1982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127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1954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5" t="s">
        <v>1125</v>
      </c>
      <c r="C6" s="243">
        <v>2</v>
      </c>
      <c r="D6" s="243">
        <v>4.5999999999999996</v>
      </c>
      <c r="E6" s="243">
        <v>3.6</v>
      </c>
      <c r="F6" s="243">
        <f>C6*D6*E6</f>
        <v>33.119999999999997</v>
      </c>
      <c r="G6" s="243">
        <f>F6</f>
        <v>33.119999999999997</v>
      </c>
      <c r="H6" s="244" t="s">
        <v>1076</v>
      </c>
      <c r="I6" s="266">
        <v>1</v>
      </c>
      <c r="J6" s="254">
        <f>Insumos!D26</f>
        <v>0</v>
      </c>
      <c r="K6" s="246">
        <f>TRUNC(G6*I6*J6,2)</f>
        <v>0</v>
      </c>
    </row>
    <row r="7" spans="1:11" s="247" customFormat="1" x14ac:dyDescent="0.25">
      <c r="A7" s="34" t="s">
        <v>1203</v>
      </c>
      <c r="B7" s="255" t="s">
        <v>1128</v>
      </c>
      <c r="C7" s="243"/>
      <c r="D7" s="243"/>
      <c r="E7" s="243"/>
      <c r="F7" s="243">
        <f>F6</f>
        <v>33.119999999999997</v>
      </c>
      <c r="G7" s="243">
        <f>F7</f>
        <v>33.119999999999997</v>
      </c>
      <c r="H7" s="244" t="s">
        <v>1277</v>
      </c>
      <c r="I7" s="266">
        <v>1</v>
      </c>
      <c r="J7" s="254">
        <f>Insumos!D29</f>
        <v>0</v>
      </c>
      <c r="K7" s="246">
        <f>TRUNC(G7*I7*J7,2)</f>
        <v>0</v>
      </c>
    </row>
    <row r="8" spans="1:11" s="247" customFormat="1" x14ac:dyDescent="0.25">
      <c r="A8" s="394"/>
      <c r="B8" s="386"/>
      <c r="C8" s="382"/>
      <c r="D8" s="382"/>
      <c r="E8" s="382"/>
      <c r="F8" s="382"/>
      <c r="G8" s="382"/>
      <c r="H8" s="382"/>
      <c r="I8" s="382"/>
      <c r="J8" s="399" t="s">
        <v>1064</v>
      </c>
      <c r="K8" s="400">
        <f>SUM(K6:K7)</f>
        <v>0</v>
      </c>
    </row>
    <row r="9" spans="1:11" s="247" customFormat="1" x14ac:dyDescent="0.25">
      <c r="A9" s="401" t="s">
        <v>128</v>
      </c>
      <c r="B9" s="402" t="s">
        <v>1960</v>
      </c>
      <c r="C9" s="383"/>
      <c r="D9" s="383"/>
      <c r="E9" s="383"/>
      <c r="F9" s="383"/>
      <c r="G9" s="383"/>
      <c r="H9" s="383"/>
      <c r="I9" s="383"/>
      <c r="J9" s="383"/>
      <c r="K9" s="408"/>
    </row>
    <row r="10" spans="1:11" s="247" customFormat="1" x14ac:dyDescent="0.25">
      <c r="A10" s="611" t="s">
        <v>1196</v>
      </c>
      <c r="B10" s="612" t="s">
        <v>1067</v>
      </c>
      <c r="C10" s="643" t="s">
        <v>1197</v>
      </c>
      <c r="D10" s="643"/>
      <c r="E10" s="643"/>
      <c r="F10" s="643"/>
      <c r="G10" s="619" t="s">
        <v>14</v>
      </c>
      <c r="H10" s="610" t="s">
        <v>1068</v>
      </c>
      <c r="I10" s="608" t="s">
        <v>35</v>
      </c>
      <c r="J10" s="610" t="s">
        <v>1069</v>
      </c>
      <c r="K10" s="610" t="s">
        <v>16</v>
      </c>
    </row>
    <row r="11" spans="1:11" s="247" customFormat="1" x14ac:dyDescent="0.25">
      <c r="A11" s="611"/>
      <c r="B11" s="612"/>
      <c r="C11" s="384"/>
      <c r="D11" s="384"/>
      <c r="E11" s="384"/>
      <c r="F11" s="384"/>
      <c r="G11" s="664"/>
      <c r="H11" s="610"/>
      <c r="I11" s="660"/>
      <c r="J11" s="610"/>
      <c r="K11" s="610"/>
    </row>
    <row r="12" spans="1:11" x14ac:dyDescent="0.25">
      <c r="A12" s="124" t="s">
        <v>1204</v>
      </c>
      <c r="B12" s="6" t="s">
        <v>1147</v>
      </c>
      <c r="C12" s="313"/>
      <c r="D12" s="313"/>
      <c r="E12" s="313"/>
      <c r="F12" s="313"/>
      <c r="G12" s="143">
        <v>2</v>
      </c>
      <c r="H12" s="140" t="s">
        <v>1140</v>
      </c>
      <c r="I12" s="150">
        <f t="shared" ref="I12:I17" si="0">G12/SUM($G$12:$G$17)</f>
        <v>6.4516129032258063E-2</v>
      </c>
      <c r="J12" s="167">
        <f>Insumos!D49</f>
        <v>0</v>
      </c>
      <c r="K12" s="215">
        <f t="shared" ref="K12:K17" si="1">TRUNC(G12*I12*J12,2)</f>
        <v>0</v>
      </c>
    </row>
    <row r="13" spans="1:11" x14ac:dyDescent="0.25">
      <c r="A13" s="124" t="s">
        <v>1205</v>
      </c>
      <c r="B13" s="6" t="s">
        <v>1148</v>
      </c>
      <c r="C13" s="313"/>
      <c r="D13" s="313"/>
      <c r="E13" s="313"/>
      <c r="F13" s="313"/>
      <c r="G13" s="143">
        <v>2</v>
      </c>
      <c r="H13" s="140" t="s">
        <v>1140</v>
      </c>
      <c r="I13" s="150">
        <f t="shared" si="0"/>
        <v>6.4516129032258063E-2</v>
      </c>
      <c r="J13" s="167">
        <f>Insumos!D50</f>
        <v>0</v>
      </c>
      <c r="K13" s="215">
        <f t="shared" si="1"/>
        <v>0</v>
      </c>
    </row>
    <row r="14" spans="1:11" x14ac:dyDescent="0.25">
      <c r="A14" s="124" t="s">
        <v>1206</v>
      </c>
      <c r="B14" s="6" t="s">
        <v>1149</v>
      </c>
      <c r="C14" s="313"/>
      <c r="D14" s="313"/>
      <c r="E14" s="313"/>
      <c r="F14" s="313"/>
      <c r="G14" s="143">
        <v>2</v>
      </c>
      <c r="H14" s="140" t="s">
        <v>1140</v>
      </c>
      <c r="I14" s="150">
        <f t="shared" si="0"/>
        <v>6.4516129032258063E-2</v>
      </c>
      <c r="J14" s="167">
        <f>Insumos!D51</f>
        <v>0</v>
      </c>
      <c r="K14" s="215">
        <f t="shared" si="1"/>
        <v>0</v>
      </c>
    </row>
    <row r="15" spans="1:11" x14ac:dyDescent="0.25">
      <c r="A15" s="124" t="s">
        <v>1207</v>
      </c>
      <c r="B15" s="6" t="s">
        <v>1150</v>
      </c>
      <c r="C15" s="313"/>
      <c r="D15" s="313"/>
      <c r="E15" s="313"/>
      <c r="F15" s="313"/>
      <c r="G15" s="143">
        <v>20</v>
      </c>
      <c r="H15" s="140" t="s">
        <v>1151</v>
      </c>
      <c r="I15" s="150">
        <f t="shared" si="0"/>
        <v>0.64516129032258063</v>
      </c>
      <c r="J15" s="167">
        <f>Insumos!D52</f>
        <v>0</v>
      </c>
      <c r="K15" s="215">
        <f t="shared" si="1"/>
        <v>0</v>
      </c>
    </row>
    <row r="16" spans="1:11" x14ac:dyDescent="0.25">
      <c r="A16" s="124" t="s">
        <v>1208</v>
      </c>
      <c r="B16" s="6" t="s">
        <v>1152</v>
      </c>
      <c r="C16" s="313"/>
      <c r="D16" s="313"/>
      <c r="E16" s="313"/>
      <c r="F16" s="313"/>
      <c r="G16" s="143">
        <v>3</v>
      </c>
      <c r="H16" s="140" t="s">
        <v>1124</v>
      </c>
      <c r="I16" s="150">
        <f t="shared" si="0"/>
        <v>9.6774193548387094E-2</v>
      </c>
      <c r="J16" s="167">
        <f>Insumos!D53</f>
        <v>0</v>
      </c>
      <c r="K16" s="215">
        <f t="shared" si="1"/>
        <v>0</v>
      </c>
    </row>
    <row r="17" spans="1:11" x14ac:dyDescent="0.25">
      <c r="A17" s="124" t="s">
        <v>1209</v>
      </c>
      <c r="B17" s="6" t="s">
        <v>1248</v>
      </c>
      <c r="C17" s="313"/>
      <c r="D17" s="313"/>
      <c r="E17" s="313"/>
      <c r="F17" s="313"/>
      <c r="G17" s="143">
        <v>2</v>
      </c>
      <c r="H17" s="140" t="s">
        <v>1154</v>
      </c>
      <c r="I17" s="150">
        <f t="shared" si="0"/>
        <v>6.4516129032258063E-2</v>
      </c>
      <c r="J17" s="167">
        <f>Insumos!D54</f>
        <v>0</v>
      </c>
      <c r="K17" s="215">
        <f t="shared" si="1"/>
        <v>0</v>
      </c>
    </row>
    <row r="18" spans="1:11" x14ac:dyDescent="0.25">
      <c r="A18" s="152"/>
      <c r="B18" s="159"/>
      <c r="C18" s="387"/>
      <c r="D18" s="387"/>
      <c r="E18" s="387"/>
      <c r="F18" s="387"/>
      <c r="G18" s="154"/>
      <c r="H18" s="157"/>
      <c r="I18" s="157"/>
      <c r="J18" s="192" t="s">
        <v>1064</v>
      </c>
      <c r="K18" s="217">
        <f>SUM(K12:K17)</f>
        <v>0</v>
      </c>
    </row>
    <row r="19" spans="1:11" x14ac:dyDescent="0.25">
      <c r="A19" s="146" t="s">
        <v>129</v>
      </c>
      <c r="B19" s="179" t="s">
        <v>1155</v>
      </c>
      <c r="C19" s="388"/>
      <c r="D19" s="388"/>
      <c r="E19" s="388"/>
      <c r="F19" s="388"/>
      <c r="G19" s="148"/>
      <c r="H19" s="148"/>
      <c r="I19" s="148"/>
      <c r="J19" s="148"/>
      <c r="K19" s="188"/>
    </row>
    <row r="20" spans="1:11" x14ac:dyDescent="0.25">
      <c r="A20" s="611" t="s">
        <v>1196</v>
      </c>
      <c r="B20" s="612" t="s">
        <v>1067</v>
      </c>
      <c r="C20" s="613" t="s">
        <v>1197</v>
      </c>
      <c r="D20" s="614"/>
      <c r="E20" s="614"/>
      <c r="F20" s="615"/>
      <c r="G20" s="619" t="s">
        <v>14</v>
      </c>
      <c r="H20" s="610" t="s">
        <v>1068</v>
      </c>
      <c r="I20" s="608" t="s">
        <v>35</v>
      </c>
      <c r="J20" s="610" t="s">
        <v>1249</v>
      </c>
      <c r="K20" s="610" t="s">
        <v>16</v>
      </c>
    </row>
    <row r="21" spans="1:11" x14ac:dyDescent="0.25">
      <c r="A21" s="611"/>
      <c r="B21" s="612"/>
      <c r="C21" s="616"/>
      <c r="D21" s="617"/>
      <c r="E21" s="617"/>
      <c r="F21" s="618"/>
      <c r="G21" s="620"/>
      <c r="H21" s="610"/>
      <c r="I21" s="609"/>
      <c r="J21" s="610"/>
      <c r="K21" s="610"/>
    </row>
    <row r="22" spans="1:11" x14ac:dyDescent="0.25">
      <c r="A22" s="124" t="s">
        <v>1210</v>
      </c>
      <c r="B22" s="104" t="s">
        <v>1156</v>
      </c>
      <c r="C22" s="313"/>
      <c r="D22" s="313"/>
      <c r="E22" s="313"/>
      <c r="F22" s="313"/>
      <c r="G22" s="143">
        <f>G7/20</f>
        <v>1.6559999999999999</v>
      </c>
      <c r="H22" s="140" t="s">
        <v>1228</v>
      </c>
      <c r="I22" s="150">
        <f>G22/SUM($G$22:$G$25)</f>
        <v>0.45295404814004375</v>
      </c>
      <c r="J22" s="167">
        <f>Insumos!D58</f>
        <v>0</v>
      </c>
      <c r="K22" s="215">
        <f>TRUNC(G22*I22*J22,2)</f>
        <v>0</v>
      </c>
    </row>
    <row r="23" spans="1:11" x14ac:dyDescent="0.25">
      <c r="A23" s="124" t="s">
        <v>1211</v>
      </c>
      <c r="B23" s="104" t="s">
        <v>1166</v>
      </c>
      <c r="C23" s="313"/>
      <c r="D23" s="313"/>
      <c r="E23" s="313"/>
      <c r="F23" s="313"/>
      <c r="G23" s="143">
        <v>0.5</v>
      </c>
      <c r="H23" s="140" t="s">
        <v>1096</v>
      </c>
      <c r="I23" s="150">
        <f t="shared" ref="I23:I25" si="2">G23/SUM($G$22:$G$25)</f>
        <v>0.13676148796498908</v>
      </c>
      <c r="J23" s="167">
        <f>Insumos!D66</f>
        <v>0</v>
      </c>
      <c r="K23" s="215">
        <f t="shared" ref="K23:K25" si="3">TRUNC(G23*I23*J23,2)</f>
        <v>0</v>
      </c>
    </row>
    <row r="24" spans="1:11" x14ac:dyDescent="0.25">
      <c r="A24" s="124" t="s">
        <v>1212</v>
      </c>
      <c r="B24" s="104" t="s">
        <v>1167</v>
      </c>
      <c r="C24" s="313"/>
      <c r="D24" s="313"/>
      <c r="E24" s="313"/>
      <c r="F24" s="313"/>
      <c r="G24" s="143">
        <v>0.5</v>
      </c>
      <c r="H24" s="140" t="s">
        <v>1168</v>
      </c>
      <c r="I24" s="150">
        <f t="shared" si="2"/>
        <v>0.13676148796498908</v>
      </c>
      <c r="J24" s="167">
        <f>Insumos!D67</f>
        <v>0</v>
      </c>
      <c r="K24" s="215">
        <f t="shared" si="3"/>
        <v>0</v>
      </c>
    </row>
    <row r="25" spans="1:11" x14ac:dyDescent="0.25">
      <c r="A25" s="124" t="s">
        <v>1213</v>
      </c>
      <c r="B25" s="104" t="s">
        <v>1169</v>
      </c>
      <c r="C25" s="143"/>
      <c r="D25" s="143"/>
      <c r="E25" s="143"/>
      <c r="F25" s="143"/>
      <c r="G25" s="143">
        <v>1</v>
      </c>
      <c r="H25" s="140" t="s">
        <v>1170</v>
      </c>
      <c r="I25" s="150">
        <f t="shared" si="2"/>
        <v>0.27352297592997815</v>
      </c>
      <c r="J25" s="167">
        <f>Insumos!D68</f>
        <v>0</v>
      </c>
      <c r="K25" s="215">
        <f t="shared" si="3"/>
        <v>0</v>
      </c>
    </row>
    <row r="26" spans="1:11" x14ac:dyDescent="0.25">
      <c r="A26" s="124"/>
      <c r="B26" s="159"/>
      <c r="C26" s="159"/>
      <c r="D26" s="159"/>
      <c r="E26" s="159"/>
      <c r="F26" s="159"/>
      <c r="G26" s="159"/>
      <c r="H26" s="159"/>
      <c r="I26" s="159"/>
      <c r="J26" s="170" t="s">
        <v>1064</v>
      </c>
      <c r="K26" s="218">
        <f>SUM(K22:K25)</f>
        <v>0</v>
      </c>
    </row>
    <row r="27" spans="1:11" x14ac:dyDescent="0.25">
      <c r="A27" s="146" t="s">
        <v>130</v>
      </c>
      <c r="B27" s="179" t="s">
        <v>1176</v>
      </c>
      <c r="C27" s="148"/>
      <c r="D27" s="148"/>
      <c r="E27" s="148"/>
      <c r="F27" s="148"/>
      <c r="G27" s="148"/>
      <c r="H27" s="148"/>
      <c r="I27" s="148"/>
      <c r="J27" s="148"/>
      <c r="K27" s="188"/>
    </row>
    <row r="28" spans="1:11" x14ac:dyDescent="0.25">
      <c r="A28" s="611" t="s">
        <v>1196</v>
      </c>
      <c r="B28" s="612" t="s">
        <v>1067</v>
      </c>
      <c r="C28" s="613" t="s">
        <v>1197</v>
      </c>
      <c r="D28" s="614"/>
      <c r="E28" s="614"/>
      <c r="F28" s="615"/>
      <c r="G28" s="619" t="s">
        <v>14</v>
      </c>
      <c r="H28" s="610" t="s">
        <v>1068</v>
      </c>
      <c r="I28" s="608" t="s">
        <v>35</v>
      </c>
      <c r="J28" s="610" t="s">
        <v>1249</v>
      </c>
      <c r="K28" s="610" t="s">
        <v>16</v>
      </c>
    </row>
    <row r="29" spans="1:11" x14ac:dyDescent="0.25">
      <c r="A29" s="611"/>
      <c r="B29" s="612"/>
      <c r="C29" s="616"/>
      <c r="D29" s="617"/>
      <c r="E29" s="617"/>
      <c r="F29" s="618"/>
      <c r="G29" s="620"/>
      <c r="H29" s="610"/>
      <c r="I29" s="609"/>
      <c r="J29" s="610"/>
      <c r="K29" s="610"/>
    </row>
    <row r="30" spans="1:11" x14ac:dyDescent="0.25">
      <c r="A30" s="124" t="s">
        <v>1214</v>
      </c>
      <c r="B30" s="6" t="s">
        <v>1242</v>
      </c>
      <c r="C30" s="605"/>
      <c r="D30" s="606"/>
      <c r="E30" s="606"/>
      <c r="F30" s="607"/>
      <c r="G30" s="143">
        <v>1</v>
      </c>
      <c r="H30" s="140" t="s">
        <v>1140</v>
      </c>
      <c r="I30" s="150">
        <v>2</v>
      </c>
      <c r="J30" s="167">
        <f>Insumos!D75</f>
        <v>0</v>
      </c>
      <c r="K30" s="215">
        <f>TRUNC(G30*I30*J30,2)</f>
        <v>0</v>
      </c>
    </row>
    <row r="31" spans="1:11" x14ac:dyDescent="0.25">
      <c r="A31" s="152"/>
      <c r="B31" s="159"/>
      <c r="C31" s="159"/>
      <c r="D31" s="159"/>
      <c r="E31" s="159"/>
      <c r="F31" s="159"/>
      <c r="G31" s="159"/>
      <c r="H31" s="159"/>
      <c r="I31" s="159"/>
      <c r="J31" s="170" t="s">
        <v>1064</v>
      </c>
      <c r="K31" s="218">
        <f>SUM(K30)</f>
        <v>0</v>
      </c>
    </row>
    <row r="32" spans="1:11" x14ac:dyDescent="0.25">
      <c r="A32" s="146" t="s">
        <v>131</v>
      </c>
      <c r="B32" s="179" t="s">
        <v>1178</v>
      </c>
      <c r="C32" s="148"/>
      <c r="D32" s="148"/>
      <c r="E32" s="148"/>
      <c r="F32" s="148"/>
      <c r="G32" s="148"/>
      <c r="H32" s="148"/>
      <c r="I32" s="148"/>
      <c r="J32" s="148"/>
      <c r="K32" s="188"/>
    </row>
    <row r="33" spans="1:11" x14ac:dyDescent="0.25">
      <c r="A33" s="611" t="s">
        <v>1196</v>
      </c>
      <c r="B33" s="612" t="s">
        <v>1067</v>
      </c>
      <c r="C33" s="613" t="s">
        <v>1197</v>
      </c>
      <c r="D33" s="614"/>
      <c r="E33" s="614"/>
      <c r="F33" s="615"/>
      <c r="G33" s="619" t="s">
        <v>14</v>
      </c>
      <c r="H33" s="610" t="s">
        <v>1068</v>
      </c>
      <c r="I33" s="608" t="s">
        <v>35</v>
      </c>
      <c r="J33" s="610" t="s">
        <v>1249</v>
      </c>
      <c r="K33" s="610" t="s">
        <v>16</v>
      </c>
    </row>
    <row r="34" spans="1:11" x14ac:dyDescent="0.25">
      <c r="A34" s="611"/>
      <c r="B34" s="612"/>
      <c r="C34" s="616"/>
      <c r="D34" s="617"/>
      <c r="E34" s="617"/>
      <c r="F34" s="618"/>
      <c r="G34" s="620"/>
      <c r="H34" s="610"/>
      <c r="I34" s="609"/>
      <c r="J34" s="610"/>
      <c r="K34" s="610"/>
    </row>
    <row r="35" spans="1:11" x14ac:dyDescent="0.25">
      <c r="A35" s="124" t="s">
        <v>1215</v>
      </c>
      <c r="B35" s="6" t="s">
        <v>42</v>
      </c>
      <c r="C35" s="605"/>
      <c r="D35" s="606"/>
      <c r="E35" s="606"/>
      <c r="F35" s="607"/>
      <c r="G35" s="143">
        <v>1</v>
      </c>
      <c r="H35" s="140" t="s">
        <v>1140</v>
      </c>
      <c r="I35" s="150">
        <v>2</v>
      </c>
      <c r="J35" s="167">
        <f>Insumos!D78</f>
        <v>0</v>
      </c>
      <c r="K35" s="215">
        <f>TRUNC(G35*I35*J35,2)</f>
        <v>0</v>
      </c>
    </row>
    <row r="36" spans="1:11" x14ac:dyDescent="0.25">
      <c r="A36" s="152"/>
      <c r="B36" s="159"/>
      <c r="C36" s="159"/>
      <c r="D36" s="159"/>
      <c r="E36" s="159"/>
      <c r="F36" s="159"/>
      <c r="G36" s="159"/>
      <c r="H36" s="159"/>
      <c r="I36" s="159"/>
      <c r="J36" s="170" t="s">
        <v>1064</v>
      </c>
      <c r="K36" s="218">
        <f>K35</f>
        <v>0</v>
      </c>
    </row>
    <row r="37" spans="1:11" x14ac:dyDescent="0.25">
      <c r="A37" s="146" t="s">
        <v>132</v>
      </c>
      <c r="B37" s="179" t="s">
        <v>1180</v>
      </c>
      <c r="C37" s="148"/>
      <c r="D37" s="148"/>
      <c r="E37" s="148"/>
      <c r="F37" s="148"/>
      <c r="G37" s="148"/>
      <c r="H37" s="148"/>
      <c r="I37" s="148"/>
      <c r="J37" s="148"/>
      <c r="K37" s="188"/>
    </row>
    <row r="38" spans="1:11" x14ac:dyDescent="0.25">
      <c r="A38" s="611" t="s">
        <v>1196</v>
      </c>
      <c r="B38" s="612" t="s">
        <v>1067</v>
      </c>
      <c r="C38" s="613" t="s">
        <v>1197</v>
      </c>
      <c r="D38" s="614"/>
      <c r="E38" s="614"/>
      <c r="F38" s="615"/>
      <c r="G38" s="619" t="s">
        <v>14</v>
      </c>
      <c r="H38" s="610" t="s">
        <v>1068</v>
      </c>
      <c r="I38" s="608" t="s">
        <v>35</v>
      </c>
      <c r="J38" s="610" t="s">
        <v>1249</v>
      </c>
      <c r="K38" s="610" t="s">
        <v>16</v>
      </c>
    </row>
    <row r="39" spans="1:11" x14ac:dyDescent="0.25">
      <c r="A39" s="611"/>
      <c r="B39" s="612"/>
      <c r="C39" s="616"/>
      <c r="D39" s="617"/>
      <c r="E39" s="617"/>
      <c r="F39" s="618"/>
      <c r="G39" s="620"/>
      <c r="H39" s="610"/>
      <c r="I39" s="609"/>
      <c r="J39" s="610"/>
      <c r="K39" s="610"/>
    </row>
    <row r="40" spans="1:11" x14ac:dyDescent="0.25">
      <c r="A40" s="124" t="s">
        <v>1216</v>
      </c>
      <c r="B40" s="6" t="s">
        <v>1181</v>
      </c>
      <c r="C40" s="605"/>
      <c r="D40" s="606"/>
      <c r="E40" s="606"/>
      <c r="F40" s="607"/>
      <c r="G40" s="143">
        <v>0.15</v>
      </c>
      <c r="H40" s="140" t="s">
        <v>1140</v>
      </c>
      <c r="I40" s="150">
        <f>G40/SUM($G$40:$G$42)</f>
        <v>0.33333333333333337</v>
      </c>
      <c r="J40" s="167">
        <f>Insumos!D81</f>
        <v>0</v>
      </c>
      <c r="K40" s="215">
        <f>TRUNC(G40*I40*J40,2)</f>
        <v>0</v>
      </c>
    </row>
    <row r="41" spans="1:11" x14ac:dyDescent="0.25">
      <c r="A41" s="124" t="s">
        <v>1217</v>
      </c>
      <c r="B41" s="6" t="s">
        <v>1278</v>
      </c>
      <c r="C41" s="605"/>
      <c r="D41" s="606"/>
      <c r="E41" s="606"/>
      <c r="F41" s="607"/>
      <c r="G41" s="143">
        <v>0.15</v>
      </c>
      <c r="H41" s="140" t="s">
        <v>1140</v>
      </c>
      <c r="I41" s="150">
        <f t="shared" ref="I41:I42" si="4">G41/SUM($G$40:$G$42)</f>
        <v>0.33333333333333337</v>
      </c>
      <c r="J41" s="167">
        <f>Insumos!D82</f>
        <v>0</v>
      </c>
      <c r="K41" s="215">
        <f>TRUNC(G41*I41*J41,2)</f>
        <v>0</v>
      </c>
    </row>
    <row r="42" spans="1:11" x14ac:dyDescent="0.25">
      <c r="A42" s="124" t="s">
        <v>1220</v>
      </c>
      <c r="B42" s="6" t="s">
        <v>1183</v>
      </c>
      <c r="C42" s="605"/>
      <c r="D42" s="606"/>
      <c r="E42" s="606"/>
      <c r="F42" s="607"/>
      <c r="G42" s="143">
        <v>0.15</v>
      </c>
      <c r="H42" s="140" t="s">
        <v>1140</v>
      </c>
      <c r="I42" s="150">
        <f t="shared" si="4"/>
        <v>0.33333333333333337</v>
      </c>
      <c r="J42" s="167">
        <f>Insumos!D83</f>
        <v>0</v>
      </c>
      <c r="K42" s="215">
        <f>TRUNC(G42*I42*J42,2)</f>
        <v>0</v>
      </c>
    </row>
    <row r="43" spans="1:11" x14ac:dyDescent="0.25">
      <c r="A43" s="152"/>
      <c r="B43" s="159"/>
      <c r="C43" s="159"/>
      <c r="D43" s="159"/>
      <c r="E43" s="159"/>
      <c r="F43" s="159"/>
      <c r="G43" s="159"/>
      <c r="H43" s="159"/>
      <c r="I43" s="159"/>
      <c r="J43" s="170" t="s">
        <v>1064</v>
      </c>
      <c r="K43" s="218">
        <f>SUM(K40:K42)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0:J11"/>
    <mergeCell ref="K10:K11"/>
    <mergeCell ref="A20:A21"/>
    <mergeCell ref="B20:B21"/>
    <mergeCell ref="C20:F21"/>
    <mergeCell ref="G20:G21"/>
    <mergeCell ref="H20:H21"/>
    <mergeCell ref="I20:I21"/>
    <mergeCell ref="J20:J21"/>
    <mergeCell ref="K20:K21"/>
    <mergeCell ref="A10:A11"/>
    <mergeCell ref="B10:B11"/>
    <mergeCell ref="C10:F10"/>
    <mergeCell ref="G10:G11"/>
    <mergeCell ref="H10:H11"/>
    <mergeCell ref="I10:I11"/>
    <mergeCell ref="J28:J29"/>
    <mergeCell ref="K28:K29"/>
    <mergeCell ref="C30:F30"/>
    <mergeCell ref="A33:A34"/>
    <mergeCell ref="B33:B34"/>
    <mergeCell ref="C33:F34"/>
    <mergeCell ref="G33:G34"/>
    <mergeCell ref="H33:H34"/>
    <mergeCell ref="I33:I34"/>
    <mergeCell ref="J33:J34"/>
    <mergeCell ref="A28:A29"/>
    <mergeCell ref="B28:B29"/>
    <mergeCell ref="C28:F29"/>
    <mergeCell ref="G28:G29"/>
    <mergeCell ref="H28:H29"/>
    <mergeCell ref="I28:I29"/>
    <mergeCell ref="A38:A39"/>
    <mergeCell ref="B38:B39"/>
    <mergeCell ref="C38:F39"/>
    <mergeCell ref="G38:G39"/>
    <mergeCell ref="H38:H39"/>
    <mergeCell ref="C40:F40"/>
    <mergeCell ref="C41:F41"/>
    <mergeCell ref="C42:F42"/>
    <mergeCell ref="K33:K34"/>
    <mergeCell ref="C35:F35"/>
    <mergeCell ref="I38:I39"/>
    <mergeCell ref="J38:J39"/>
    <mergeCell ref="K38:K39"/>
  </mergeCells>
  <pageMargins left="0.511811024" right="0.511811024" top="0.78740157499999996" bottom="0.78740157499999996" header="0.31496062000000002" footer="0.31496062000000002"/>
  <pageSetup paperSize="9" scale="49" fitToHeight="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view="pageBreakPreview" topLeftCell="A18" zoomScale="80" zoomScaleNormal="85" zoomScaleSheetLayoutView="80" workbookViewId="0">
      <selection activeCell="B3" sqref="B3:F3"/>
    </sheetView>
  </sheetViews>
  <sheetFormatPr defaultRowHeight="15" x14ac:dyDescent="0.25"/>
  <cols>
    <col min="1" max="1" width="12.42578125" customWidth="1"/>
    <col min="2" max="2" width="65.5703125" customWidth="1"/>
    <col min="3" max="5" width="6.42578125" bestFit="1" customWidth="1"/>
    <col min="6" max="6" width="7.42578125" bestFit="1" customWidth="1"/>
    <col min="7" max="7" width="10.85546875" customWidth="1"/>
    <col min="9" max="9" width="8.5703125" bestFit="1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23</v>
      </c>
      <c r="B2" s="184" t="s">
        <v>1983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ht="30" x14ac:dyDescent="0.25">
      <c r="A3" s="146" t="s">
        <v>139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1125</v>
      </c>
      <c r="C6" s="243"/>
      <c r="D6" s="243">
        <v>4.5999999999999996</v>
      </c>
      <c r="E6" s="243">
        <v>3.6</v>
      </c>
      <c r="F6" s="243">
        <f>E6*D6</f>
        <v>16.559999999999999</v>
      </c>
      <c r="G6" s="243">
        <f>F6</f>
        <v>16.559999999999999</v>
      </c>
      <c r="H6" s="244" t="s">
        <v>1076</v>
      </c>
      <c r="I6" s="253">
        <v>1</v>
      </c>
      <c r="J6" s="254">
        <f>Insumos!D26</f>
        <v>0</v>
      </c>
      <c r="K6" s="254">
        <f>TRUNC(G6*I6*J6,2)</f>
        <v>0</v>
      </c>
    </row>
    <row r="7" spans="1:11" s="247" customFormat="1" x14ac:dyDescent="0.25">
      <c r="A7" s="34" t="s">
        <v>1203</v>
      </c>
      <c r="B7" s="251" t="s">
        <v>1128</v>
      </c>
      <c r="C7" s="243"/>
      <c r="D7" s="243"/>
      <c r="E7" s="243"/>
      <c r="F7" s="243">
        <f>F6</f>
        <v>16.559999999999999</v>
      </c>
      <c r="G7" s="243">
        <f>F7</f>
        <v>16.559999999999999</v>
      </c>
      <c r="H7" s="244" t="s">
        <v>1076</v>
      </c>
      <c r="I7" s="253">
        <v>1</v>
      </c>
      <c r="J7" s="254">
        <f>Insumos!D29</f>
        <v>0</v>
      </c>
      <c r="K7" s="254">
        <f>TRUNC(G7*I7*J7,2)</f>
        <v>0</v>
      </c>
    </row>
    <row r="8" spans="1:11" s="247" customFormat="1" x14ac:dyDescent="0.25">
      <c r="A8" s="394"/>
      <c r="B8" s="386"/>
      <c r="C8" s="382"/>
      <c r="D8" s="382"/>
      <c r="E8" s="382"/>
      <c r="F8" s="382"/>
      <c r="G8" s="382"/>
      <c r="H8" s="382"/>
      <c r="I8" s="382"/>
      <c r="J8" s="399" t="s">
        <v>1064</v>
      </c>
      <c r="K8" s="407">
        <f>SUM(K6:K7)</f>
        <v>0</v>
      </c>
    </row>
    <row r="9" spans="1:11" s="247" customFormat="1" x14ac:dyDescent="0.25">
      <c r="A9" s="401" t="s">
        <v>140</v>
      </c>
      <c r="B9" s="402" t="s">
        <v>1219</v>
      </c>
      <c r="C9" s="383"/>
      <c r="D9" s="383"/>
      <c r="E9" s="383"/>
      <c r="F9" s="383"/>
      <c r="G9" s="383"/>
      <c r="H9" s="383"/>
      <c r="I9" s="383"/>
      <c r="J9" s="383"/>
      <c r="K9" s="408"/>
    </row>
    <row r="10" spans="1:11" s="247" customFormat="1" x14ac:dyDescent="0.25">
      <c r="A10" s="611" t="s">
        <v>1196</v>
      </c>
      <c r="B10" s="612" t="s">
        <v>1067</v>
      </c>
      <c r="C10" s="643" t="s">
        <v>1197</v>
      </c>
      <c r="D10" s="643"/>
      <c r="E10" s="643"/>
      <c r="F10" s="643"/>
      <c r="G10" s="619" t="s">
        <v>14</v>
      </c>
      <c r="H10" s="610" t="s">
        <v>1068</v>
      </c>
      <c r="I10" s="608" t="s">
        <v>35</v>
      </c>
      <c r="J10" s="610" t="s">
        <v>1069</v>
      </c>
      <c r="K10" s="610" t="s">
        <v>16</v>
      </c>
    </row>
    <row r="11" spans="1:11" s="247" customFormat="1" x14ac:dyDescent="0.25">
      <c r="A11" s="611"/>
      <c r="B11" s="612"/>
      <c r="C11" s="384"/>
      <c r="D11" s="384"/>
      <c r="E11" s="384"/>
      <c r="F11" s="384"/>
      <c r="G11" s="664"/>
      <c r="H11" s="610"/>
      <c r="I11" s="660"/>
      <c r="J11" s="610"/>
      <c r="K11" s="610"/>
    </row>
    <row r="12" spans="1:11" x14ac:dyDescent="0.25">
      <c r="A12" s="124" t="s">
        <v>1204</v>
      </c>
      <c r="B12" s="6" t="s">
        <v>1147</v>
      </c>
      <c r="C12" s="313"/>
      <c r="D12" s="313"/>
      <c r="E12" s="313"/>
      <c r="F12" s="313"/>
      <c r="G12" s="143">
        <v>1</v>
      </c>
      <c r="H12" s="140" t="s">
        <v>1140</v>
      </c>
      <c r="I12" s="150">
        <f t="shared" ref="I12:I17" si="0">G12/SUM($G$12:$G$17)</f>
        <v>6.25E-2</v>
      </c>
      <c r="J12" s="167">
        <f>Insumos!D49</f>
        <v>0</v>
      </c>
      <c r="K12" s="167">
        <f t="shared" ref="K12:K17" si="1">TRUNC(G12*I12*J12,2)</f>
        <v>0</v>
      </c>
    </row>
    <row r="13" spans="1:11" x14ac:dyDescent="0.25">
      <c r="A13" s="124" t="s">
        <v>1205</v>
      </c>
      <c r="B13" s="6" t="s">
        <v>1148</v>
      </c>
      <c r="C13" s="313"/>
      <c r="D13" s="313"/>
      <c r="E13" s="313"/>
      <c r="F13" s="313"/>
      <c r="G13" s="143">
        <v>1</v>
      </c>
      <c r="H13" s="140" t="s">
        <v>1140</v>
      </c>
      <c r="I13" s="150">
        <f t="shared" si="0"/>
        <v>6.25E-2</v>
      </c>
      <c r="J13" s="167">
        <f>Insumos!D50</f>
        <v>0</v>
      </c>
      <c r="K13" s="167">
        <f t="shared" si="1"/>
        <v>0</v>
      </c>
    </row>
    <row r="14" spans="1:11" x14ac:dyDescent="0.25">
      <c r="A14" s="124" t="s">
        <v>1206</v>
      </c>
      <c r="B14" s="6" t="s">
        <v>1149</v>
      </c>
      <c r="C14" s="313"/>
      <c r="D14" s="313"/>
      <c r="E14" s="313"/>
      <c r="F14" s="313"/>
      <c r="G14" s="143">
        <v>2</v>
      </c>
      <c r="H14" s="140" t="s">
        <v>1140</v>
      </c>
      <c r="I14" s="150">
        <f t="shared" si="0"/>
        <v>0.125</v>
      </c>
      <c r="J14" s="167">
        <f>Insumos!D51</f>
        <v>0</v>
      </c>
      <c r="K14" s="167">
        <f t="shared" si="1"/>
        <v>0</v>
      </c>
    </row>
    <row r="15" spans="1:11" x14ac:dyDescent="0.25">
      <c r="A15" s="124" t="s">
        <v>1207</v>
      </c>
      <c r="B15" s="6" t="s">
        <v>1150</v>
      </c>
      <c r="C15" s="313"/>
      <c r="D15" s="313"/>
      <c r="E15" s="313"/>
      <c r="F15" s="313"/>
      <c r="G15" s="143">
        <v>8</v>
      </c>
      <c r="H15" s="140" t="s">
        <v>1151</v>
      </c>
      <c r="I15" s="150">
        <f t="shared" si="0"/>
        <v>0.5</v>
      </c>
      <c r="J15" s="167">
        <f>Insumos!D52</f>
        <v>0</v>
      </c>
      <c r="K15" s="167">
        <f t="shared" si="1"/>
        <v>0</v>
      </c>
    </row>
    <row r="16" spans="1:11" x14ac:dyDescent="0.25">
      <c r="A16" s="124" t="s">
        <v>1208</v>
      </c>
      <c r="B16" s="6" t="s">
        <v>1152</v>
      </c>
      <c r="C16" s="313"/>
      <c r="D16" s="313"/>
      <c r="E16" s="313"/>
      <c r="F16" s="313"/>
      <c r="G16" s="143">
        <v>2</v>
      </c>
      <c r="H16" s="140" t="s">
        <v>1124</v>
      </c>
      <c r="I16" s="150">
        <f t="shared" si="0"/>
        <v>0.125</v>
      </c>
      <c r="J16" s="167">
        <f>Insumos!D53</f>
        <v>0</v>
      </c>
      <c r="K16" s="167">
        <f t="shared" si="1"/>
        <v>0</v>
      </c>
    </row>
    <row r="17" spans="1:11" x14ac:dyDescent="0.25">
      <c r="A17" s="124" t="s">
        <v>1209</v>
      </c>
      <c r="B17" s="6" t="s">
        <v>1248</v>
      </c>
      <c r="C17" s="313"/>
      <c r="D17" s="313"/>
      <c r="E17" s="313"/>
      <c r="F17" s="313"/>
      <c r="G17" s="143">
        <v>2</v>
      </c>
      <c r="H17" s="140" t="s">
        <v>1154</v>
      </c>
      <c r="I17" s="150">
        <f t="shared" si="0"/>
        <v>0.125</v>
      </c>
      <c r="J17" s="167">
        <f>Insumos!D54</f>
        <v>0</v>
      </c>
      <c r="K17" s="167">
        <f t="shared" si="1"/>
        <v>0</v>
      </c>
    </row>
    <row r="18" spans="1:11" x14ac:dyDescent="0.25">
      <c r="A18" s="152"/>
      <c r="B18" s="159"/>
      <c r="C18" s="387"/>
      <c r="D18" s="387"/>
      <c r="E18" s="387"/>
      <c r="F18" s="387"/>
      <c r="G18" s="154"/>
      <c r="H18" s="157"/>
      <c r="I18" s="157"/>
      <c r="J18" s="192" t="s">
        <v>1064</v>
      </c>
      <c r="K18" s="193">
        <f>SUM(K12:K17)</f>
        <v>0</v>
      </c>
    </row>
    <row r="19" spans="1:11" x14ac:dyDescent="0.25">
      <c r="A19" s="146" t="s">
        <v>141</v>
      </c>
      <c r="B19" s="179" t="s">
        <v>1155</v>
      </c>
      <c r="C19" s="388"/>
      <c r="D19" s="388"/>
      <c r="E19" s="388"/>
      <c r="F19" s="388"/>
      <c r="G19" s="148"/>
      <c r="H19" s="148"/>
      <c r="I19" s="148"/>
      <c r="J19" s="148"/>
      <c r="K19" s="188"/>
    </row>
    <row r="20" spans="1:11" x14ac:dyDescent="0.25">
      <c r="A20" s="611" t="s">
        <v>1196</v>
      </c>
      <c r="B20" s="612" t="s">
        <v>1067</v>
      </c>
      <c r="C20" s="613" t="s">
        <v>1197</v>
      </c>
      <c r="D20" s="614"/>
      <c r="E20" s="614"/>
      <c r="F20" s="615"/>
      <c r="G20" s="619" t="s">
        <v>14</v>
      </c>
      <c r="H20" s="610" t="s">
        <v>1068</v>
      </c>
      <c r="I20" s="608" t="s">
        <v>35</v>
      </c>
      <c r="J20" s="610" t="s">
        <v>1249</v>
      </c>
      <c r="K20" s="610" t="s">
        <v>16</v>
      </c>
    </row>
    <row r="21" spans="1:11" x14ac:dyDescent="0.25">
      <c r="A21" s="611"/>
      <c r="B21" s="612"/>
      <c r="C21" s="616"/>
      <c r="D21" s="617"/>
      <c r="E21" s="617"/>
      <c r="F21" s="618"/>
      <c r="G21" s="620"/>
      <c r="H21" s="610"/>
      <c r="I21" s="609"/>
      <c r="J21" s="610"/>
      <c r="K21" s="610"/>
    </row>
    <row r="22" spans="1:11" x14ac:dyDescent="0.25">
      <c r="A22" s="124" t="s">
        <v>1210</v>
      </c>
      <c r="B22" s="104" t="s">
        <v>1156</v>
      </c>
      <c r="C22" s="313"/>
      <c r="D22" s="313"/>
      <c r="E22" s="313"/>
      <c r="F22" s="313"/>
      <c r="G22" s="143">
        <f>G7/20</f>
        <v>0.82799999999999996</v>
      </c>
      <c r="H22" s="140" t="s">
        <v>1228</v>
      </c>
      <c r="I22" s="150">
        <f>G22/SUM($G$22:$G$25)</f>
        <v>0.29278642149929279</v>
      </c>
      <c r="J22" s="167">
        <f>Insumos!D58</f>
        <v>0</v>
      </c>
      <c r="K22" s="167">
        <f t="shared" ref="K22:K25" si="2">TRUNC(G22*I22*J22,2)</f>
        <v>0</v>
      </c>
    </row>
    <row r="23" spans="1:11" x14ac:dyDescent="0.25">
      <c r="A23" s="124" t="s">
        <v>1211</v>
      </c>
      <c r="B23" s="104" t="s">
        <v>1166</v>
      </c>
      <c r="C23" s="313"/>
      <c r="D23" s="313"/>
      <c r="E23" s="313"/>
      <c r="F23" s="313"/>
      <c r="G23" s="143">
        <v>0.5</v>
      </c>
      <c r="H23" s="140" t="s">
        <v>1096</v>
      </c>
      <c r="I23" s="150">
        <f t="shared" ref="I23:I25" si="3">G23/SUM($G$22:$G$25)</f>
        <v>0.1768033946251768</v>
      </c>
      <c r="J23" s="167">
        <f>Insumos!D66</f>
        <v>0</v>
      </c>
      <c r="K23" s="167">
        <f t="shared" si="2"/>
        <v>0</v>
      </c>
    </row>
    <row r="24" spans="1:11" x14ac:dyDescent="0.25">
      <c r="A24" s="124" t="s">
        <v>1212</v>
      </c>
      <c r="B24" s="104" t="s">
        <v>1167</v>
      </c>
      <c r="C24" s="313"/>
      <c r="D24" s="313"/>
      <c r="E24" s="313"/>
      <c r="F24" s="313"/>
      <c r="G24" s="143">
        <v>0.5</v>
      </c>
      <c r="H24" s="140" t="s">
        <v>1168</v>
      </c>
      <c r="I24" s="150">
        <f t="shared" si="3"/>
        <v>0.1768033946251768</v>
      </c>
      <c r="J24" s="167">
        <f>Insumos!D67</f>
        <v>0</v>
      </c>
      <c r="K24" s="167">
        <f t="shared" si="2"/>
        <v>0</v>
      </c>
    </row>
    <row r="25" spans="1:11" x14ac:dyDescent="0.25">
      <c r="A25" s="124" t="s">
        <v>1213</v>
      </c>
      <c r="B25" s="104" t="s">
        <v>1169</v>
      </c>
      <c r="C25" s="143"/>
      <c r="D25" s="143"/>
      <c r="E25" s="143"/>
      <c r="F25" s="143"/>
      <c r="G25" s="143">
        <v>1</v>
      </c>
      <c r="H25" s="140" t="s">
        <v>1170</v>
      </c>
      <c r="I25" s="150">
        <f t="shared" si="3"/>
        <v>0.3536067892503536</v>
      </c>
      <c r="J25" s="167">
        <f>Insumos!D68</f>
        <v>0</v>
      </c>
      <c r="K25" s="167">
        <f t="shared" si="2"/>
        <v>0</v>
      </c>
    </row>
    <row r="26" spans="1:11" x14ac:dyDescent="0.25">
      <c r="A26" s="152"/>
      <c r="B26" s="159"/>
      <c r="C26" s="159"/>
      <c r="D26" s="159"/>
      <c r="E26" s="159"/>
      <c r="F26" s="159"/>
      <c r="G26" s="159"/>
      <c r="H26" s="159"/>
      <c r="I26" s="159"/>
      <c r="J26" s="170" t="s">
        <v>1064</v>
      </c>
      <c r="K26" s="175">
        <f>SUM(K22:K25)</f>
        <v>0</v>
      </c>
    </row>
    <row r="27" spans="1:11" x14ac:dyDescent="0.25">
      <c r="A27" s="146" t="s">
        <v>142</v>
      </c>
      <c r="B27" s="179" t="s">
        <v>1176</v>
      </c>
      <c r="C27" s="148"/>
      <c r="D27" s="148"/>
      <c r="E27" s="148"/>
      <c r="F27" s="148"/>
      <c r="G27" s="148"/>
      <c r="H27" s="148"/>
      <c r="I27" s="148"/>
      <c r="J27" s="148"/>
      <c r="K27" s="188"/>
    </row>
    <row r="28" spans="1:11" x14ac:dyDescent="0.25">
      <c r="A28" s="611" t="s">
        <v>1196</v>
      </c>
      <c r="B28" s="612" t="s">
        <v>1067</v>
      </c>
      <c r="C28" s="613" t="s">
        <v>1197</v>
      </c>
      <c r="D28" s="614"/>
      <c r="E28" s="614"/>
      <c r="F28" s="615"/>
      <c r="G28" s="619" t="s">
        <v>14</v>
      </c>
      <c r="H28" s="610" t="s">
        <v>1068</v>
      </c>
      <c r="I28" s="608" t="s">
        <v>35</v>
      </c>
      <c r="J28" s="610" t="s">
        <v>1249</v>
      </c>
      <c r="K28" s="610" t="s">
        <v>16</v>
      </c>
    </row>
    <row r="29" spans="1:11" x14ac:dyDescent="0.25">
      <c r="A29" s="611"/>
      <c r="B29" s="612"/>
      <c r="C29" s="616"/>
      <c r="D29" s="617"/>
      <c r="E29" s="617"/>
      <c r="F29" s="618"/>
      <c r="G29" s="620"/>
      <c r="H29" s="610"/>
      <c r="I29" s="609"/>
      <c r="J29" s="610"/>
      <c r="K29" s="610"/>
    </row>
    <row r="30" spans="1:11" x14ac:dyDescent="0.25">
      <c r="A30" s="124" t="s">
        <v>1214</v>
      </c>
      <c r="B30" s="6" t="s">
        <v>1242</v>
      </c>
      <c r="C30" s="605"/>
      <c r="D30" s="606"/>
      <c r="E30" s="606"/>
      <c r="F30" s="607"/>
      <c r="G30" s="143">
        <v>1</v>
      </c>
      <c r="H30" s="140" t="s">
        <v>1140</v>
      </c>
      <c r="I30" s="150">
        <v>2</v>
      </c>
      <c r="J30" s="167">
        <f>Insumos!D75</f>
        <v>0</v>
      </c>
      <c r="K30" s="167">
        <f>TRUNC(G30*I30*J30,2)</f>
        <v>0</v>
      </c>
    </row>
    <row r="31" spans="1:11" x14ac:dyDescent="0.25">
      <c r="A31" s="152"/>
      <c r="B31" s="159"/>
      <c r="C31" s="159"/>
      <c r="D31" s="159"/>
      <c r="E31" s="159"/>
      <c r="F31" s="159"/>
      <c r="G31" s="159"/>
      <c r="H31" s="159"/>
      <c r="I31" s="159"/>
      <c r="J31" s="170" t="s">
        <v>1064</v>
      </c>
      <c r="K31" s="175">
        <f>SUM(K30)</f>
        <v>0</v>
      </c>
    </row>
    <row r="32" spans="1:11" x14ac:dyDescent="0.25">
      <c r="A32" s="146" t="s">
        <v>143</v>
      </c>
      <c r="B32" s="179" t="s">
        <v>1178</v>
      </c>
      <c r="C32" s="148"/>
      <c r="D32" s="148"/>
      <c r="E32" s="148"/>
      <c r="F32" s="148"/>
      <c r="G32" s="148"/>
      <c r="H32" s="148"/>
      <c r="I32" s="148"/>
      <c r="J32" s="148"/>
      <c r="K32" s="188"/>
    </row>
    <row r="33" spans="1:11" x14ac:dyDescent="0.25">
      <c r="A33" s="611" t="s">
        <v>1196</v>
      </c>
      <c r="B33" s="612" t="s">
        <v>1067</v>
      </c>
      <c r="C33" s="613" t="s">
        <v>1197</v>
      </c>
      <c r="D33" s="614"/>
      <c r="E33" s="614"/>
      <c r="F33" s="615"/>
      <c r="G33" s="619" t="s">
        <v>14</v>
      </c>
      <c r="H33" s="610" t="s">
        <v>1068</v>
      </c>
      <c r="I33" s="608" t="s">
        <v>35</v>
      </c>
      <c r="J33" s="610" t="s">
        <v>1249</v>
      </c>
      <c r="K33" s="610" t="s">
        <v>16</v>
      </c>
    </row>
    <row r="34" spans="1:11" x14ac:dyDescent="0.25">
      <c r="A34" s="611"/>
      <c r="B34" s="612"/>
      <c r="C34" s="616"/>
      <c r="D34" s="617"/>
      <c r="E34" s="617"/>
      <c r="F34" s="618"/>
      <c r="G34" s="620"/>
      <c r="H34" s="610"/>
      <c r="I34" s="609"/>
      <c r="J34" s="610"/>
      <c r="K34" s="610"/>
    </row>
    <row r="35" spans="1:11" x14ac:dyDescent="0.25">
      <c r="A35" s="124" t="s">
        <v>1215</v>
      </c>
      <c r="B35" s="6" t="s">
        <v>42</v>
      </c>
      <c r="C35" s="605"/>
      <c r="D35" s="606"/>
      <c r="E35" s="606"/>
      <c r="F35" s="607"/>
      <c r="G35" s="143">
        <v>1</v>
      </c>
      <c r="H35" s="140" t="s">
        <v>1140</v>
      </c>
      <c r="I35" s="150">
        <v>2</v>
      </c>
      <c r="J35" s="167">
        <f>Insumos!D78</f>
        <v>0</v>
      </c>
      <c r="K35" s="167">
        <f>TRUNC(G35*I35*J35,2)</f>
        <v>0</v>
      </c>
    </row>
    <row r="36" spans="1:11" x14ac:dyDescent="0.25">
      <c r="A36" s="152"/>
      <c r="B36" s="159"/>
      <c r="C36" s="159"/>
      <c r="D36" s="159"/>
      <c r="E36" s="159"/>
      <c r="F36" s="159"/>
      <c r="G36" s="159"/>
      <c r="H36" s="159"/>
      <c r="I36" s="159"/>
      <c r="J36" s="170" t="s">
        <v>1064</v>
      </c>
      <c r="K36" s="175">
        <f>K35</f>
        <v>0</v>
      </c>
    </row>
    <row r="37" spans="1:11" x14ac:dyDescent="0.25">
      <c r="A37" s="146" t="s">
        <v>144</v>
      </c>
      <c r="B37" s="179" t="s">
        <v>1180</v>
      </c>
      <c r="C37" s="148"/>
      <c r="D37" s="148"/>
      <c r="E37" s="148"/>
      <c r="F37" s="148"/>
      <c r="G37" s="148"/>
      <c r="H37" s="148"/>
      <c r="I37" s="148"/>
      <c r="J37" s="148"/>
      <c r="K37" s="188"/>
    </row>
    <row r="38" spans="1:11" x14ac:dyDescent="0.25">
      <c r="A38" s="611" t="s">
        <v>1196</v>
      </c>
      <c r="B38" s="612" t="s">
        <v>1067</v>
      </c>
      <c r="C38" s="613" t="s">
        <v>1197</v>
      </c>
      <c r="D38" s="614"/>
      <c r="E38" s="614"/>
      <c r="F38" s="615"/>
      <c r="G38" s="619" t="s">
        <v>14</v>
      </c>
      <c r="H38" s="610" t="s">
        <v>1068</v>
      </c>
      <c r="I38" s="608" t="s">
        <v>35</v>
      </c>
      <c r="J38" s="610" t="s">
        <v>1249</v>
      </c>
      <c r="K38" s="610" t="s">
        <v>16</v>
      </c>
    </row>
    <row r="39" spans="1:11" x14ac:dyDescent="0.25">
      <c r="A39" s="611"/>
      <c r="B39" s="612"/>
      <c r="C39" s="616"/>
      <c r="D39" s="617"/>
      <c r="E39" s="617"/>
      <c r="F39" s="618"/>
      <c r="G39" s="620"/>
      <c r="H39" s="610"/>
      <c r="I39" s="609"/>
      <c r="J39" s="610"/>
      <c r="K39" s="610"/>
    </row>
    <row r="40" spans="1:11" x14ac:dyDescent="0.25">
      <c r="A40" s="124" t="s">
        <v>1216</v>
      </c>
      <c r="B40" s="6" t="s">
        <v>1181</v>
      </c>
      <c r="C40" s="605"/>
      <c r="D40" s="606"/>
      <c r="E40" s="606"/>
      <c r="F40" s="607"/>
      <c r="G40" s="143">
        <v>0.1</v>
      </c>
      <c r="H40" s="140" t="s">
        <v>1140</v>
      </c>
      <c r="I40" s="150">
        <f>G40/SUM($G$40:$G$42)</f>
        <v>0.33333333333333331</v>
      </c>
      <c r="J40" s="167">
        <f>Insumos!D81</f>
        <v>0</v>
      </c>
      <c r="K40" s="167">
        <f>TRUNC(G40*I40*J40,2)</f>
        <v>0</v>
      </c>
    </row>
    <row r="41" spans="1:11" x14ac:dyDescent="0.25">
      <c r="A41" s="124" t="s">
        <v>1217</v>
      </c>
      <c r="B41" s="6" t="s">
        <v>1182</v>
      </c>
      <c r="C41" s="605"/>
      <c r="D41" s="606"/>
      <c r="E41" s="606"/>
      <c r="F41" s="607"/>
      <c r="G41" s="143">
        <v>0.1</v>
      </c>
      <c r="H41" s="140" t="s">
        <v>1140</v>
      </c>
      <c r="I41" s="150">
        <f t="shared" ref="I41:I42" si="4">G41/SUM($G$40:$G$42)</f>
        <v>0.33333333333333331</v>
      </c>
      <c r="J41" s="167">
        <f>Insumos!D82</f>
        <v>0</v>
      </c>
      <c r="K41" s="167">
        <f>TRUNC(G41*I41*J41,2)</f>
        <v>0</v>
      </c>
    </row>
    <row r="42" spans="1:11" x14ac:dyDescent="0.25">
      <c r="A42" s="124" t="s">
        <v>1220</v>
      </c>
      <c r="B42" s="6" t="s">
        <v>1183</v>
      </c>
      <c r="C42" s="605"/>
      <c r="D42" s="606"/>
      <c r="E42" s="606"/>
      <c r="F42" s="607"/>
      <c r="G42" s="143">
        <v>0.1</v>
      </c>
      <c r="H42" s="140" t="s">
        <v>1140</v>
      </c>
      <c r="I42" s="150">
        <f t="shared" si="4"/>
        <v>0.33333333333333331</v>
      </c>
      <c r="J42" s="167">
        <f>Insumos!D83</f>
        <v>0</v>
      </c>
      <c r="K42" s="167">
        <f>TRUNC(G42*I42*J42,2)</f>
        <v>0</v>
      </c>
    </row>
    <row r="43" spans="1:11" x14ac:dyDescent="0.25">
      <c r="A43" s="152"/>
      <c r="B43" s="159"/>
      <c r="C43" s="159"/>
      <c r="D43" s="159"/>
      <c r="E43" s="159"/>
      <c r="F43" s="159"/>
      <c r="G43" s="159"/>
      <c r="H43" s="159"/>
      <c r="I43" s="159"/>
      <c r="J43" s="170" t="s">
        <v>1064</v>
      </c>
      <c r="K43" s="175">
        <f>SUM(K40:K42)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0:J11"/>
    <mergeCell ref="K10:K11"/>
    <mergeCell ref="A20:A21"/>
    <mergeCell ref="B20:B21"/>
    <mergeCell ref="C20:F21"/>
    <mergeCell ref="G20:G21"/>
    <mergeCell ref="H20:H21"/>
    <mergeCell ref="I20:I21"/>
    <mergeCell ref="J20:J21"/>
    <mergeCell ref="K20:K21"/>
    <mergeCell ref="A10:A11"/>
    <mergeCell ref="B10:B11"/>
    <mergeCell ref="C10:F10"/>
    <mergeCell ref="G10:G11"/>
    <mergeCell ref="H10:H11"/>
    <mergeCell ref="I10:I11"/>
    <mergeCell ref="J28:J29"/>
    <mergeCell ref="K28:K29"/>
    <mergeCell ref="C30:F30"/>
    <mergeCell ref="A33:A34"/>
    <mergeCell ref="B33:B34"/>
    <mergeCell ref="C33:F34"/>
    <mergeCell ref="G33:G34"/>
    <mergeCell ref="H33:H34"/>
    <mergeCell ref="I33:I34"/>
    <mergeCell ref="J33:J34"/>
    <mergeCell ref="A28:A29"/>
    <mergeCell ref="B28:B29"/>
    <mergeCell ref="C28:F29"/>
    <mergeCell ref="G28:G29"/>
    <mergeCell ref="H28:H29"/>
    <mergeCell ref="I28:I29"/>
    <mergeCell ref="A38:A39"/>
    <mergeCell ref="B38:B39"/>
    <mergeCell ref="C38:F39"/>
    <mergeCell ref="G38:G39"/>
    <mergeCell ref="H38:H39"/>
    <mergeCell ref="C40:F40"/>
    <mergeCell ref="C41:F41"/>
    <mergeCell ref="C42:F42"/>
    <mergeCell ref="K33:K34"/>
    <mergeCell ref="C35:F35"/>
    <mergeCell ref="I38:I39"/>
    <mergeCell ref="J38:J39"/>
    <mergeCell ref="K38:K39"/>
  </mergeCells>
  <pageMargins left="0.511811024" right="0.511811024" top="0.78740157499999996" bottom="0.78740157499999996" header="0.31496062000000002" footer="0.31496062000000002"/>
  <pageSetup paperSize="9" scale="56" fitToHeight="0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view="pageBreakPreview" zoomScale="80" zoomScaleNormal="100" zoomScaleSheetLayoutView="80" workbookViewId="0">
      <selection activeCell="B3" sqref="B3:F3"/>
    </sheetView>
  </sheetViews>
  <sheetFormatPr defaultRowHeight="15" x14ac:dyDescent="0.25"/>
  <cols>
    <col min="1" max="1" width="11.7109375" style="305" customWidth="1"/>
    <col min="2" max="2" width="54" customWidth="1"/>
    <col min="3" max="3" width="10.140625" bestFit="1" customWidth="1"/>
    <col min="4" max="4" width="8.42578125" customWidth="1"/>
    <col min="5" max="5" width="7.7109375" customWidth="1"/>
    <col min="6" max="7" width="10.85546875" customWidth="1"/>
    <col min="8" max="8" width="8.28515625" customWidth="1"/>
    <col min="9" max="9" width="9.42578125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24</v>
      </c>
      <c r="B2" s="184" t="s">
        <v>1915</v>
      </c>
      <c r="C2" s="185"/>
      <c r="D2" s="185"/>
      <c r="E2" s="185"/>
      <c r="F2" s="185"/>
      <c r="G2" s="185"/>
      <c r="H2" s="185"/>
      <c r="I2" s="197"/>
      <c r="J2" s="185"/>
      <c r="K2" s="186"/>
    </row>
    <row r="3" spans="1:11" x14ac:dyDescent="0.25">
      <c r="A3" s="146" t="s">
        <v>147</v>
      </c>
      <c r="B3" s="621" t="s">
        <v>1195</v>
      </c>
      <c r="C3" s="621"/>
      <c r="D3" s="621"/>
      <c r="E3" s="621"/>
      <c r="F3" s="621"/>
      <c r="G3" s="621"/>
      <c r="H3" s="621"/>
      <c r="I3" s="198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71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1068</v>
      </c>
      <c r="D5" s="149" t="s">
        <v>1199</v>
      </c>
      <c r="E5" s="149" t="s">
        <v>1200</v>
      </c>
      <c r="F5" s="149" t="s">
        <v>1201</v>
      </c>
      <c r="G5" s="620"/>
      <c r="H5" s="610"/>
      <c r="I5" s="672"/>
      <c r="J5" s="610"/>
      <c r="K5" s="610"/>
    </row>
    <row r="6" spans="1:11" s="247" customFormat="1" ht="45" x14ac:dyDescent="0.25">
      <c r="A6" s="34" t="s">
        <v>1202</v>
      </c>
      <c r="B6" s="255" t="s">
        <v>1322</v>
      </c>
      <c r="C6" s="243"/>
      <c r="D6" s="243">
        <v>1</v>
      </c>
      <c r="E6" s="243">
        <v>3</v>
      </c>
      <c r="F6" s="385">
        <f>E6*D6</f>
        <v>3</v>
      </c>
      <c r="G6" s="243">
        <f>F6</f>
        <v>3</v>
      </c>
      <c r="H6" s="244" t="s">
        <v>1151</v>
      </c>
      <c r="I6" s="266">
        <v>0.15</v>
      </c>
      <c r="J6" s="263">
        <f>Insumos!D35</f>
        <v>0</v>
      </c>
      <c r="K6" s="263">
        <f>TRUNC(G6*I6*J6,2)</f>
        <v>0</v>
      </c>
    </row>
    <row r="7" spans="1:11" s="247" customFormat="1" x14ac:dyDescent="0.25">
      <c r="A7" s="394"/>
      <c r="B7" s="386"/>
      <c r="C7" s="382"/>
      <c r="D7" s="382"/>
      <c r="E7" s="382"/>
      <c r="F7" s="382"/>
      <c r="G7" s="382"/>
      <c r="H7" s="382"/>
      <c r="I7" s="398"/>
      <c r="J7" s="395" t="s">
        <v>1064</v>
      </c>
      <c r="K7" s="396">
        <f>SUM(K6:K6)</f>
        <v>0</v>
      </c>
    </row>
    <row r="8" spans="1:11" s="247" customFormat="1" x14ac:dyDescent="0.25">
      <c r="A8" s="401" t="s">
        <v>148</v>
      </c>
      <c r="B8" s="402" t="s">
        <v>1219</v>
      </c>
      <c r="C8" s="383"/>
      <c r="D8" s="383"/>
      <c r="E8" s="383"/>
      <c r="F8" s="383"/>
      <c r="G8" s="383"/>
      <c r="H8" s="383"/>
      <c r="I8" s="406"/>
      <c r="J8" s="403"/>
      <c r="K8" s="404"/>
    </row>
    <row r="9" spans="1:11" s="247" customFormat="1" x14ac:dyDescent="0.25">
      <c r="A9" s="643" t="s">
        <v>1196</v>
      </c>
      <c r="B9" s="612" t="s">
        <v>1067</v>
      </c>
      <c r="C9" s="613" t="s">
        <v>1197</v>
      </c>
      <c r="D9" s="614"/>
      <c r="E9" s="614"/>
      <c r="F9" s="615"/>
      <c r="G9" s="674" t="s">
        <v>14</v>
      </c>
      <c r="H9" s="676" t="s">
        <v>1068</v>
      </c>
      <c r="I9" s="677" t="s">
        <v>35</v>
      </c>
      <c r="J9" s="673" t="s">
        <v>1069</v>
      </c>
      <c r="K9" s="673" t="s">
        <v>16</v>
      </c>
    </row>
    <row r="10" spans="1:11" s="247" customFormat="1" x14ac:dyDescent="0.25">
      <c r="A10" s="643"/>
      <c r="B10" s="612"/>
      <c r="C10" s="616"/>
      <c r="D10" s="617"/>
      <c r="E10" s="617"/>
      <c r="F10" s="618"/>
      <c r="G10" s="675"/>
      <c r="H10" s="676"/>
      <c r="I10" s="678"/>
      <c r="J10" s="673"/>
      <c r="K10" s="673"/>
    </row>
    <row r="11" spans="1:11" s="247" customFormat="1" x14ac:dyDescent="0.25">
      <c r="A11" s="34" t="s">
        <v>1203</v>
      </c>
      <c r="B11" s="6" t="s">
        <v>1147</v>
      </c>
      <c r="C11" s="243"/>
      <c r="D11" s="243"/>
      <c r="E11" s="243"/>
      <c r="F11" s="243"/>
      <c r="G11" s="243">
        <v>0.01</v>
      </c>
      <c r="H11" s="244" t="s">
        <v>1140</v>
      </c>
      <c r="I11" s="150">
        <f>G11/SUM($G$11:$G$12)</f>
        <v>0.5</v>
      </c>
      <c r="J11" s="410">
        <f>Insumos!D49</f>
        <v>0</v>
      </c>
      <c r="K11" s="263">
        <f>TRUNC(G11*I11*J11,2)</f>
        <v>0</v>
      </c>
    </row>
    <row r="12" spans="1:11" x14ac:dyDescent="0.25">
      <c r="A12" s="124" t="s">
        <v>1204</v>
      </c>
      <c r="B12" s="6" t="s">
        <v>1248</v>
      </c>
      <c r="C12" s="313"/>
      <c r="D12" s="313"/>
      <c r="E12" s="313"/>
      <c r="F12" s="313"/>
      <c r="G12" s="143">
        <v>0.01</v>
      </c>
      <c r="H12" s="140" t="s">
        <v>1154</v>
      </c>
      <c r="I12" s="150">
        <f>G12/SUM($G$11:$G$12)</f>
        <v>0.5</v>
      </c>
      <c r="J12" s="208">
        <f>Insumos!D54</f>
        <v>0</v>
      </c>
      <c r="K12" s="199">
        <f>TRUNC(G12*I12*J12,2)</f>
        <v>0</v>
      </c>
    </row>
    <row r="13" spans="1:11" x14ac:dyDescent="0.25">
      <c r="A13" s="152"/>
      <c r="B13" s="159"/>
      <c r="C13" s="387"/>
      <c r="D13" s="387"/>
      <c r="E13" s="387"/>
      <c r="F13" s="387"/>
      <c r="G13" s="154"/>
      <c r="H13" s="157"/>
      <c r="I13" s="202"/>
      <c r="J13" s="158" t="s">
        <v>1064</v>
      </c>
      <c r="K13" s="203">
        <f>SUM(K11:K12)</f>
        <v>0</v>
      </c>
    </row>
    <row r="14" spans="1:11" x14ac:dyDescent="0.25">
      <c r="A14" s="146" t="s">
        <v>149</v>
      </c>
      <c r="B14" s="179" t="s">
        <v>1155</v>
      </c>
      <c r="C14" s="388"/>
      <c r="D14" s="388"/>
      <c r="E14" s="388"/>
      <c r="F14" s="388"/>
      <c r="G14" s="148"/>
      <c r="H14" s="148"/>
      <c r="I14" s="201"/>
      <c r="J14" s="156"/>
      <c r="K14" s="187"/>
    </row>
    <row r="15" spans="1:11" x14ac:dyDescent="0.25">
      <c r="A15" s="611" t="s">
        <v>1196</v>
      </c>
      <c r="B15" s="612" t="s">
        <v>1067</v>
      </c>
      <c r="C15" s="613" t="s">
        <v>1197</v>
      </c>
      <c r="D15" s="614"/>
      <c r="E15" s="614"/>
      <c r="F15" s="615"/>
      <c r="G15" s="619" t="s">
        <v>14</v>
      </c>
      <c r="H15" s="610" t="s">
        <v>1068</v>
      </c>
      <c r="I15" s="671" t="s">
        <v>35</v>
      </c>
      <c r="J15" s="630" t="s">
        <v>1249</v>
      </c>
      <c r="K15" s="630" t="s">
        <v>16</v>
      </c>
    </row>
    <row r="16" spans="1:11" x14ac:dyDescent="0.25">
      <c r="A16" s="611"/>
      <c r="B16" s="612"/>
      <c r="C16" s="616"/>
      <c r="D16" s="617"/>
      <c r="E16" s="617"/>
      <c r="F16" s="618"/>
      <c r="G16" s="620"/>
      <c r="H16" s="610"/>
      <c r="I16" s="672"/>
      <c r="J16" s="630"/>
      <c r="K16" s="630"/>
    </row>
    <row r="17" spans="1:11" x14ac:dyDescent="0.25">
      <c r="A17" s="124" t="s">
        <v>1205</v>
      </c>
      <c r="B17" s="104" t="s">
        <v>1156</v>
      </c>
      <c r="C17" s="313"/>
      <c r="D17" s="313"/>
      <c r="E17" s="313"/>
      <c r="F17" s="313"/>
      <c r="G17" s="143">
        <f>G6/40</f>
        <v>7.4999999999999997E-2</v>
      </c>
      <c r="H17" s="140" t="s">
        <v>1228</v>
      </c>
      <c r="I17" s="150">
        <f>G17/SUM($G$17:$G$24)</f>
        <v>9.6359743040685231E-2</v>
      </c>
      <c r="J17" s="199">
        <f>Insumos!D58</f>
        <v>0</v>
      </c>
      <c r="K17" s="199">
        <f t="shared" ref="K17:K24" si="0">TRUNC(G17*I17*J17,2)</f>
        <v>0</v>
      </c>
    </row>
    <row r="18" spans="1:11" x14ac:dyDescent="0.25">
      <c r="A18" s="124" t="s">
        <v>1206</v>
      </c>
      <c r="B18" s="6" t="s">
        <v>1266</v>
      </c>
      <c r="C18" s="313"/>
      <c r="D18" s="313"/>
      <c r="E18" s="313"/>
      <c r="F18" s="313"/>
      <c r="G18" s="195">
        <f>F6*0.2/3.6/2</f>
        <v>8.3333333333333343E-2</v>
      </c>
      <c r="H18" s="140" t="s">
        <v>1261</v>
      </c>
      <c r="I18" s="150">
        <f t="shared" ref="I18:I24" si="1">G18/SUM($G$17:$G$24)</f>
        <v>0.10706638115631695</v>
      </c>
      <c r="J18" s="199">
        <f>Insumos!D61</f>
        <v>0</v>
      </c>
      <c r="K18" s="199">
        <f t="shared" si="0"/>
        <v>0</v>
      </c>
    </row>
    <row r="19" spans="1:11" x14ac:dyDescent="0.25">
      <c r="A19" s="124" t="s">
        <v>1207</v>
      </c>
      <c r="B19" s="6" t="s">
        <v>1161</v>
      </c>
      <c r="C19" s="313"/>
      <c r="D19" s="313"/>
      <c r="E19" s="313"/>
      <c r="F19" s="313"/>
      <c r="G19" s="143">
        <f>G6*0.02*2</f>
        <v>0.12</v>
      </c>
      <c r="H19" s="140" t="s">
        <v>1162</v>
      </c>
      <c r="I19" s="150">
        <f t="shared" si="1"/>
        <v>0.15417558886509639</v>
      </c>
      <c r="J19" s="199">
        <f>Insumos!D62</f>
        <v>0</v>
      </c>
      <c r="K19" s="199">
        <f t="shared" si="0"/>
        <v>0</v>
      </c>
    </row>
    <row r="20" spans="1:11" x14ac:dyDescent="0.25">
      <c r="A20" s="124" t="s">
        <v>1208</v>
      </c>
      <c r="B20" s="6" t="s">
        <v>1267</v>
      </c>
      <c r="C20" s="313"/>
      <c r="D20" s="313"/>
      <c r="E20" s="313"/>
      <c r="F20" s="313"/>
      <c r="G20" s="143">
        <v>0.1</v>
      </c>
      <c r="H20" s="140" t="s">
        <v>1068</v>
      </c>
      <c r="I20" s="150">
        <f t="shared" si="1"/>
        <v>0.12847965738758033</v>
      </c>
      <c r="J20" s="199">
        <f>Insumos!D64</f>
        <v>0</v>
      </c>
      <c r="K20" s="199">
        <f t="shared" si="0"/>
        <v>0</v>
      </c>
    </row>
    <row r="21" spans="1:11" x14ac:dyDescent="0.25">
      <c r="A21" s="124" t="s">
        <v>1209</v>
      </c>
      <c r="B21" s="6" t="s">
        <v>1268</v>
      </c>
      <c r="C21" s="313"/>
      <c r="D21" s="313"/>
      <c r="E21" s="313"/>
      <c r="F21" s="313"/>
      <c r="G21" s="143">
        <v>0.1</v>
      </c>
      <c r="H21" s="140" t="s">
        <v>1068</v>
      </c>
      <c r="I21" s="150">
        <f t="shared" si="1"/>
        <v>0.12847965738758033</v>
      </c>
      <c r="J21" s="199">
        <f>Insumos!D65</f>
        <v>0</v>
      </c>
      <c r="K21" s="199">
        <f t="shared" si="0"/>
        <v>0</v>
      </c>
    </row>
    <row r="22" spans="1:11" x14ac:dyDescent="0.25">
      <c r="A22" s="124" t="s">
        <v>1210</v>
      </c>
      <c r="B22" s="6" t="s">
        <v>1166</v>
      </c>
      <c r="C22" s="313"/>
      <c r="D22" s="313"/>
      <c r="E22" s="313"/>
      <c r="F22" s="313"/>
      <c r="G22" s="143">
        <v>0.1</v>
      </c>
      <c r="H22" s="140" t="s">
        <v>1096</v>
      </c>
      <c r="I22" s="150">
        <f t="shared" si="1"/>
        <v>0.12847965738758033</v>
      </c>
      <c r="J22" s="199">
        <f>Insumos!D66</f>
        <v>0</v>
      </c>
      <c r="K22" s="199">
        <f t="shared" si="0"/>
        <v>0</v>
      </c>
    </row>
    <row r="23" spans="1:11" x14ac:dyDescent="0.25">
      <c r="A23" s="124" t="s">
        <v>1211</v>
      </c>
      <c r="B23" s="104" t="s">
        <v>1167</v>
      </c>
      <c r="C23" s="313"/>
      <c r="D23" s="313"/>
      <c r="E23" s="313"/>
      <c r="F23" s="313"/>
      <c r="G23" s="143">
        <v>0.1</v>
      </c>
      <c r="H23" s="140" t="s">
        <v>1269</v>
      </c>
      <c r="I23" s="150">
        <f t="shared" si="1"/>
        <v>0.12847965738758033</v>
      </c>
      <c r="J23" s="199">
        <f>Insumos!D67</f>
        <v>0</v>
      </c>
      <c r="K23" s="199">
        <f t="shared" si="0"/>
        <v>0</v>
      </c>
    </row>
    <row r="24" spans="1:11" x14ac:dyDescent="0.25">
      <c r="A24" s="124" t="s">
        <v>1212</v>
      </c>
      <c r="B24" s="104" t="s">
        <v>1169</v>
      </c>
      <c r="C24" s="313"/>
      <c r="D24" s="313"/>
      <c r="E24" s="313"/>
      <c r="F24" s="313"/>
      <c r="G24" s="143">
        <v>0.1</v>
      </c>
      <c r="H24" s="140" t="s">
        <v>1170</v>
      </c>
      <c r="I24" s="150">
        <f t="shared" si="1"/>
        <v>0.12847965738758033</v>
      </c>
      <c r="J24" s="199">
        <f>Insumos!D68</f>
        <v>0</v>
      </c>
      <c r="K24" s="199">
        <f t="shared" si="0"/>
        <v>0</v>
      </c>
    </row>
    <row r="25" spans="1:11" x14ac:dyDescent="0.25">
      <c r="A25" s="152"/>
      <c r="B25" s="159"/>
      <c r="C25" s="159"/>
      <c r="D25" s="159"/>
      <c r="E25" s="159"/>
      <c r="F25" s="159"/>
      <c r="G25" s="159"/>
      <c r="H25" s="159"/>
      <c r="I25" s="204"/>
      <c r="J25" s="160" t="s">
        <v>1064</v>
      </c>
      <c r="K25" s="205">
        <f>SUM(K17:K24)</f>
        <v>0</v>
      </c>
    </row>
    <row r="26" spans="1:11" x14ac:dyDescent="0.25">
      <c r="A26" s="146" t="s">
        <v>150</v>
      </c>
      <c r="B26" s="179" t="s">
        <v>1176</v>
      </c>
      <c r="C26" s="148"/>
      <c r="D26" s="148"/>
      <c r="E26" s="148"/>
      <c r="F26" s="148"/>
      <c r="G26" s="148"/>
      <c r="H26" s="148"/>
      <c r="I26" s="201"/>
      <c r="J26" s="156"/>
      <c r="K26" s="187"/>
    </row>
    <row r="27" spans="1:11" x14ac:dyDescent="0.25">
      <c r="A27" s="611" t="s">
        <v>1196</v>
      </c>
      <c r="B27" s="612" t="s">
        <v>1067</v>
      </c>
      <c r="C27" s="613" t="s">
        <v>1197</v>
      </c>
      <c r="D27" s="614"/>
      <c r="E27" s="614"/>
      <c r="F27" s="615"/>
      <c r="G27" s="619" t="s">
        <v>14</v>
      </c>
      <c r="H27" s="610" t="s">
        <v>1068</v>
      </c>
      <c r="I27" s="671" t="s">
        <v>35</v>
      </c>
      <c r="J27" s="630" t="s">
        <v>1249</v>
      </c>
      <c r="K27" s="630" t="s">
        <v>16</v>
      </c>
    </row>
    <row r="28" spans="1:11" x14ac:dyDescent="0.25">
      <c r="A28" s="611"/>
      <c r="B28" s="612"/>
      <c r="C28" s="616"/>
      <c r="D28" s="617"/>
      <c r="E28" s="617"/>
      <c r="F28" s="618"/>
      <c r="G28" s="620"/>
      <c r="H28" s="610"/>
      <c r="I28" s="672"/>
      <c r="J28" s="630"/>
      <c r="K28" s="630"/>
    </row>
    <row r="29" spans="1:11" x14ac:dyDescent="0.25">
      <c r="A29" s="124" t="s">
        <v>1213</v>
      </c>
      <c r="B29" s="6" t="s">
        <v>1242</v>
      </c>
      <c r="C29" s="605"/>
      <c r="D29" s="606"/>
      <c r="E29" s="606"/>
      <c r="F29" s="607"/>
      <c r="G29" s="143">
        <v>0.05</v>
      </c>
      <c r="H29" s="140" t="s">
        <v>1140</v>
      </c>
      <c r="I29" s="150">
        <v>1</v>
      </c>
      <c r="J29" s="208">
        <f>Insumos!D75</f>
        <v>0</v>
      </c>
      <c r="K29" s="199">
        <f>TRUNC(G29*I29*J29,2)</f>
        <v>0</v>
      </c>
    </row>
    <row r="30" spans="1:11" x14ac:dyDescent="0.25">
      <c r="A30" s="152"/>
      <c r="B30" s="159"/>
      <c r="C30" s="159"/>
      <c r="D30" s="159"/>
      <c r="E30" s="159"/>
      <c r="F30" s="159"/>
      <c r="G30" s="159"/>
      <c r="H30" s="159"/>
      <c r="I30" s="204"/>
      <c r="J30" s="160" t="s">
        <v>1064</v>
      </c>
      <c r="K30" s="205">
        <f>SUM(K29)</f>
        <v>0</v>
      </c>
    </row>
    <row r="31" spans="1:11" x14ac:dyDescent="0.25">
      <c r="A31" s="146" t="s">
        <v>151</v>
      </c>
      <c r="B31" s="179" t="s">
        <v>1178</v>
      </c>
      <c r="C31" s="148"/>
      <c r="D31" s="148"/>
      <c r="E31" s="148"/>
      <c r="F31" s="148"/>
      <c r="G31" s="148"/>
      <c r="H31" s="148"/>
      <c r="I31" s="201"/>
      <c r="J31" s="156"/>
      <c r="K31" s="187"/>
    </row>
    <row r="32" spans="1:11" x14ac:dyDescent="0.25">
      <c r="A32" s="611" t="s">
        <v>1196</v>
      </c>
      <c r="B32" s="612" t="s">
        <v>1067</v>
      </c>
      <c r="C32" s="613" t="s">
        <v>1197</v>
      </c>
      <c r="D32" s="614"/>
      <c r="E32" s="614"/>
      <c r="F32" s="615"/>
      <c r="G32" s="619" t="s">
        <v>14</v>
      </c>
      <c r="H32" s="610" t="s">
        <v>1068</v>
      </c>
      <c r="I32" s="671" t="s">
        <v>35</v>
      </c>
      <c r="J32" s="630" t="s">
        <v>1249</v>
      </c>
      <c r="K32" s="630" t="s">
        <v>16</v>
      </c>
    </row>
    <row r="33" spans="1:11" x14ac:dyDescent="0.25">
      <c r="A33" s="611"/>
      <c r="B33" s="612"/>
      <c r="C33" s="616"/>
      <c r="D33" s="617"/>
      <c r="E33" s="617"/>
      <c r="F33" s="618"/>
      <c r="G33" s="620"/>
      <c r="H33" s="610"/>
      <c r="I33" s="672"/>
      <c r="J33" s="630"/>
      <c r="K33" s="630"/>
    </row>
    <row r="34" spans="1:11" x14ac:dyDescent="0.25">
      <c r="A34" s="124" t="s">
        <v>1214</v>
      </c>
      <c r="B34" s="6" t="s">
        <v>42</v>
      </c>
      <c r="C34" s="605"/>
      <c r="D34" s="606"/>
      <c r="E34" s="606"/>
      <c r="F34" s="607"/>
      <c r="G34" s="143">
        <v>0.05</v>
      </c>
      <c r="H34" s="140" t="s">
        <v>1140</v>
      </c>
      <c r="I34" s="150">
        <v>1</v>
      </c>
      <c r="J34" s="208">
        <f>Insumos!D78</f>
        <v>0</v>
      </c>
      <c r="K34" s="199">
        <f>TRUNC(G34*I34*J34,2)</f>
        <v>0</v>
      </c>
    </row>
    <row r="35" spans="1:11" x14ac:dyDescent="0.25">
      <c r="A35" s="152"/>
      <c r="B35" s="159"/>
      <c r="C35" s="159"/>
      <c r="D35" s="159"/>
      <c r="E35" s="159"/>
      <c r="F35" s="159"/>
      <c r="G35" s="159"/>
      <c r="H35" s="159"/>
      <c r="I35" s="204"/>
      <c r="J35" s="160" t="s">
        <v>1064</v>
      </c>
      <c r="K35" s="205">
        <f>K34</f>
        <v>0</v>
      </c>
    </row>
    <row r="36" spans="1:11" x14ac:dyDescent="0.25">
      <c r="A36" s="146" t="s">
        <v>152</v>
      </c>
      <c r="B36" s="179" t="s">
        <v>1180</v>
      </c>
      <c r="C36" s="148"/>
      <c r="D36" s="148"/>
      <c r="E36" s="148"/>
      <c r="F36" s="148"/>
      <c r="G36" s="148"/>
      <c r="H36" s="148"/>
      <c r="I36" s="201"/>
      <c r="J36" s="156"/>
      <c r="K36" s="187"/>
    </row>
    <row r="37" spans="1:11" x14ac:dyDescent="0.25">
      <c r="A37" s="611" t="s">
        <v>1196</v>
      </c>
      <c r="B37" s="612" t="s">
        <v>1067</v>
      </c>
      <c r="C37" s="613" t="s">
        <v>1197</v>
      </c>
      <c r="D37" s="614"/>
      <c r="E37" s="614"/>
      <c r="F37" s="615"/>
      <c r="G37" s="619" t="s">
        <v>14</v>
      </c>
      <c r="H37" s="610" t="s">
        <v>1068</v>
      </c>
      <c r="I37" s="671" t="s">
        <v>35</v>
      </c>
      <c r="J37" s="630" t="s">
        <v>1249</v>
      </c>
      <c r="K37" s="630" t="s">
        <v>16</v>
      </c>
    </row>
    <row r="38" spans="1:11" x14ac:dyDescent="0.25">
      <c r="A38" s="611"/>
      <c r="B38" s="612"/>
      <c r="C38" s="616"/>
      <c r="D38" s="617"/>
      <c r="E38" s="617"/>
      <c r="F38" s="618"/>
      <c r="G38" s="620"/>
      <c r="H38" s="610"/>
      <c r="I38" s="672"/>
      <c r="J38" s="630"/>
      <c r="K38" s="630"/>
    </row>
    <row r="39" spans="1:11" x14ac:dyDescent="0.25">
      <c r="A39" s="124" t="s">
        <v>1215</v>
      </c>
      <c r="B39" s="6" t="s">
        <v>1181</v>
      </c>
      <c r="C39" s="605"/>
      <c r="D39" s="606"/>
      <c r="E39" s="606"/>
      <c r="F39" s="607"/>
      <c r="G39" s="445">
        <v>5.0000000000000001E-3</v>
      </c>
      <c r="H39" s="140" t="s">
        <v>1140</v>
      </c>
      <c r="I39" s="150">
        <f>G39/SUM($G$39:$G$41)</f>
        <v>0.33333333333333337</v>
      </c>
      <c r="J39" s="208">
        <f>Insumos!D81</f>
        <v>0</v>
      </c>
      <c r="K39" s="199">
        <f>TRUNC(G39*I39*J39,2)</f>
        <v>0</v>
      </c>
    </row>
    <row r="40" spans="1:11" x14ac:dyDescent="0.25">
      <c r="A40" s="124" t="s">
        <v>1216</v>
      </c>
      <c r="B40" s="6" t="s">
        <v>1182</v>
      </c>
      <c r="C40" s="605"/>
      <c r="D40" s="606"/>
      <c r="E40" s="606"/>
      <c r="F40" s="607"/>
      <c r="G40" s="445">
        <v>5.0000000000000001E-3</v>
      </c>
      <c r="H40" s="140" t="s">
        <v>1140</v>
      </c>
      <c r="I40" s="150">
        <f t="shared" ref="I40:I41" si="2">G40/SUM($G$39:$G$41)</f>
        <v>0.33333333333333337</v>
      </c>
      <c r="J40" s="208">
        <f>Insumos!D82</f>
        <v>0</v>
      </c>
      <c r="K40" s="199">
        <f>TRUNC(G40*I40*J40,2)</f>
        <v>0</v>
      </c>
    </row>
    <row r="41" spans="1:11" x14ac:dyDescent="0.25">
      <c r="A41" s="124" t="s">
        <v>1217</v>
      </c>
      <c r="B41" s="6" t="s">
        <v>1183</v>
      </c>
      <c r="C41" s="605"/>
      <c r="D41" s="606"/>
      <c r="E41" s="606"/>
      <c r="F41" s="607"/>
      <c r="G41" s="445">
        <v>5.0000000000000001E-3</v>
      </c>
      <c r="H41" s="140" t="s">
        <v>1140</v>
      </c>
      <c r="I41" s="150">
        <f t="shared" si="2"/>
        <v>0.33333333333333337</v>
      </c>
      <c r="J41" s="208">
        <f>Insumos!D83</f>
        <v>0</v>
      </c>
      <c r="K41" s="199">
        <f>TRUNC(G41*I41*J41,2)</f>
        <v>0</v>
      </c>
    </row>
    <row r="42" spans="1:11" x14ac:dyDescent="0.25">
      <c r="A42" s="152"/>
      <c r="B42" s="159"/>
      <c r="C42" s="159"/>
      <c r="D42" s="159"/>
      <c r="E42" s="159"/>
      <c r="F42" s="159"/>
      <c r="G42" s="159"/>
      <c r="H42" s="159"/>
      <c r="I42" s="204"/>
      <c r="J42" s="160" t="s">
        <v>1064</v>
      </c>
      <c r="K42" s="205">
        <f>SUM(K39:K41)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9:J10"/>
    <mergeCell ref="K9:K10"/>
    <mergeCell ref="A15:A16"/>
    <mergeCell ref="B15:B16"/>
    <mergeCell ref="C15:F16"/>
    <mergeCell ref="G15:G16"/>
    <mergeCell ref="H15:H16"/>
    <mergeCell ref="I15:I16"/>
    <mergeCell ref="J15:J16"/>
    <mergeCell ref="K15:K16"/>
    <mergeCell ref="A9:A10"/>
    <mergeCell ref="B9:B10"/>
    <mergeCell ref="C9:F10"/>
    <mergeCell ref="G9:G10"/>
    <mergeCell ref="H9:H10"/>
    <mergeCell ref="I9:I10"/>
    <mergeCell ref="J27:J28"/>
    <mergeCell ref="K27:K28"/>
    <mergeCell ref="C29:F29"/>
    <mergeCell ref="A32:A33"/>
    <mergeCell ref="B32:B33"/>
    <mergeCell ref="C32:F33"/>
    <mergeCell ref="G32:G33"/>
    <mergeCell ref="H32:H33"/>
    <mergeCell ref="I32:I33"/>
    <mergeCell ref="J32:J33"/>
    <mergeCell ref="A27:A28"/>
    <mergeCell ref="B27:B28"/>
    <mergeCell ref="C27:F28"/>
    <mergeCell ref="G27:G28"/>
    <mergeCell ref="H27:H28"/>
    <mergeCell ref="I27:I28"/>
    <mergeCell ref="A37:A38"/>
    <mergeCell ref="B37:B38"/>
    <mergeCell ref="C37:F38"/>
    <mergeCell ref="G37:G38"/>
    <mergeCell ref="H37:H38"/>
    <mergeCell ref="C39:F39"/>
    <mergeCell ref="C40:F40"/>
    <mergeCell ref="C41:F41"/>
    <mergeCell ref="K32:K33"/>
    <mergeCell ref="C34:F34"/>
    <mergeCell ref="I37:I38"/>
    <mergeCell ref="J37:J38"/>
    <mergeCell ref="K37:K38"/>
  </mergeCells>
  <pageMargins left="0.511811024" right="0.511811024" top="0.78740157499999996" bottom="0.78740157499999996" header="0.31496062000000002" footer="0.31496062000000002"/>
  <pageSetup paperSize="9" scale="56" fitToHeight="0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view="pageBreakPreview" topLeftCell="A10" zoomScale="80" zoomScaleNormal="85" zoomScaleSheetLayoutView="80" workbookViewId="0">
      <selection activeCell="B3" sqref="B3:F3"/>
    </sheetView>
  </sheetViews>
  <sheetFormatPr defaultRowHeight="15" x14ac:dyDescent="0.25"/>
  <cols>
    <col min="1" max="1" width="16.85546875" style="305" bestFit="1" customWidth="1"/>
    <col min="2" max="2" width="66.140625" customWidth="1"/>
    <col min="3" max="3" width="10.140625" bestFit="1" customWidth="1"/>
    <col min="4" max="4" width="8.42578125" customWidth="1"/>
    <col min="5" max="5" width="7.7109375" customWidth="1"/>
    <col min="6" max="6" width="11.5703125" bestFit="1" customWidth="1"/>
    <col min="7" max="7" width="10.85546875" customWidth="1"/>
    <col min="8" max="8" width="10.5703125" customWidth="1"/>
    <col min="9" max="9" width="10.28515625" bestFit="1" customWidth="1"/>
    <col min="10" max="10" width="17.7109375" customWidth="1"/>
    <col min="11" max="11" width="19.85546875" bestFit="1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25</v>
      </c>
      <c r="B2" s="184" t="s">
        <v>178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154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1068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ht="30" x14ac:dyDescent="0.25">
      <c r="A6" s="34" t="s">
        <v>1202</v>
      </c>
      <c r="B6" s="255" t="s">
        <v>1134</v>
      </c>
      <c r="C6" s="243">
        <v>1</v>
      </c>
      <c r="D6" s="243">
        <v>2</v>
      </c>
      <c r="E6" s="243">
        <v>1.1000000000000001</v>
      </c>
      <c r="F6" s="385">
        <f>E6*D6</f>
        <v>2.2000000000000002</v>
      </c>
      <c r="G6" s="243">
        <f>C6</f>
        <v>1</v>
      </c>
      <c r="H6" s="244" t="s">
        <v>1151</v>
      </c>
      <c r="I6" s="266">
        <v>0.5</v>
      </c>
      <c r="J6" s="263">
        <f>Insumos!D36</f>
        <v>0</v>
      </c>
      <c r="K6" s="263">
        <f>TRUNC(G6*I6*J6,2)</f>
        <v>0</v>
      </c>
    </row>
    <row r="7" spans="1:11" s="247" customFormat="1" x14ac:dyDescent="0.25">
      <c r="A7" s="394"/>
      <c r="B7" s="386"/>
      <c r="C7" s="382"/>
      <c r="D7" s="382"/>
      <c r="E7" s="382"/>
      <c r="F7" s="382"/>
      <c r="G7" s="382"/>
      <c r="H7" s="382"/>
      <c r="I7" s="382"/>
      <c r="J7" s="395" t="s">
        <v>1064</v>
      </c>
      <c r="K7" s="396">
        <f>SUM(K6:K6)</f>
        <v>0</v>
      </c>
    </row>
    <row r="8" spans="1:11" s="247" customFormat="1" x14ac:dyDescent="0.25">
      <c r="A8" s="401" t="s">
        <v>155</v>
      </c>
      <c r="B8" s="402" t="s">
        <v>1219</v>
      </c>
      <c r="C8" s="383"/>
      <c r="D8" s="383"/>
      <c r="E8" s="383"/>
      <c r="F8" s="383"/>
      <c r="G8" s="383"/>
      <c r="H8" s="383"/>
      <c r="I8" s="383"/>
      <c r="J8" s="403"/>
      <c r="K8" s="404"/>
    </row>
    <row r="9" spans="1:11" s="247" customFormat="1" x14ac:dyDescent="0.25">
      <c r="A9" s="643" t="s">
        <v>1196</v>
      </c>
      <c r="B9" s="612" t="s">
        <v>1067</v>
      </c>
      <c r="C9" s="613" t="s">
        <v>1197</v>
      </c>
      <c r="D9" s="614"/>
      <c r="E9" s="614"/>
      <c r="F9" s="615"/>
      <c r="G9" s="674" t="s">
        <v>14</v>
      </c>
      <c r="H9" s="676" t="s">
        <v>1068</v>
      </c>
      <c r="I9" s="679" t="s">
        <v>35</v>
      </c>
      <c r="J9" s="673" t="s">
        <v>1069</v>
      </c>
      <c r="K9" s="673" t="s">
        <v>16</v>
      </c>
    </row>
    <row r="10" spans="1:11" s="247" customFormat="1" x14ac:dyDescent="0.25">
      <c r="A10" s="643"/>
      <c r="B10" s="612"/>
      <c r="C10" s="616"/>
      <c r="D10" s="617"/>
      <c r="E10" s="617"/>
      <c r="F10" s="618"/>
      <c r="G10" s="675"/>
      <c r="H10" s="676"/>
      <c r="I10" s="680"/>
      <c r="J10" s="673"/>
      <c r="K10" s="673"/>
    </row>
    <row r="11" spans="1:11" s="247" customFormat="1" x14ac:dyDescent="0.25">
      <c r="A11" s="34" t="s">
        <v>1203</v>
      </c>
      <c r="B11" s="251" t="s">
        <v>1147</v>
      </c>
      <c r="C11" s="243"/>
      <c r="D11" s="243"/>
      <c r="E11" s="243"/>
      <c r="F11" s="243"/>
      <c r="G11" s="243">
        <v>0.01</v>
      </c>
      <c r="H11" s="244" t="s">
        <v>1140</v>
      </c>
      <c r="I11" s="150">
        <f>G11/SUM($G$11:$G$12)</f>
        <v>0.16666666666666666</v>
      </c>
      <c r="J11" s="410">
        <f>Insumos!D49</f>
        <v>0</v>
      </c>
      <c r="K11" s="263">
        <f>TRUNC(G11*I11*J11,2)</f>
        <v>0</v>
      </c>
    </row>
    <row r="12" spans="1:11" x14ac:dyDescent="0.25">
      <c r="A12" s="124" t="s">
        <v>1204</v>
      </c>
      <c r="B12" s="6" t="s">
        <v>1248</v>
      </c>
      <c r="C12" s="313"/>
      <c r="D12" s="313"/>
      <c r="E12" s="313"/>
      <c r="F12" s="313"/>
      <c r="G12" s="143">
        <v>0.05</v>
      </c>
      <c r="H12" s="140" t="s">
        <v>1154</v>
      </c>
      <c r="I12" s="150">
        <f>G12/SUM($G$11:$G$12)</f>
        <v>0.83333333333333326</v>
      </c>
      <c r="J12" s="208">
        <f>Insumos!D54</f>
        <v>0</v>
      </c>
      <c r="K12" s="199">
        <f>TRUNC(G12*I12*J12,2)</f>
        <v>0</v>
      </c>
    </row>
    <row r="13" spans="1:11" x14ac:dyDescent="0.25">
      <c r="A13" s="152"/>
      <c r="B13" s="159"/>
      <c r="C13" s="387"/>
      <c r="D13" s="387"/>
      <c r="E13" s="387"/>
      <c r="F13" s="387"/>
      <c r="G13" s="154"/>
      <c r="H13" s="157"/>
      <c r="I13" s="157"/>
      <c r="J13" s="158" t="s">
        <v>1064</v>
      </c>
      <c r="K13" s="203">
        <f>SUM(K11:K12)</f>
        <v>0</v>
      </c>
    </row>
    <row r="14" spans="1:11" x14ac:dyDescent="0.25">
      <c r="A14" s="146" t="s">
        <v>156</v>
      </c>
      <c r="B14" s="179" t="s">
        <v>1155</v>
      </c>
      <c r="C14" s="388"/>
      <c r="D14" s="388"/>
      <c r="E14" s="388"/>
      <c r="F14" s="388"/>
      <c r="G14" s="148"/>
      <c r="H14" s="148"/>
      <c r="I14" s="148"/>
      <c r="J14" s="156"/>
      <c r="K14" s="187"/>
    </row>
    <row r="15" spans="1:11" x14ac:dyDescent="0.25">
      <c r="A15" s="611" t="s">
        <v>1196</v>
      </c>
      <c r="B15" s="612" t="s">
        <v>1067</v>
      </c>
      <c r="C15" s="613" t="s">
        <v>1197</v>
      </c>
      <c r="D15" s="614"/>
      <c r="E15" s="614"/>
      <c r="F15" s="615"/>
      <c r="G15" s="619" t="s">
        <v>14</v>
      </c>
      <c r="H15" s="610" t="s">
        <v>1068</v>
      </c>
      <c r="I15" s="608" t="s">
        <v>35</v>
      </c>
      <c r="J15" s="630" t="s">
        <v>1249</v>
      </c>
      <c r="K15" s="630" t="s">
        <v>16</v>
      </c>
    </row>
    <row r="16" spans="1:11" x14ac:dyDescent="0.25">
      <c r="A16" s="611"/>
      <c r="B16" s="612"/>
      <c r="C16" s="616"/>
      <c r="D16" s="617"/>
      <c r="E16" s="617"/>
      <c r="F16" s="618"/>
      <c r="G16" s="620"/>
      <c r="H16" s="610"/>
      <c r="I16" s="609"/>
      <c r="J16" s="630"/>
      <c r="K16" s="630"/>
    </row>
    <row r="17" spans="1:11" x14ac:dyDescent="0.25">
      <c r="A17" s="124" t="s">
        <v>1205</v>
      </c>
      <c r="B17" s="104" t="s">
        <v>1156</v>
      </c>
      <c r="C17" s="313"/>
      <c r="D17" s="313"/>
      <c r="E17" s="313"/>
      <c r="F17" s="313"/>
      <c r="G17" s="143">
        <f>F6/20</f>
        <v>0.11000000000000001</v>
      </c>
      <c r="H17" s="140" t="s">
        <v>1228</v>
      </c>
      <c r="I17" s="150">
        <f>G17/SUM($G$17:$G$23)</f>
        <v>7.1467244179750949E-2</v>
      </c>
      <c r="J17" s="208">
        <f>Insumos!D58</f>
        <v>0</v>
      </c>
      <c r="K17" s="199">
        <f t="shared" ref="K17:K23" si="0">TRUNC(G17*I17*J17,2)</f>
        <v>0</v>
      </c>
    </row>
    <row r="18" spans="1:11" x14ac:dyDescent="0.25">
      <c r="A18" s="124" t="s">
        <v>1206</v>
      </c>
      <c r="B18" s="6" t="s">
        <v>1266</v>
      </c>
      <c r="C18" s="313"/>
      <c r="D18" s="313"/>
      <c r="E18" s="313"/>
      <c r="F18" s="313"/>
      <c r="G18" s="195">
        <f>F6*0.25/3.6</f>
        <v>0.15277777777777779</v>
      </c>
      <c r="H18" s="140" t="s">
        <v>1261</v>
      </c>
      <c r="I18" s="150">
        <f t="shared" ref="I18:I23" si="1">G18/SUM($G$17:$G$23)</f>
        <v>9.9260061360765206E-2</v>
      </c>
      <c r="J18" s="208">
        <f>Insumos!D61</f>
        <v>0</v>
      </c>
      <c r="K18" s="199">
        <f t="shared" si="0"/>
        <v>0</v>
      </c>
    </row>
    <row r="19" spans="1:11" x14ac:dyDescent="0.25">
      <c r="A19" s="124" t="s">
        <v>1207</v>
      </c>
      <c r="B19" s="6" t="s">
        <v>1161</v>
      </c>
      <c r="C19" s="313"/>
      <c r="D19" s="313"/>
      <c r="E19" s="313"/>
      <c r="F19" s="313"/>
      <c r="G19" s="143">
        <f>G18*0.5</f>
        <v>7.6388888888888895E-2</v>
      </c>
      <c r="H19" s="140" t="s">
        <v>1162</v>
      </c>
      <c r="I19" s="150">
        <f t="shared" si="1"/>
        <v>4.9630030680382603E-2</v>
      </c>
      <c r="J19" s="208">
        <f>Insumos!D62</f>
        <v>0</v>
      </c>
      <c r="K19" s="199">
        <f t="shared" si="0"/>
        <v>0</v>
      </c>
    </row>
    <row r="20" spans="1:11" x14ac:dyDescent="0.25">
      <c r="A20" s="124" t="s">
        <v>1208</v>
      </c>
      <c r="B20" s="6" t="s">
        <v>1267</v>
      </c>
      <c r="C20" s="313"/>
      <c r="D20" s="313"/>
      <c r="E20" s="313"/>
      <c r="F20" s="313"/>
      <c r="G20" s="143">
        <v>0.3</v>
      </c>
      <c r="H20" s="140" t="s">
        <v>1068</v>
      </c>
      <c r="I20" s="150">
        <f t="shared" si="1"/>
        <v>0.1949106659447753</v>
      </c>
      <c r="J20" s="208">
        <f>Insumos!D64</f>
        <v>0</v>
      </c>
      <c r="K20" s="199">
        <f t="shared" si="0"/>
        <v>0</v>
      </c>
    </row>
    <row r="21" spans="1:11" x14ac:dyDescent="0.25">
      <c r="A21" s="124" t="s">
        <v>1209</v>
      </c>
      <c r="B21" s="6" t="s">
        <v>1268</v>
      </c>
      <c r="C21" s="313"/>
      <c r="D21" s="313"/>
      <c r="E21" s="313"/>
      <c r="F21" s="313"/>
      <c r="G21" s="143">
        <v>0.3</v>
      </c>
      <c r="H21" s="140" t="s">
        <v>1068</v>
      </c>
      <c r="I21" s="150">
        <f t="shared" si="1"/>
        <v>0.1949106659447753</v>
      </c>
      <c r="J21" s="208">
        <f>Insumos!D65</f>
        <v>0</v>
      </c>
      <c r="K21" s="199">
        <f t="shared" si="0"/>
        <v>0</v>
      </c>
    </row>
    <row r="22" spans="1:11" x14ac:dyDescent="0.25">
      <c r="A22" s="124" t="s">
        <v>1210</v>
      </c>
      <c r="B22" s="6" t="s">
        <v>1166</v>
      </c>
      <c r="C22" s="313"/>
      <c r="D22" s="313"/>
      <c r="E22" s="313"/>
      <c r="F22" s="313"/>
      <c r="G22" s="143">
        <v>0.5</v>
      </c>
      <c r="H22" s="140" t="s">
        <v>1096</v>
      </c>
      <c r="I22" s="150">
        <f t="shared" si="1"/>
        <v>0.32485110990795885</v>
      </c>
      <c r="J22" s="208">
        <f>Insumos!D66</f>
        <v>0</v>
      </c>
      <c r="K22" s="199">
        <f t="shared" si="0"/>
        <v>0</v>
      </c>
    </row>
    <row r="23" spans="1:11" x14ac:dyDescent="0.25">
      <c r="A23" s="124" t="s">
        <v>1211</v>
      </c>
      <c r="B23" s="6" t="s">
        <v>1270</v>
      </c>
      <c r="C23" s="313"/>
      <c r="D23" s="313"/>
      <c r="E23" s="313"/>
      <c r="F23" s="313"/>
      <c r="G23" s="143">
        <v>0.1</v>
      </c>
      <c r="H23" s="140" t="s">
        <v>1170</v>
      </c>
      <c r="I23" s="150">
        <f t="shared" si="1"/>
        <v>6.4970221981591775E-2</v>
      </c>
      <c r="J23" s="208">
        <f>Insumos!D68</f>
        <v>0</v>
      </c>
      <c r="K23" s="199">
        <f t="shared" si="0"/>
        <v>0</v>
      </c>
    </row>
    <row r="24" spans="1:11" x14ac:dyDescent="0.25">
      <c r="A24" s="152"/>
      <c r="B24" s="159"/>
      <c r="C24" s="391"/>
      <c r="D24" s="391"/>
      <c r="E24" s="391"/>
      <c r="F24" s="391"/>
      <c r="G24" s="159"/>
      <c r="H24" s="159"/>
      <c r="I24" s="204"/>
      <c r="J24" s="160" t="s">
        <v>1064</v>
      </c>
      <c r="K24" s="205">
        <f>SUM(K17:K23)</f>
        <v>0</v>
      </c>
    </row>
    <row r="25" spans="1:11" x14ac:dyDescent="0.25">
      <c r="A25" s="146" t="s">
        <v>157</v>
      </c>
      <c r="B25" s="179" t="s">
        <v>1176</v>
      </c>
      <c r="C25" s="148"/>
      <c r="D25" s="148"/>
      <c r="E25" s="148"/>
      <c r="F25" s="148"/>
      <c r="G25" s="148"/>
      <c r="H25" s="148"/>
      <c r="I25" s="201"/>
      <c r="J25" s="156"/>
      <c r="K25" s="187"/>
    </row>
    <row r="26" spans="1:11" x14ac:dyDescent="0.25">
      <c r="A26" s="611" t="s">
        <v>1196</v>
      </c>
      <c r="B26" s="612" t="s">
        <v>1067</v>
      </c>
      <c r="C26" s="613" t="s">
        <v>1197</v>
      </c>
      <c r="D26" s="614"/>
      <c r="E26" s="614"/>
      <c r="F26" s="615"/>
      <c r="G26" s="619" t="s">
        <v>14</v>
      </c>
      <c r="H26" s="610" t="s">
        <v>1068</v>
      </c>
      <c r="I26" s="671" t="s">
        <v>35</v>
      </c>
      <c r="J26" s="630" t="s">
        <v>1249</v>
      </c>
      <c r="K26" s="630" t="s">
        <v>16</v>
      </c>
    </row>
    <row r="27" spans="1:11" x14ac:dyDescent="0.25">
      <c r="A27" s="611"/>
      <c r="B27" s="612"/>
      <c r="C27" s="616"/>
      <c r="D27" s="617"/>
      <c r="E27" s="617"/>
      <c r="F27" s="618"/>
      <c r="G27" s="620"/>
      <c r="H27" s="610"/>
      <c r="I27" s="672"/>
      <c r="J27" s="630"/>
      <c r="K27" s="630"/>
    </row>
    <row r="28" spans="1:11" x14ac:dyDescent="0.25">
      <c r="A28" s="124" t="s">
        <v>1212</v>
      </c>
      <c r="B28" s="6" t="s">
        <v>1242</v>
      </c>
      <c r="C28" s="605"/>
      <c r="D28" s="606"/>
      <c r="E28" s="606"/>
      <c r="F28" s="607"/>
      <c r="G28" s="143">
        <v>0.1</v>
      </c>
      <c r="H28" s="140" t="s">
        <v>1140</v>
      </c>
      <c r="I28" s="150">
        <v>1</v>
      </c>
      <c r="J28" s="208">
        <f>Insumos!D75</f>
        <v>0</v>
      </c>
      <c r="K28" s="199">
        <f>TRUNC(G28*I28*J28,2)</f>
        <v>0</v>
      </c>
    </row>
    <row r="29" spans="1:11" x14ac:dyDescent="0.25">
      <c r="A29" s="152"/>
      <c r="B29" s="159"/>
      <c r="C29" s="159"/>
      <c r="D29" s="159"/>
      <c r="E29" s="159"/>
      <c r="F29" s="159"/>
      <c r="G29" s="159"/>
      <c r="H29" s="159"/>
      <c r="I29" s="204"/>
      <c r="J29" s="160" t="s">
        <v>1064</v>
      </c>
      <c r="K29" s="205">
        <f>SUM(K28)</f>
        <v>0</v>
      </c>
    </row>
    <row r="30" spans="1:11" x14ac:dyDescent="0.25">
      <c r="A30" s="146" t="s">
        <v>158</v>
      </c>
      <c r="B30" s="179" t="s">
        <v>1178</v>
      </c>
      <c r="C30" s="148"/>
      <c r="D30" s="148"/>
      <c r="E30" s="148"/>
      <c r="F30" s="148"/>
      <c r="G30" s="148"/>
      <c r="H30" s="148"/>
      <c r="I30" s="201"/>
      <c r="J30" s="156"/>
      <c r="K30" s="187"/>
    </row>
    <row r="31" spans="1:11" x14ac:dyDescent="0.25">
      <c r="A31" s="611" t="s">
        <v>1196</v>
      </c>
      <c r="B31" s="612" t="s">
        <v>1067</v>
      </c>
      <c r="C31" s="613" t="s">
        <v>1197</v>
      </c>
      <c r="D31" s="614"/>
      <c r="E31" s="614"/>
      <c r="F31" s="615"/>
      <c r="G31" s="619" t="s">
        <v>14</v>
      </c>
      <c r="H31" s="610" t="s">
        <v>1068</v>
      </c>
      <c r="I31" s="671" t="s">
        <v>35</v>
      </c>
      <c r="J31" s="630" t="s">
        <v>1249</v>
      </c>
      <c r="K31" s="630" t="s">
        <v>16</v>
      </c>
    </row>
    <row r="32" spans="1:11" x14ac:dyDescent="0.25">
      <c r="A32" s="611"/>
      <c r="B32" s="612"/>
      <c r="C32" s="616"/>
      <c r="D32" s="617"/>
      <c r="E32" s="617"/>
      <c r="F32" s="618"/>
      <c r="G32" s="620"/>
      <c r="H32" s="610"/>
      <c r="I32" s="672"/>
      <c r="J32" s="630"/>
      <c r="K32" s="630"/>
    </row>
    <row r="33" spans="1:11" x14ac:dyDescent="0.25">
      <c r="A33" s="124" t="s">
        <v>1213</v>
      </c>
      <c r="B33" s="104" t="s">
        <v>1179</v>
      </c>
      <c r="C33" s="605"/>
      <c r="D33" s="606"/>
      <c r="E33" s="606"/>
      <c r="F33" s="607"/>
      <c r="G33" s="143">
        <v>0.1</v>
      </c>
      <c r="H33" s="140" t="s">
        <v>1140</v>
      </c>
      <c r="I33" s="150">
        <v>1</v>
      </c>
      <c r="J33" s="208">
        <f>Insumos!D78</f>
        <v>0</v>
      </c>
      <c r="K33" s="199">
        <f>TRUNC(G33*I33*J33,2)</f>
        <v>0</v>
      </c>
    </row>
    <row r="34" spans="1:11" x14ac:dyDescent="0.25">
      <c r="A34" s="152"/>
      <c r="B34" s="159"/>
      <c r="C34" s="159"/>
      <c r="D34" s="159"/>
      <c r="E34" s="159"/>
      <c r="F34" s="159"/>
      <c r="G34" s="159"/>
      <c r="H34" s="159"/>
      <c r="I34" s="204"/>
      <c r="J34" s="160" t="s">
        <v>1064</v>
      </c>
      <c r="K34" s="205">
        <f>K33</f>
        <v>0</v>
      </c>
    </row>
    <row r="35" spans="1:11" x14ac:dyDescent="0.25">
      <c r="A35" s="146" t="s">
        <v>159</v>
      </c>
      <c r="B35" s="179" t="s">
        <v>1180</v>
      </c>
      <c r="C35" s="148"/>
      <c r="D35" s="148"/>
      <c r="E35" s="148"/>
      <c r="F35" s="148"/>
      <c r="G35" s="148"/>
      <c r="H35" s="148"/>
      <c r="I35" s="201"/>
      <c r="J35" s="156"/>
      <c r="K35" s="187"/>
    </row>
    <row r="36" spans="1:11" x14ac:dyDescent="0.25">
      <c r="A36" s="611" t="s">
        <v>1196</v>
      </c>
      <c r="B36" s="612" t="s">
        <v>1067</v>
      </c>
      <c r="C36" s="613" t="s">
        <v>1197</v>
      </c>
      <c r="D36" s="614"/>
      <c r="E36" s="614"/>
      <c r="F36" s="615"/>
      <c r="G36" s="619" t="s">
        <v>14</v>
      </c>
      <c r="H36" s="610" t="s">
        <v>1068</v>
      </c>
      <c r="I36" s="671" t="s">
        <v>35</v>
      </c>
      <c r="J36" s="630" t="s">
        <v>1249</v>
      </c>
      <c r="K36" s="630" t="s">
        <v>16</v>
      </c>
    </row>
    <row r="37" spans="1:11" x14ac:dyDescent="0.25">
      <c r="A37" s="611"/>
      <c r="B37" s="612"/>
      <c r="C37" s="616"/>
      <c r="D37" s="617"/>
      <c r="E37" s="617"/>
      <c r="F37" s="618"/>
      <c r="G37" s="620"/>
      <c r="H37" s="610"/>
      <c r="I37" s="672"/>
      <c r="J37" s="630"/>
      <c r="K37" s="630"/>
    </row>
    <row r="38" spans="1:11" x14ac:dyDescent="0.25">
      <c r="A38" s="124" t="s">
        <v>1214</v>
      </c>
      <c r="B38" s="6" t="s">
        <v>1181</v>
      </c>
      <c r="C38" s="605"/>
      <c r="D38" s="606"/>
      <c r="E38" s="606"/>
      <c r="F38" s="607"/>
      <c r="G38" s="143">
        <v>0.01</v>
      </c>
      <c r="H38" s="140" t="s">
        <v>1140</v>
      </c>
      <c r="I38" s="150">
        <f>G38/SUM($G$38:$G$40)</f>
        <v>0.33333333333333337</v>
      </c>
      <c r="J38" s="208">
        <f>Insumos!D81</f>
        <v>0</v>
      </c>
      <c r="K38" s="199">
        <f>TRUNC(G38*I38*J38,2)</f>
        <v>0</v>
      </c>
    </row>
    <row r="39" spans="1:11" x14ac:dyDescent="0.25">
      <c r="A39" s="124" t="s">
        <v>1215</v>
      </c>
      <c r="B39" s="6" t="s">
        <v>1182</v>
      </c>
      <c r="C39" s="605"/>
      <c r="D39" s="606"/>
      <c r="E39" s="606"/>
      <c r="F39" s="607"/>
      <c r="G39" s="143">
        <v>0.01</v>
      </c>
      <c r="H39" s="140" t="s">
        <v>1140</v>
      </c>
      <c r="I39" s="150">
        <f t="shared" ref="I39:I40" si="2">G39/SUM($G$38:$G$40)</f>
        <v>0.33333333333333337</v>
      </c>
      <c r="J39" s="208">
        <f>Insumos!D82</f>
        <v>0</v>
      </c>
      <c r="K39" s="199">
        <f>TRUNC(G39*I39*J39,2)</f>
        <v>0</v>
      </c>
    </row>
    <row r="40" spans="1:11" x14ac:dyDescent="0.25">
      <c r="A40" s="124" t="s">
        <v>1216</v>
      </c>
      <c r="B40" s="6" t="s">
        <v>1183</v>
      </c>
      <c r="C40" s="605"/>
      <c r="D40" s="606"/>
      <c r="E40" s="606"/>
      <c r="F40" s="607"/>
      <c r="G40" s="143">
        <v>0.01</v>
      </c>
      <c r="H40" s="140" t="s">
        <v>1140</v>
      </c>
      <c r="I40" s="150">
        <f t="shared" si="2"/>
        <v>0.33333333333333337</v>
      </c>
      <c r="J40" s="208">
        <f>Insumos!D83</f>
        <v>0</v>
      </c>
      <c r="K40" s="199">
        <f>TRUNC(G40*I40*J40,2)</f>
        <v>0</v>
      </c>
    </row>
    <row r="41" spans="1:11" x14ac:dyDescent="0.25">
      <c r="A41" s="152"/>
      <c r="B41" s="159"/>
      <c r="C41" s="159"/>
      <c r="D41" s="159"/>
      <c r="E41" s="159"/>
      <c r="F41" s="159"/>
      <c r="G41" s="159"/>
      <c r="H41" s="159"/>
      <c r="I41" s="204"/>
      <c r="J41" s="160" t="s">
        <v>1064</v>
      </c>
      <c r="K41" s="205">
        <f>SUM(K38:K40)</f>
        <v>0</v>
      </c>
    </row>
    <row r="42" spans="1:11" x14ac:dyDescent="0.25">
      <c r="A42" s="152"/>
      <c r="B42" s="159"/>
      <c r="C42" s="159"/>
      <c r="D42" s="159"/>
      <c r="E42" s="159"/>
      <c r="F42" s="159"/>
      <c r="G42" s="159"/>
      <c r="H42" s="159"/>
      <c r="I42" s="204"/>
      <c r="J42" s="159"/>
      <c r="K42" s="159"/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9:J10"/>
    <mergeCell ref="K9:K10"/>
    <mergeCell ref="A15:A16"/>
    <mergeCell ref="B15:B16"/>
    <mergeCell ref="C15:F16"/>
    <mergeCell ref="G15:G16"/>
    <mergeCell ref="H15:H16"/>
    <mergeCell ref="I15:I16"/>
    <mergeCell ref="J15:J16"/>
    <mergeCell ref="K15:K16"/>
    <mergeCell ref="A9:A10"/>
    <mergeCell ref="B9:B10"/>
    <mergeCell ref="C9:F10"/>
    <mergeCell ref="G9:G10"/>
    <mergeCell ref="H9:H10"/>
    <mergeCell ref="I9:I10"/>
    <mergeCell ref="J26:J27"/>
    <mergeCell ref="K26:K27"/>
    <mergeCell ref="C28:F28"/>
    <mergeCell ref="A31:A32"/>
    <mergeCell ref="B31:B32"/>
    <mergeCell ref="C31:F32"/>
    <mergeCell ref="G31:G32"/>
    <mergeCell ref="H31:H32"/>
    <mergeCell ref="I31:I32"/>
    <mergeCell ref="J31:J32"/>
    <mergeCell ref="A26:A27"/>
    <mergeCell ref="B26:B27"/>
    <mergeCell ref="C26:F27"/>
    <mergeCell ref="G26:G27"/>
    <mergeCell ref="H26:H27"/>
    <mergeCell ref="I26:I27"/>
    <mergeCell ref="A36:A37"/>
    <mergeCell ref="B36:B37"/>
    <mergeCell ref="C36:F37"/>
    <mergeCell ref="G36:G37"/>
    <mergeCell ref="H36:H37"/>
    <mergeCell ref="C38:F38"/>
    <mergeCell ref="C39:F39"/>
    <mergeCell ref="C40:F40"/>
    <mergeCell ref="K31:K32"/>
    <mergeCell ref="C33:F33"/>
    <mergeCell ref="I36:I37"/>
    <mergeCell ref="J36:J37"/>
    <mergeCell ref="K36:K37"/>
  </mergeCells>
  <pageMargins left="0.511811024" right="0.511811024" top="0.78740157499999996" bottom="0.78740157499999996" header="0.31496062000000002" footer="0.31496062000000002"/>
  <pageSetup paperSize="9" scale="48" fitToHeight="0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view="pageBreakPreview" topLeftCell="A15" zoomScale="80" zoomScaleNormal="85" zoomScaleSheetLayoutView="80" workbookViewId="0">
      <selection activeCell="B3" sqref="B3:F3"/>
    </sheetView>
  </sheetViews>
  <sheetFormatPr defaultRowHeight="15" x14ac:dyDescent="0.25"/>
  <cols>
    <col min="1" max="1" width="11.7109375" style="305" customWidth="1"/>
    <col min="2" max="2" width="54" customWidth="1"/>
    <col min="3" max="4" width="8.42578125" customWidth="1"/>
    <col min="5" max="5" width="7.7109375" customWidth="1"/>
    <col min="6" max="7" width="10.85546875" customWidth="1"/>
    <col min="8" max="8" width="9.85546875" customWidth="1"/>
    <col min="9" max="9" width="9.42578125" customWidth="1"/>
    <col min="10" max="10" width="23.7109375" bestFit="1" customWidth="1"/>
    <col min="11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26</v>
      </c>
      <c r="B2" s="184" t="s">
        <v>1431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161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1068</v>
      </c>
      <c r="D5" s="149" t="s">
        <v>1198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ht="45" x14ac:dyDescent="0.25">
      <c r="A6" s="34" t="s">
        <v>1202</v>
      </c>
      <c r="B6" s="255" t="s">
        <v>1135</v>
      </c>
      <c r="C6" s="243">
        <v>1</v>
      </c>
      <c r="D6" s="243">
        <v>1</v>
      </c>
      <c r="E6" s="243">
        <v>1</v>
      </c>
      <c r="F6" s="385">
        <f>C6*D6*E6</f>
        <v>1</v>
      </c>
      <c r="G6" s="243">
        <f>D6</f>
        <v>1</v>
      </c>
      <c r="H6" s="244" t="s">
        <v>1264</v>
      </c>
      <c r="I6" s="244">
        <v>0.8</v>
      </c>
      <c r="J6" s="263">
        <f>Insumos!D37</f>
        <v>0</v>
      </c>
      <c r="K6" s="263">
        <f>TRUNC(G6*I6*J6,2)</f>
        <v>0</v>
      </c>
    </row>
    <row r="7" spans="1:11" s="247" customFormat="1" x14ac:dyDescent="0.25">
      <c r="A7" s="394"/>
      <c r="B7" s="386"/>
      <c r="C7" s="382"/>
      <c r="D7" s="382"/>
      <c r="E7" s="382"/>
      <c r="F7" s="382"/>
      <c r="G7" s="382"/>
      <c r="H7" s="382"/>
      <c r="I7" s="382"/>
      <c r="J7" s="395" t="s">
        <v>1064</v>
      </c>
      <c r="K7" s="396">
        <f>SUM(K6:K6)</f>
        <v>0</v>
      </c>
    </row>
    <row r="8" spans="1:11" s="247" customFormat="1" x14ac:dyDescent="0.25">
      <c r="A8" s="401" t="s">
        <v>162</v>
      </c>
      <c r="B8" s="402" t="s">
        <v>1219</v>
      </c>
      <c r="C8" s="383"/>
      <c r="D8" s="383"/>
      <c r="E8" s="383"/>
      <c r="F8" s="383"/>
      <c r="G8" s="383"/>
      <c r="H8" s="383"/>
      <c r="I8" s="383"/>
      <c r="J8" s="403"/>
      <c r="K8" s="404"/>
    </row>
    <row r="9" spans="1:11" s="247" customFormat="1" x14ac:dyDescent="0.25">
      <c r="A9" s="643" t="s">
        <v>1196</v>
      </c>
      <c r="B9" s="612" t="s">
        <v>1067</v>
      </c>
      <c r="C9" s="613" t="s">
        <v>1197</v>
      </c>
      <c r="D9" s="614"/>
      <c r="E9" s="614"/>
      <c r="F9" s="615"/>
      <c r="G9" s="674" t="s">
        <v>14</v>
      </c>
      <c r="H9" s="676" t="s">
        <v>1068</v>
      </c>
      <c r="I9" s="679" t="s">
        <v>35</v>
      </c>
      <c r="J9" s="673" t="s">
        <v>1069</v>
      </c>
      <c r="K9" s="673" t="s">
        <v>16</v>
      </c>
    </row>
    <row r="10" spans="1:11" s="247" customFormat="1" x14ac:dyDescent="0.25">
      <c r="A10" s="643"/>
      <c r="B10" s="612"/>
      <c r="C10" s="616"/>
      <c r="D10" s="617"/>
      <c r="E10" s="617"/>
      <c r="F10" s="618"/>
      <c r="G10" s="675"/>
      <c r="H10" s="676"/>
      <c r="I10" s="680"/>
      <c r="J10" s="673"/>
      <c r="K10" s="673"/>
    </row>
    <row r="11" spans="1:11" s="247" customFormat="1" x14ac:dyDescent="0.25">
      <c r="A11" s="34" t="s">
        <v>1203</v>
      </c>
      <c r="B11" s="251" t="s">
        <v>1147</v>
      </c>
      <c r="C11" s="243"/>
      <c r="D11" s="243"/>
      <c r="E11" s="243"/>
      <c r="F11" s="243"/>
      <c r="G11" s="243">
        <v>0.02</v>
      </c>
      <c r="H11" s="244" t="s">
        <v>1140</v>
      </c>
      <c r="I11" s="150">
        <f>G11/SUM($G$11:$G$12)</f>
        <v>0.66666666666666674</v>
      </c>
      <c r="J11" s="410">
        <f>Insumos!D49</f>
        <v>0</v>
      </c>
      <c r="K11" s="263">
        <f>TRUNC(G11*I11*J11,2)</f>
        <v>0</v>
      </c>
    </row>
    <row r="12" spans="1:11" x14ac:dyDescent="0.25">
      <c r="A12" s="124" t="s">
        <v>1204</v>
      </c>
      <c r="B12" s="6" t="s">
        <v>1248</v>
      </c>
      <c r="C12" s="313"/>
      <c r="D12" s="392"/>
      <c r="E12" s="313"/>
      <c r="F12" s="313"/>
      <c r="G12" s="143">
        <v>0.01</v>
      </c>
      <c r="H12" s="140" t="s">
        <v>1154</v>
      </c>
      <c r="I12" s="150">
        <f>G12/SUM($G$11:$G$12)</f>
        <v>0.33333333333333337</v>
      </c>
      <c r="J12" s="208">
        <f>Insumos!D54</f>
        <v>0</v>
      </c>
      <c r="K12" s="199">
        <f>TRUNC(G12*I12*J12,2)</f>
        <v>0</v>
      </c>
    </row>
    <row r="13" spans="1:11" x14ac:dyDescent="0.25">
      <c r="A13" s="152"/>
      <c r="B13" s="159"/>
      <c r="C13" s="387"/>
      <c r="D13" s="387"/>
      <c r="E13" s="387"/>
      <c r="F13" s="387"/>
      <c r="G13" s="154"/>
      <c r="H13" s="157"/>
      <c r="I13" s="157"/>
      <c r="J13" s="158" t="s">
        <v>1064</v>
      </c>
      <c r="K13" s="203">
        <f>SUM(K11:K12)</f>
        <v>0</v>
      </c>
    </row>
    <row r="14" spans="1:11" x14ac:dyDescent="0.25">
      <c r="A14" s="146" t="s">
        <v>163</v>
      </c>
      <c r="B14" s="179" t="s">
        <v>1155</v>
      </c>
      <c r="C14" s="388"/>
      <c r="D14" s="388"/>
      <c r="E14" s="388"/>
      <c r="F14" s="388"/>
      <c r="G14" s="148"/>
      <c r="H14" s="148"/>
      <c r="I14" s="148"/>
      <c r="J14" s="156"/>
      <c r="K14" s="187"/>
    </row>
    <row r="15" spans="1:11" x14ac:dyDescent="0.25">
      <c r="A15" s="611" t="s">
        <v>1196</v>
      </c>
      <c r="B15" s="612" t="s">
        <v>1067</v>
      </c>
      <c r="C15" s="613" t="s">
        <v>1197</v>
      </c>
      <c r="D15" s="614"/>
      <c r="E15" s="614"/>
      <c r="F15" s="615"/>
      <c r="G15" s="619" t="s">
        <v>14</v>
      </c>
      <c r="H15" s="610" t="s">
        <v>1068</v>
      </c>
      <c r="I15" s="608" t="s">
        <v>35</v>
      </c>
      <c r="J15" s="630" t="s">
        <v>1249</v>
      </c>
      <c r="K15" s="630" t="s">
        <v>16</v>
      </c>
    </row>
    <row r="16" spans="1:11" x14ac:dyDescent="0.25">
      <c r="A16" s="611"/>
      <c r="B16" s="612"/>
      <c r="C16" s="616"/>
      <c r="D16" s="617"/>
      <c r="E16" s="617"/>
      <c r="F16" s="618"/>
      <c r="G16" s="620"/>
      <c r="H16" s="610"/>
      <c r="I16" s="609"/>
      <c r="J16" s="630"/>
      <c r="K16" s="630"/>
    </row>
    <row r="17" spans="1:11" x14ac:dyDescent="0.25">
      <c r="A17" s="124" t="s">
        <v>1205</v>
      </c>
      <c r="B17" s="104" t="s">
        <v>1156</v>
      </c>
      <c r="C17" s="313"/>
      <c r="D17" s="313"/>
      <c r="E17" s="313"/>
      <c r="F17" s="313"/>
      <c r="G17" s="143">
        <f>F6/20</f>
        <v>0.05</v>
      </c>
      <c r="H17" s="140" t="s">
        <v>1228</v>
      </c>
      <c r="I17" s="150">
        <f>G17/SUM($G$17:$G$22)</f>
        <v>3.9867109634551499E-2</v>
      </c>
      <c r="J17" s="208">
        <f>Insumos!D58</f>
        <v>0</v>
      </c>
      <c r="K17" s="199">
        <f t="shared" ref="K17:K22" si="0">TRUNC(G17*I17*J17,2)</f>
        <v>0</v>
      </c>
    </row>
    <row r="18" spans="1:11" x14ac:dyDescent="0.25">
      <c r="A18" s="124" t="s">
        <v>1206</v>
      </c>
      <c r="B18" s="6" t="s">
        <v>1266</v>
      </c>
      <c r="C18" s="313"/>
      <c r="D18" s="313"/>
      <c r="E18" s="313"/>
      <c r="F18" s="313"/>
      <c r="G18" s="195">
        <f>F6*0.25/3.6</f>
        <v>6.9444444444444448E-2</v>
      </c>
      <c r="H18" s="140" t="s">
        <v>1261</v>
      </c>
      <c r="I18" s="150">
        <f t="shared" ref="I18:I22" si="1">G18/SUM($G$17:$G$22)</f>
        <v>5.5370985603543747E-2</v>
      </c>
      <c r="J18" s="208">
        <f>Insumos!D61</f>
        <v>0</v>
      </c>
      <c r="K18" s="199">
        <f t="shared" si="0"/>
        <v>0</v>
      </c>
    </row>
    <row r="19" spans="1:11" x14ac:dyDescent="0.25">
      <c r="A19" s="124" t="s">
        <v>1207</v>
      </c>
      <c r="B19" s="6" t="s">
        <v>1161</v>
      </c>
      <c r="C19" s="313"/>
      <c r="D19" s="313"/>
      <c r="E19" s="313"/>
      <c r="F19" s="313"/>
      <c r="G19" s="143">
        <f>G18*0.5</f>
        <v>3.4722222222222224E-2</v>
      </c>
      <c r="H19" s="140" t="s">
        <v>1162</v>
      </c>
      <c r="I19" s="150">
        <f t="shared" si="1"/>
        <v>2.7685492801771874E-2</v>
      </c>
      <c r="J19" s="208">
        <f>Insumos!D62</f>
        <v>0</v>
      </c>
      <c r="K19" s="199">
        <f t="shared" si="0"/>
        <v>0</v>
      </c>
    </row>
    <row r="20" spans="1:11" x14ac:dyDescent="0.25">
      <c r="A20" s="124" t="s">
        <v>1208</v>
      </c>
      <c r="B20" s="6" t="s">
        <v>1267</v>
      </c>
      <c r="C20" s="313"/>
      <c r="D20" s="313"/>
      <c r="E20" s="313"/>
      <c r="F20" s="313"/>
      <c r="G20" s="143">
        <v>0.3</v>
      </c>
      <c r="H20" s="140" t="s">
        <v>1068</v>
      </c>
      <c r="I20" s="150">
        <f t="shared" si="1"/>
        <v>0.23920265780730895</v>
      </c>
      <c r="J20" s="208">
        <f>Insumos!D64</f>
        <v>0</v>
      </c>
      <c r="K20" s="199">
        <f t="shared" si="0"/>
        <v>0</v>
      </c>
    </row>
    <row r="21" spans="1:11" x14ac:dyDescent="0.25">
      <c r="A21" s="124" t="s">
        <v>1209</v>
      </c>
      <c r="B21" s="6" t="s">
        <v>1268</v>
      </c>
      <c r="C21" s="313"/>
      <c r="D21" s="313"/>
      <c r="E21" s="313"/>
      <c r="F21" s="313"/>
      <c r="G21" s="143">
        <v>0.3</v>
      </c>
      <c r="H21" s="140" t="s">
        <v>1068</v>
      </c>
      <c r="I21" s="150">
        <f t="shared" si="1"/>
        <v>0.23920265780730895</v>
      </c>
      <c r="J21" s="208">
        <f>Insumos!D65</f>
        <v>0</v>
      </c>
      <c r="K21" s="199">
        <f t="shared" si="0"/>
        <v>0</v>
      </c>
    </row>
    <row r="22" spans="1:11" x14ac:dyDescent="0.25">
      <c r="A22" s="124" t="s">
        <v>1210</v>
      </c>
      <c r="B22" s="6" t="s">
        <v>1166</v>
      </c>
      <c r="C22" s="313"/>
      <c r="D22" s="313"/>
      <c r="E22" s="313"/>
      <c r="F22" s="313"/>
      <c r="G22" s="143">
        <v>0.5</v>
      </c>
      <c r="H22" s="140" t="s">
        <v>1096</v>
      </c>
      <c r="I22" s="150">
        <f t="shared" si="1"/>
        <v>0.39867109634551495</v>
      </c>
      <c r="J22" s="208">
        <f>Insumos!D66</f>
        <v>0</v>
      </c>
      <c r="K22" s="199">
        <f t="shared" si="0"/>
        <v>0</v>
      </c>
    </row>
    <row r="23" spans="1:11" x14ac:dyDescent="0.25">
      <c r="A23" s="152"/>
      <c r="B23" s="159"/>
      <c r="C23" s="391"/>
      <c r="D23" s="391"/>
      <c r="E23" s="391"/>
      <c r="F23" s="391"/>
      <c r="G23" s="159"/>
      <c r="H23" s="159"/>
      <c r="I23" s="159"/>
      <c r="J23" s="160" t="s">
        <v>1064</v>
      </c>
      <c r="K23" s="205">
        <f>SUM(K17:K22)</f>
        <v>0</v>
      </c>
    </row>
    <row r="24" spans="1:11" x14ac:dyDescent="0.25">
      <c r="A24" s="146" t="s">
        <v>164</v>
      </c>
      <c r="B24" s="179" t="s">
        <v>1176</v>
      </c>
      <c r="C24" s="388"/>
      <c r="D24" s="388"/>
      <c r="E24" s="388"/>
      <c r="F24" s="388"/>
      <c r="G24" s="148"/>
      <c r="H24" s="148"/>
      <c r="I24" s="148"/>
      <c r="J24" s="156"/>
      <c r="K24" s="187"/>
    </row>
    <row r="25" spans="1:11" x14ac:dyDescent="0.25">
      <c r="A25" s="611" t="s">
        <v>1196</v>
      </c>
      <c r="B25" s="612" t="s">
        <v>1067</v>
      </c>
      <c r="C25" s="613" t="s">
        <v>1197</v>
      </c>
      <c r="D25" s="614"/>
      <c r="E25" s="614"/>
      <c r="F25" s="615"/>
      <c r="G25" s="619" t="s">
        <v>14</v>
      </c>
      <c r="H25" s="610" t="s">
        <v>1068</v>
      </c>
      <c r="I25" s="608" t="s">
        <v>35</v>
      </c>
      <c r="J25" s="630" t="s">
        <v>1249</v>
      </c>
      <c r="K25" s="630" t="s">
        <v>16</v>
      </c>
    </row>
    <row r="26" spans="1:11" x14ac:dyDescent="0.25">
      <c r="A26" s="611"/>
      <c r="B26" s="612"/>
      <c r="C26" s="616"/>
      <c r="D26" s="617"/>
      <c r="E26" s="617"/>
      <c r="F26" s="618"/>
      <c r="G26" s="620"/>
      <c r="H26" s="610"/>
      <c r="I26" s="609"/>
      <c r="J26" s="630"/>
      <c r="K26" s="630"/>
    </row>
    <row r="27" spans="1:11" x14ac:dyDescent="0.25">
      <c r="A27" s="124" t="s">
        <v>1211</v>
      </c>
      <c r="B27" s="6" t="s">
        <v>1242</v>
      </c>
      <c r="C27" s="605"/>
      <c r="D27" s="606"/>
      <c r="E27" s="606"/>
      <c r="F27" s="607"/>
      <c r="G27" s="143">
        <v>0.2</v>
      </c>
      <c r="H27" s="140" t="s">
        <v>1140</v>
      </c>
      <c r="I27" s="150">
        <v>1</v>
      </c>
      <c r="J27" s="208">
        <f>Insumos!D75</f>
        <v>0</v>
      </c>
      <c r="K27" s="199">
        <f>TRUNC(G27*I27*J27,2)</f>
        <v>0</v>
      </c>
    </row>
    <row r="28" spans="1:11" x14ac:dyDescent="0.25">
      <c r="A28" s="152"/>
      <c r="B28" s="159"/>
      <c r="C28" s="159"/>
      <c r="D28" s="159"/>
      <c r="E28" s="159"/>
      <c r="F28" s="159"/>
      <c r="G28" s="159"/>
      <c r="H28" s="159"/>
      <c r="I28" s="159"/>
      <c r="J28" s="160" t="s">
        <v>1064</v>
      </c>
      <c r="K28" s="205">
        <f>SUM(K27)</f>
        <v>0</v>
      </c>
    </row>
    <row r="29" spans="1:11" x14ac:dyDescent="0.25">
      <c r="A29" s="146" t="s">
        <v>165</v>
      </c>
      <c r="B29" s="179" t="s">
        <v>1178</v>
      </c>
      <c r="C29" s="148"/>
      <c r="D29" s="148"/>
      <c r="E29" s="148"/>
      <c r="F29" s="148"/>
      <c r="G29" s="148"/>
      <c r="H29" s="148"/>
      <c r="I29" s="148"/>
      <c r="J29" s="156"/>
      <c r="K29" s="187"/>
    </row>
    <row r="30" spans="1:11" x14ac:dyDescent="0.25">
      <c r="A30" s="611" t="s">
        <v>1196</v>
      </c>
      <c r="B30" s="612" t="s">
        <v>1067</v>
      </c>
      <c r="C30" s="613" t="s">
        <v>1197</v>
      </c>
      <c r="D30" s="614"/>
      <c r="E30" s="614"/>
      <c r="F30" s="615"/>
      <c r="G30" s="619" t="s">
        <v>14</v>
      </c>
      <c r="H30" s="610" t="s">
        <v>1068</v>
      </c>
      <c r="I30" s="608" t="s">
        <v>35</v>
      </c>
      <c r="J30" s="630" t="s">
        <v>1249</v>
      </c>
      <c r="K30" s="630" t="s">
        <v>16</v>
      </c>
    </row>
    <row r="31" spans="1:11" x14ac:dyDescent="0.25">
      <c r="A31" s="611"/>
      <c r="B31" s="612"/>
      <c r="C31" s="616"/>
      <c r="D31" s="617"/>
      <c r="E31" s="617"/>
      <c r="F31" s="618"/>
      <c r="G31" s="620"/>
      <c r="H31" s="610"/>
      <c r="I31" s="609"/>
      <c r="J31" s="630"/>
      <c r="K31" s="630"/>
    </row>
    <row r="32" spans="1:11" x14ac:dyDescent="0.25">
      <c r="A32" s="124" t="s">
        <v>1212</v>
      </c>
      <c r="B32" s="104" t="s">
        <v>1179</v>
      </c>
      <c r="C32" s="605"/>
      <c r="D32" s="606"/>
      <c r="E32" s="606"/>
      <c r="F32" s="607"/>
      <c r="G32" s="143">
        <v>0.2</v>
      </c>
      <c r="H32" s="140" t="s">
        <v>1140</v>
      </c>
      <c r="I32" s="150">
        <v>1</v>
      </c>
      <c r="J32" s="208">
        <f>Insumos!D78</f>
        <v>0</v>
      </c>
      <c r="K32" s="199">
        <f>TRUNC(G32*I32*J32,2)</f>
        <v>0</v>
      </c>
    </row>
    <row r="33" spans="1:11" x14ac:dyDescent="0.25">
      <c r="A33" s="152"/>
      <c r="B33" s="159"/>
      <c r="C33" s="159"/>
      <c r="D33" s="159"/>
      <c r="E33" s="159"/>
      <c r="F33" s="159"/>
      <c r="G33" s="159"/>
      <c r="H33" s="159"/>
      <c r="I33" s="159"/>
      <c r="J33" s="160" t="s">
        <v>1064</v>
      </c>
      <c r="K33" s="205">
        <f>K32</f>
        <v>0</v>
      </c>
    </row>
    <row r="34" spans="1:11" x14ac:dyDescent="0.25">
      <c r="A34" s="146" t="s">
        <v>166</v>
      </c>
      <c r="B34" s="179" t="s">
        <v>1180</v>
      </c>
      <c r="C34" s="148"/>
      <c r="D34" s="148"/>
      <c r="E34" s="148"/>
      <c r="F34" s="148"/>
      <c r="G34" s="148"/>
      <c r="H34" s="148"/>
      <c r="I34" s="148"/>
      <c r="J34" s="156"/>
      <c r="K34" s="187"/>
    </row>
    <row r="35" spans="1:11" x14ac:dyDescent="0.25">
      <c r="A35" s="611" t="s">
        <v>1196</v>
      </c>
      <c r="B35" s="612" t="s">
        <v>1067</v>
      </c>
      <c r="C35" s="613" t="s">
        <v>1197</v>
      </c>
      <c r="D35" s="614"/>
      <c r="E35" s="614"/>
      <c r="F35" s="615"/>
      <c r="G35" s="619" t="s">
        <v>14</v>
      </c>
      <c r="H35" s="610" t="s">
        <v>1068</v>
      </c>
      <c r="I35" s="608" t="s">
        <v>35</v>
      </c>
      <c r="J35" s="630" t="s">
        <v>1249</v>
      </c>
      <c r="K35" s="630" t="s">
        <v>16</v>
      </c>
    </row>
    <row r="36" spans="1:11" x14ac:dyDescent="0.25">
      <c r="A36" s="611"/>
      <c r="B36" s="612"/>
      <c r="C36" s="616"/>
      <c r="D36" s="617"/>
      <c r="E36" s="617"/>
      <c r="F36" s="618"/>
      <c r="G36" s="620"/>
      <c r="H36" s="610"/>
      <c r="I36" s="609"/>
      <c r="J36" s="630"/>
      <c r="K36" s="630"/>
    </row>
    <row r="37" spans="1:11" x14ac:dyDescent="0.25">
      <c r="A37" s="124" t="s">
        <v>1213</v>
      </c>
      <c r="B37" s="6" t="s">
        <v>1181</v>
      </c>
      <c r="C37" s="605"/>
      <c r="D37" s="606"/>
      <c r="E37" s="606"/>
      <c r="F37" s="607"/>
      <c r="G37" s="143">
        <v>0.01</v>
      </c>
      <c r="H37" s="140" t="s">
        <v>1140</v>
      </c>
      <c r="I37" s="150">
        <f>G37/SUM($G$37:$G$39)</f>
        <v>0.33333333333333337</v>
      </c>
      <c r="J37" s="212">
        <f>Insumos!D81</f>
        <v>0</v>
      </c>
      <c r="K37" s="199">
        <f>TRUNC(G37*I37*J37,2)</f>
        <v>0</v>
      </c>
    </row>
    <row r="38" spans="1:11" x14ac:dyDescent="0.25">
      <c r="A38" s="124" t="s">
        <v>1214</v>
      </c>
      <c r="B38" s="6" t="s">
        <v>1182</v>
      </c>
      <c r="C38" s="605"/>
      <c r="D38" s="606"/>
      <c r="E38" s="606"/>
      <c r="F38" s="607"/>
      <c r="G38" s="143">
        <v>0.01</v>
      </c>
      <c r="H38" s="140" t="s">
        <v>1140</v>
      </c>
      <c r="I38" s="150">
        <f t="shared" ref="I38:I39" si="2">G38/SUM($G$37:$G$39)</f>
        <v>0.33333333333333337</v>
      </c>
      <c r="J38" s="212">
        <f>Insumos!D82</f>
        <v>0</v>
      </c>
      <c r="K38" s="199">
        <f>TRUNC(G38*I38*J38,2)</f>
        <v>0</v>
      </c>
    </row>
    <row r="39" spans="1:11" x14ac:dyDescent="0.25">
      <c r="A39" s="124" t="s">
        <v>1215</v>
      </c>
      <c r="B39" s="6" t="s">
        <v>1183</v>
      </c>
      <c r="C39" s="605"/>
      <c r="D39" s="606"/>
      <c r="E39" s="606"/>
      <c r="F39" s="607"/>
      <c r="G39" s="143">
        <v>0.01</v>
      </c>
      <c r="H39" s="140" t="s">
        <v>1140</v>
      </c>
      <c r="I39" s="150">
        <f t="shared" si="2"/>
        <v>0.33333333333333337</v>
      </c>
      <c r="J39" s="212">
        <f>Insumos!D83</f>
        <v>0</v>
      </c>
      <c r="K39" s="199">
        <f>TRUNC(G39*I39*J39,2)</f>
        <v>0</v>
      </c>
    </row>
    <row r="40" spans="1:11" x14ac:dyDescent="0.25">
      <c r="A40" s="152"/>
      <c r="B40" s="159"/>
      <c r="C40" s="159"/>
      <c r="D40" s="159"/>
      <c r="E40" s="159"/>
      <c r="F40" s="159"/>
      <c r="G40" s="159"/>
      <c r="H40" s="159"/>
      <c r="I40" s="159"/>
      <c r="J40" s="160" t="s">
        <v>1064</v>
      </c>
      <c r="K40" s="205">
        <f>SUM(K37:K39)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9:J10"/>
    <mergeCell ref="K9:K10"/>
    <mergeCell ref="A15:A16"/>
    <mergeCell ref="B15:B16"/>
    <mergeCell ref="C15:F16"/>
    <mergeCell ref="G15:G16"/>
    <mergeCell ref="H15:H16"/>
    <mergeCell ref="I15:I16"/>
    <mergeCell ref="J15:J16"/>
    <mergeCell ref="K15:K16"/>
    <mergeCell ref="A9:A10"/>
    <mergeCell ref="B9:B10"/>
    <mergeCell ref="C9:F10"/>
    <mergeCell ref="G9:G10"/>
    <mergeCell ref="H9:H10"/>
    <mergeCell ref="I9:I10"/>
    <mergeCell ref="J25:J26"/>
    <mergeCell ref="K25:K26"/>
    <mergeCell ref="C27:F27"/>
    <mergeCell ref="A30:A31"/>
    <mergeCell ref="B30:B31"/>
    <mergeCell ref="C30:F31"/>
    <mergeCell ref="G30:G31"/>
    <mergeCell ref="H30:H31"/>
    <mergeCell ref="I30:I31"/>
    <mergeCell ref="J30:J31"/>
    <mergeCell ref="A25:A26"/>
    <mergeCell ref="B25:B26"/>
    <mergeCell ref="C25:F26"/>
    <mergeCell ref="G25:G26"/>
    <mergeCell ref="H25:H26"/>
    <mergeCell ref="I25:I26"/>
    <mergeCell ref="A35:A36"/>
    <mergeCell ref="B35:B36"/>
    <mergeCell ref="C35:F36"/>
    <mergeCell ref="G35:G36"/>
    <mergeCell ref="H35:H36"/>
    <mergeCell ref="C37:F37"/>
    <mergeCell ref="C38:F38"/>
    <mergeCell ref="C39:F39"/>
    <mergeCell ref="K30:K31"/>
    <mergeCell ref="C32:F32"/>
    <mergeCell ref="I35:I36"/>
    <mergeCell ref="J35:J36"/>
    <mergeCell ref="K35:K36"/>
  </mergeCells>
  <pageMargins left="0.511811024" right="0.511811024" top="0.78740157499999996" bottom="0.78740157499999996" header="0.31496062000000002" footer="0.31496062000000002"/>
  <pageSetup paperSize="9" scale="54" fitToHeight="0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view="pageBreakPreview" topLeftCell="A16" zoomScale="80" zoomScaleNormal="100" zoomScaleSheetLayoutView="80" workbookViewId="0">
      <selection activeCell="B3" sqref="B3:F3"/>
    </sheetView>
  </sheetViews>
  <sheetFormatPr defaultRowHeight="15" x14ac:dyDescent="0.25"/>
  <cols>
    <col min="1" max="1" width="15.7109375" bestFit="1" customWidth="1"/>
    <col min="2" max="2" width="61.42578125" customWidth="1"/>
    <col min="3" max="5" width="10.7109375" customWidth="1"/>
    <col min="6" max="6" width="10.140625" bestFit="1" customWidth="1"/>
    <col min="7" max="7" width="9.7109375" customWidth="1"/>
    <col min="8" max="9" width="12.140625" customWidth="1"/>
    <col min="10" max="10" width="14.28515625" customWidth="1"/>
    <col min="11" max="11" width="19.42578125" bestFit="1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27</v>
      </c>
      <c r="B2" s="184" t="s">
        <v>1978</v>
      </c>
      <c r="C2" s="185"/>
      <c r="D2" s="185"/>
      <c r="E2" s="185"/>
      <c r="F2" s="185"/>
      <c r="G2" s="185"/>
      <c r="H2" s="185"/>
      <c r="I2" s="185"/>
      <c r="J2" s="206"/>
      <c r="K2" s="186"/>
    </row>
    <row r="3" spans="1:11" x14ac:dyDescent="0.25">
      <c r="A3" s="146" t="s">
        <v>171</v>
      </c>
      <c r="B3" s="621" t="s">
        <v>1195</v>
      </c>
      <c r="C3" s="621"/>
      <c r="D3" s="621"/>
      <c r="E3" s="621"/>
      <c r="F3" s="621"/>
      <c r="G3" s="621"/>
      <c r="H3" s="621"/>
      <c r="I3" s="147"/>
      <c r="J3" s="207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2" t="s">
        <v>1069</v>
      </c>
      <c r="K4" s="610" t="s">
        <v>16</v>
      </c>
    </row>
    <row r="5" spans="1:11" x14ac:dyDescent="0.25">
      <c r="A5" s="611"/>
      <c r="B5" s="612"/>
      <c r="C5" s="149" t="s">
        <v>1271</v>
      </c>
      <c r="D5" s="149" t="s">
        <v>1272</v>
      </c>
      <c r="E5" s="149" t="s">
        <v>1273</v>
      </c>
      <c r="F5" s="149" t="s">
        <v>1201</v>
      </c>
      <c r="G5" s="620"/>
      <c r="H5" s="610"/>
      <c r="I5" s="609"/>
      <c r="J5" s="612"/>
      <c r="K5" s="610"/>
    </row>
    <row r="6" spans="1:11" s="247" customFormat="1" ht="135" x14ac:dyDescent="0.25">
      <c r="A6" s="34" t="s">
        <v>1202</v>
      </c>
      <c r="B6" s="255" t="s">
        <v>1136</v>
      </c>
      <c r="C6" s="243">
        <v>2</v>
      </c>
      <c r="D6" s="243">
        <v>2</v>
      </c>
      <c r="E6" s="243">
        <v>1</v>
      </c>
      <c r="F6" s="385">
        <f>C6*D6*E6</f>
        <v>4</v>
      </c>
      <c r="G6" s="243">
        <v>1</v>
      </c>
      <c r="H6" s="244" t="s">
        <v>1264</v>
      </c>
      <c r="I6" s="266">
        <v>1</v>
      </c>
      <c r="J6" s="263">
        <f>Insumos!D39</f>
        <v>0</v>
      </c>
      <c r="K6" s="263">
        <f>TRUNC(G6*I6*J6,2)</f>
        <v>0</v>
      </c>
    </row>
    <row r="7" spans="1:11" s="247" customFormat="1" x14ac:dyDescent="0.25">
      <c r="A7" s="394"/>
      <c r="B7" s="386"/>
      <c r="C7" s="382"/>
      <c r="D7" s="382"/>
      <c r="E7" s="382"/>
      <c r="F7" s="382"/>
      <c r="G7" s="382"/>
      <c r="H7" s="382"/>
      <c r="I7" s="382"/>
      <c r="J7" s="397" t="s">
        <v>1064</v>
      </c>
      <c r="K7" s="396">
        <f>SUM(K6:K6)</f>
        <v>0</v>
      </c>
    </row>
    <row r="8" spans="1:11" s="247" customFormat="1" x14ac:dyDescent="0.25">
      <c r="A8" s="401" t="s">
        <v>172</v>
      </c>
      <c r="B8" s="402" t="s">
        <v>1219</v>
      </c>
      <c r="C8" s="383"/>
      <c r="D8" s="383"/>
      <c r="E8" s="383"/>
      <c r="F8" s="383"/>
      <c r="G8" s="383"/>
      <c r="H8" s="383"/>
      <c r="I8" s="383"/>
      <c r="J8" s="405"/>
      <c r="K8" s="404"/>
    </row>
    <row r="9" spans="1:11" s="247" customFormat="1" x14ac:dyDescent="0.25">
      <c r="A9" s="643" t="s">
        <v>1196</v>
      </c>
      <c r="B9" s="612" t="s">
        <v>1067</v>
      </c>
      <c r="C9" s="613" t="s">
        <v>1197</v>
      </c>
      <c r="D9" s="614"/>
      <c r="E9" s="614"/>
      <c r="F9" s="615"/>
      <c r="G9" s="674" t="s">
        <v>14</v>
      </c>
      <c r="H9" s="676" t="s">
        <v>1068</v>
      </c>
      <c r="I9" s="679" t="s">
        <v>35</v>
      </c>
      <c r="J9" s="682" t="s">
        <v>1069</v>
      </c>
      <c r="K9" s="673" t="s">
        <v>16</v>
      </c>
    </row>
    <row r="10" spans="1:11" s="247" customFormat="1" x14ac:dyDescent="0.25">
      <c r="A10" s="643"/>
      <c r="B10" s="612"/>
      <c r="C10" s="616"/>
      <c r="D10" s="617"/>
      <c r="E10" s="617"/>
      <c r="F10" s="618"/>
      <c r="G10" s="675"/>
      <c r="H10" s="676"/>
      <c r="I10" s="680"/>
      <c r="J10" s="682"/>
      <c r="K10" s="673"/>
    </row>
    <row r="11" spans="1:11" s="247" customFormat="1" x14ac:dyDescent="0.25">
      <c r="A11" s="124" t="s">
        <v>1203</v>
      </c>
      <c r="B11" s="251" t="s">
        <v>1147</v>
      </c>
      <c r="C11" s="243"/>
      <c r="D11" s="243"/>
      <c r="E11" s="243"/>
      <c r="F11" s="243"/>
      <c r="G11" s="243">
        <v>0.04</v>
      </c>
      <c r="H11" s="244" t="s">
        <v>1140</v>
      </c>
      <c r="I11" s="150">
        <f>G11/SUM($G$11:$G$12)</f>
        <v>0.5</v>
      </c>
      <c r="J11" s="410">
        <f>Insumos!D49</f>
        <v>0</v>
      </c>
      <c r="K11" s="263">
        <f>TRUNC(G11*I11*J11,2)</f>
        <v>0</v>
      </c>
    </row>
    <row r="12" spans="1:11" x14ac:dyDescent="0.25">
      <c r="A12" s="124" t="s">
        <v>1204</v>
      </c>
      <c r="B12" s="6" t="s">
        <v>1248</v>
      </c>
      <c r="C12" s="313"/>
      <c r="D12" s="313"/>
      <c r="E12" s="313"/>
      <c r="F12" s="313"/>
      <c r="G12" s="143">
        <v>0.04</v>
      </c>
      <c r="H12" s="140" t="s">
        <v>1154</v>
      </c>
      <c r="I12" s="150">
        <f>G12/SUM($G$11:$G$12)</f>
        <v>0.5</v>
      </c>
      <c r="J12" s="208">
        <f>Insumos!D54</f>
        <v>0</v>
      </c>
      <c r="K12" s="199">
        <f>TRUNC(G12*I12*J12,2)</f>
        <v>0</v>
      </c>
    </row>
    <row r="13" spans="1:11" x14ac:dyDescent="0.25">
      <c r="A13" s="152"/>
      <c r="B13" s="159"/>
      <c r="C13" s="387"/>
      <c r="D13" s="387"/>
      <c r="E13" s="387"/>
      <c r="F13" s="387"/>
      <c r="G13" s="154"/>
      <c r="H13" s="157"/>
      <c r="I13" s="157"/>
      <c r="J13" s="210" t="s">
        <v>1064</v>
      </c>
      <c r="K13" s="203">
        <f>SUM(K11:K12)</f>
        <v>0</v>
      </c>
    </row>
    <row r="14" spans="1:11" x14ac:dyDescent="0.25">
      <c r="A14" s="146" t="s">
        <v>173</v>
      </c>
      <c r="B14" s="179" t="s">
        <v>1155</v>
      </c>
      <c r="C14" s="388"/>
      <c r="D14" s="388"/>
      <c r="E14" s="388"/>
      <c r="F14" s="388"/>
      <c r="G14" s="148"/>
      <c r="H14" s="148"/>
      <c r="I14" s="148"/>
      <c r="J14" s="209"/>
      <c r="K14" s="187"/>
    </row>
    <row r="15" spans="1:11" x14ac:dyDescent="0.25">
      <c r="A15" s="611" t="s">
        <v>1196</v>
      </c>
      <c r="B15" s="612" t="s">
        <v>1067</v>
      </c>
      <c r="C15" s="613" t="s">
        <v>1197</v>
      </c>
      <c r="D15" s="614"/>
      <c r="E15" s="614"/>
      <c r="F15" s="615"/>
      <c r="G15" s="619" t="s">
        <v>14</v>
      </c>
      <c r="H15" s="610" t="s">
        <v>1068</v>
      </c>
      <c r="I15" s="608" t="s">
        <v>35</v>
      </c>
      <c r="J15" s="681" t="s">
        <v>1249</v>
      </c>
      <c r="K15" s="630" t="s">
        <v>16</v>
      </c>
    </row>
    <row r="16" spans="1:11" x14ac:dyDescent="0.25">
      <c r="A16" s="611"/>
      <c r="B16" s="612"/>
      <c r="C16" s="616"/>
      <c r="D16" s="617"/>
      <c r="E16" s="617"/>
      <c r="F16" s="618"/>
      <c r="G16" s="620"/>
      <c r="H16" s="610"/>
      <c r="I16" s="609"/>
      <c r="J16" s="681"/>
      <c r="K16" s="630"/>
    </row>
    <row r="17" spans="1:11" x14ac:dyDescent="0.25">
      <c r="A17" s="124" t="s">
        <v>1205</v>
      </c>
      <c r="B17" s="104" t="s">
        <v>1156</v>
      </c>
      <c r="C17" s="313"/>
      <c r="D17" s="313"/>
      <c r="E17" s="313"/>
      <c r="F17" s="313"/>
      <c r="G17" s="143">
        <f>F6/30</f>
        <v>0.13333333333333333</v>
      </c>
      <c r="H17" s="140" t="s">
        <v>1228</v>
      </c>
      <c r="I17" s="150">
        <f>G17/SUM($G$17:$G$22)</f>
        <v>3.8192234245703373E-2</v>
      </c>
      <c r="J17" s="208">
        <f>Insumos!D58</f>
        <v>0</v>
      </c>
      <c r="K17" s="199">
        <f t="shared" ref="K17:K22" si="0">TRUNC(G17*I17*J17,2)</f>
        <v>0</v>
      </c>
    </row>
    <row r="18" spans="1:11" x14ac:dyDescent="0.25">
      <c r="A18" s="124" t="s">
        <v>1206</v>
      </c>
      <c r="B18" s="6" t="s">
        <v>1266</v>
      </c>
      <c r="C18" s="313"/>
      <c r="D18" s="313"/>
      <c r="E18" s="313"/>
      <c r="F18" s="313"/>
      <c r="G18" s="195">
        <f>F6*0.25/3.6</f>
        <v>0.27777777777777779</v>
      </c>
      <c r="H18" s="140" t="s">
        <v>1261</v>
      </c>
      <c r="I18" s="150">
        <f t="shared" ref="I18:I22" si="1">G18/SUM($G$17:$G$22)</f>
        <v>7.9567154678548704E-2</v>
      </c>
      <c r="J18" s="208">
        <f>Insumos!D61</f>
        <v>0</v>
      </c>
      <c r="K18" s="199">
        <f t="shared" si="0"/>
        <v>0</v>
      </c>
    </row>
    <row r="19" spans="1:11" x14ac:dyDescent="0.25">
      <c r="A19" s="124" t="s">
        <v>1207</v>
      </c>
      <c r="B19" s="6" t="s">
        <v>1161</v>
      </c>
      <c r="C19" s="313"/>
      <c r="D19" s="313"/>
      <c r="E19" s="313"/>
      <c r="F19" s="313"/>
      <c r="G19" s="143">
        <f>F6*0.02</f>
        <v>0.08</v>
      </c>
      <c r="H19" s="140" t="s">
        <v>1162</v>
      </c>
      <c r="I19" s="150">
        <f t="shared" si="1"/>
        <v>2.2915340547422024E-2</v>
      </c>
      <c r="J19" s="208">
        <f>Insumos!D62</f>
        <v>0</v>
      </c>
      <c r="K19" s="199">
        <f t="shared" si="0"/>
        <v>0</v>
      </c>
    </row>
    <row r="20" spans="1:11" x14ac:dyDescent="0.25">
      <c r="A20" s="124" t="s">
        <v>1208</v>
      </c>
      <c r="B20" s="6" t="s">
        <v>1274</v>
      </c>
      <c r="C20" s="313"/>
      <c r="D20" s="313"/>
      <c r="E20" s="313"/>
      <c r="F20" s="313"/>
      <c r="G20" s="143">
        <v>1</v>
      </c>
      <c r="H20" s="140" t="s">
        <v>1068</v>
      </c>
      <c r="I20" s="150">
        <f t="shared" si="1"/>
        <v>0.28644175684277529</v>
      </c>
      <c r="J20" s="208">
        <f>Insumos!D64</f>
        <v>0</v>
      </c>
      <c r="K20" s="199">
        <f t="shared" si="0"/>
        <v>0</v>
      </c>
    </row>
    <row r="21" spans="1:11" x14ac:dyDescent="0.25">
      <c r="A21" s="124" t="s">
        <v>1209</v>
      </c>
      <c r="B21" s="6" t="s">
        <v>1275</v>
      </c>
      <c r="C21" s="313"/>
      <c r="D21" s="313"/>
      <c r="E21" s="313"/>
      <c r="F21" s="313"/>
      <c r="G21" s="143">
        <v>1</v>
      </c>
      <c r="H21" s="140" t="s">
        <v>1068</v>
      </c>
      <c r="I21" s="150">
        <f t="shared" si="1"/>
        <v>0.28644175684277529</v>
      </c>
      <c r="J21" s="208">
        <f>Insumos!D65</f>
        <v>0</v>
      </c>
      <c r="K21" s="199">
        <f t="shared" si="0"/>
        <v>0</v>
      </c>
    </row>
    <row r="22" spans="1:11" x14ac:dyDescent="0.25">
      <c r="A22" s="124" t="s">
        <v>1210</v>
      </c>
      <c r="B22" s="6" t="s">
        <v>1166</v>
      </c>
      <c r="C22" s="313"/>
      <c r="D22" s="313"/>
      <c r="E22" s="313"/>
      <c r="F22" s="313"/>
      <c r="G22" s="143">
        <v>1</v>
      </c>
      <c r="H22" s="140" t="s">
        <v>1096</v>
      </c>
      <c r="I22" s="150">
        <f t="shared" si="1"/>
        <v>0.28644175684277529</v>
      </c>
      <c r="J22" s="208">
        <f>Insumos!D66</f>
        <v>0</v>
      </c>
      <c r="K22" s="199">
        <f t="shared" si="0"/>
        <v>0</v>
      </c>
    </row>
    <row r="23" spans="1:11" x14ac:dyDescent="0.25">
      <c r="A23" s="152"/>
      <c r="B23" s="159"/>
      <c r="C23" s="391"/>
      <c r="D23" s="391"/>
      <c r="E23" s="391"/>
      <c r="F23" s="391"/>
      <c r="G23" s="159"/>
      <c r="H23" s="159"/>
      <c r="I23" s="159"/>
      <c r="J23" s="211" t="s">
        <v>1064</v>
      </c>
      <c r="K23" s="205">
        <f>SUM(K17:K22)</f>
        <v>0</v>
      </c>
    </row>
    <row r="24" spans="1:11" x14ac:dyDescent="0.25">
      <c r="A24" s="146" t="s">
        <v>174</v>
      </c>
      <c r="B24" s="179" t="s">
        <v>1176</v>
      </c>
      <c r="C24" s="388"/>
      <c r="D24" s="388"/>
      <c r="E24" s="388"/>
      <c r="F24" s="388"/>
      <c r="G24" s="148"/>
      <c r="H24" s="148"/>
      <c r="I24" s="148"/>
      <c r="J24" s="209"/>
      <c r="K24" s="187"/>
    </row>
    <row r="25" spans="1:11" x14ac:dyDescent="0.25">
      <c r="A25" s="611" t="s">
        <v>1196</v>
      </c>
      <c r="B25" s="612" t="s">
        <v>1067</v>
      </c>
      <c r="C25" s="613" t="s">
        <v>1197</v>
      </c>
      <c r="D25" s="614"/>
      <c r="E25" s="614"/>
      <c r="F25" s="615"/>
      <c r="G25" s="619" t="s">
        <v>14</v>
      </c>
      <c r="H25" s="610" t="s">
        <v>1068</v>
      </c>
      <c r="I25" s="608" t="s">
        <v>35</v>
      </c>
      <c r="J25" s="681" t="s">
        <v>1249</v>
      </c>
      <c r="K25" s="630" t="s">
        <v>16</v>
      </c>
    </row>
    <row r="26" spans="1:11" x14ac:dyDescent="0.25">
      <c r="A26" s="611"/>
      <c r="B26" s="612"/>
      <c r="C26" s="616"/>
      <c r="D26" s="617"/>
      <c r="E26" s="617"/>
      <c r="F26" s="618"/>
      <c r="G26" s="620"/>
      <c r="H26" s="610"/>
      <c r="I26" s="609"/>
      <c r="J26" s="681"/>
      <c r="K26" s="630"/>
    </row>
    <row r="27" spans="1:11" x14ac:dyDescent="0.25">
      <c r="A27" s="124" t="s">
        <v>1211</v>
      </c>
      <c r="B27" s="6" t="s">
        <v>1242</v>
      </c>
      <c r="C27" s="605"/>
      <c r="D27" s="606"/>
      <c r="E27" s="606"/>
      <c r="F27" s="607"/>
      <c r="G27" s="143">
        <v>0.5</v>
      </c>
      <c r="H27" s="140" t="s">
        <v>1140</v>
      </c>
      <c r="I27" s="150">
        <v>1</v>
      </c>
      <c r="J27" s="208">
        <f>Insumos!D75</f>
        <v>0</v>
      </c>
      <c r="K27" s="199">
        <f>TRUNC(G27*I27*J27,2)</f>
        <v>0</v>
      </c>
    </row>
    <row r="28" spans="1:11" x14ac:dyDescent="0.25">
      <c r="A28" s="152"/>
      <c r="B28" s="159"/>
      <c r="C28" s="159"/>
      <c r="D28" s="159"/>
      <c r="E28" s="159"/>
      <c r="F28" s="159"/>
      <c r="G28" s="159"/>
      <c r="H28" s="159"/>
      <c r="I28" s="159"/>
      <c r="J28" s="211" t="s">
        <v>1064</v>
      </c>
      <c r="K28" s="205">
        <f>SUM(K27)</f>
        <v>0</v>
      </c>
    </row>
    <row r="29" spans="1:11" x14ac:dyDescent="0.25">
      <c r="A29" s="146" t="s">
        <v>175</v>
      </c>
      <c r="B29" s="179" t="s">
        <v>1178</v>
      </c>
      <c r="C29" s="148"/>
      <c r="D29" s="148"/>
      <c r="E29" s="148"/>
      <c r="F29" s="148"/>
      <c r="G29" s="148"/>
      <c r="H29" s="148"/>
      <c r="I29" s="148"/>
      <c r="J29" s="209"/>
      <c r="K29" s="187"/>
    </row>
    <row r="30" spans="1:11" x14ac:dyDescent="0.25">
      <c r="A30" s="611" t="s">
        <v>1196</v>
      </c>
      <c r="B30" s="612" t="s">
        <v>1067</v>
      </c>
      <c r="C30" s="613" t="s">
        <v>1197</v>
      </c>
      <c r="D30" s="614"/>
      <c r="E30" s="614"/>
      <c r="F30" s="615"/>
      <c r="G30" s="619" t="s">
        <v>14</v>
      </c>
      <c r="H30" s="610" t="s">
        <v>1068</v>
      </c>
      <c r="I30" s="608" t="s">
        <v>35</v>
      </c>
      <c r="J30" s="681" t="s">
        <v>1249</v>
      </c>
      <c r="K30" s="630" t="s">
        <v>16</v>
      </c>
    </row>
    <row r="31" spans="1:11" x14ac:dyDescent="0.25">
      <c r="A31" s="611"/>
      <c r="B31" s="612"/>
      <c r="C31" s="616"/>
      <c r="D31" s="617"/>
      <c r="E31" s="617"/>
      <c r="F31" s="618"/>
      <c r="G31" s="620"/>
      <c r="H31" s="610"/>
      <c r="I31" s="609"/>
      <c r="J31" s="681"/>
      <c r="K31" s="630"/>
    </row>
    <row r="32" spans="1:11" x14ac:dyDescent="0.25">
      <c r="A32" s="124" t="s">
        <v>1212</v>
      </c>
      <c r="B32" s="104" t="s">
        <v>1179</v>
      </c>
      <c r="C32" s="605"/>
      <c r="D32" s="606"/>
      <c r="E32" s="606"/>
      <c r="F32" s="607"/>
      <c r="G32" s="143">
        <v>0.5</v>
      </c>
      <c r="H32" s="140" t="s">
        <v>1140</v>
      </c>
      <c r="I32" s="150">
        <v>1</v>
      </c>
      <c r="J32" s="208">
        <f>Insumos!D78</f>
        <v>0</v>
      </c>
      <c r="K32" s="199">
        <f>TRUNC(G32*I32*J32,2)</f>
        <v>0</v>
      </c>
    </row>
    <row r="33" spans="1:11" x14ac:dyDescent="0.25">
      <c r="A33" s="152"/>
      <c r="B33" s="159"/>
      <c r="C33" s="159"/>
      <c r="D33" s="159"/>
      <c r="E33" s="159"/>
      <c r="F33" s="159"/>
      <c r="G33" s="159"/>
      <c r="H33" s="159"/>
      <c r="I33" s="159"/>
      <c r="J33" s="211" t="s">
        <v>1064</v>
      </c>
      <c r="K33" s="205">
        <f>K32</f>
        <v>0</v>
      </c>
    </row>
    <row r="34" spans="1:11" x14ac:dyDescent="0.25">
      <c r="A34" s="146" t="s">
        <v>176</v>
      </c>
      <c r="B34" s="179" t="s">
        <v>1180</v>
      </c>
      <c r="C34" s="148"/>
      <c r="D34" s="148"/>
      <c r="E34" s="148"/>
      <c r="F34" s="148"/>
      <c r="G34" s="148"/>
      <c r="H34" s="148"/>
      <c r="I34" s="148"/>
      <c r="J34" s="209"/>
      <c r="K34" s="187"/>
    </row>
    <row r="35" spans="1:11" x14ac:dyDescent="0.25">
      <c r="A35" s="611" t="s">
        <v>1196</v>
      </c>
      <c r="B35" s="612" t="s">
        <v>1067</v>
      </c>
      <c r="C35" s="613" t="s">
        <v>1197</v>
      </c>
      <c r="D35" s="614"/>
      <c r="E35" s="614"/>
      <c r="F35" s="615"/>
      <c r="G35" s="619" t="s">
        <v>14</v>
      </c>
      <c r="H35" s="610" t="s">
        <v>1068</v>
      </c>
      <c r="I35" s="608" t="s">
        <v>35</v>
      </c>
      <c r="J35" s="681" t="s">
        <v>1249</v>
      </c>
      <c r="K35" s="630" t="s">
        <v>16</v>
      </c>
    </row>
    <row r="36" spans="1:11" x14ac:dyDescent="0.25">
      <c r="A36" s="611"/>
      <c r="B36" s="612"/>
      <c r="C36" s="616"/>
      <c r="D36" s="617"/>
      <c r="E36" s="617"/>
      <c r="F36" s="618"/>
      <c r="G36" s="620"/>
      <c r="H36" s="610"/>
      <c r="I36" s="609"/>
      <c r="J36" s="681"/>
      <c r="K36" s="630"/>
    </row>
    <row r="37" spans="1:11" x14ac:dyDescent="0.25">
      <c r="A37" s="124" t="s">
        <v>1213</v>
      </c>
      <c r="B37" s="6" t="s">
        <v>1181</v>
      </c>
      <c r="C37" s="605"/>
      <c r="D37" s="606"/>
      <c r="E37" s="606"/>
      <c r="F37" s="607"/>
      <c r="G37" s="143">
        <v>0.01</v>
      </c>
      <c r="H37" s="140" t="s">
        <v>1140</v>
      </c>
      <c r="I37" s="150">
        <f>G37/SUM($G$37:$G$39)</f>
        <v>0.33333333333333337</v>
      </c>
      <c r="J37" s="212">
        <f>Insumos!D81</f>
        <v>0</v>
      </c>
      <c r="K37" s="199">
        <f>TRUNC(G37*I37*J37,2)</f>
        <v>0</v>
      </c>
    </row>
    <row r="38" spans="1:11" x14ac:dyDescent="0.25">
      <c r="A38" s="124" t="s">
        <v>1214</v>
      </c>
      <c r="B38" s="6" t="s">
        <v>1182</v>
      </c>
      <c r="C38" s="605"/>
      <c r="D38" s="606"/>
      <c r="E38" s="606"/>
      <c r="F38" s="607"/>
      <c r="G38" s="143">
        <v>0.01</v>
      </c>
      <c r="H38" s="140" t="s">
        <v>1140</v>
      </c>
      <c r="I38" s="150">
        <f t="shared" ref="I38:I39" si="2">G38/SUM($G$37:$G$39)</f>
        <v>0.33333333333333337</v>
      </c>
      <c r="J38" s="212">
        <f>Insumos!D82</f>
        <v>0</v>
      </c>
      <c r="K38" s="199">
        <f>TRUNC(G38*I38*J38,2)</f>
        <v>0</v>
      </c>
    </row>
    <row r="39" spans="1:11" x14ac:dyDescent="0.25">
      <c r="A39" s="124" t="s">
        <v>1215</v>
      </c>
      <c r="B39" s="6" t="s">
        <v>1183</v>
      </c>
      <c r="C39" s="605"/>
      <c r="D39" s="606"/>
      <c r="E39" s="606"/>
      <c r="F39" s="607"/>
      <c r="G39" s="143">
        <v>0.01</v>
      </c>
      <c r="H39" s="140" t="s">
        <v>1140</v>
      </c>
      <c r="I39" s="150">
        <f t="shared" si="2"/>
        <v>0.33333333333333337</v>
      </c>
      <c r="J39" s="212">
        <f>Insumos!D83</f>
        <v>0</v>
      </c>
      <c r="K39" s="199">
        <f>TRUNC(G39*I39*J39,2)</f>
        <v>0</v>
      </c>
    </row>
    <row r="40" spans="1:11" x14ac:dyDescent="0.25">
      <c r="A40" s="152"/>
      <c r="B40" s="159"/>
      <c r="C40" s="159"/>
      <c r="D40" s="159"/>
      <c r="E40" s="159"/>
      <c r="F40" s="159"/>
      <c r="G40" s="159"/>
      <c r="H40" s="159"/>
      <c r="I40" s="159"/>
      <c r="J40" s="211" t="s">
        <v>1064</v>
      </c>
      <c r="K40" s="205">
        <f>SUM(K37:K39)</f>
        <v>0</v>
      </c>
    </row>
    <row r="41" spans="1:11" x14ac:dyDescent="0.25">
      <c r="A41" s="152"/>
      <c r="B41" s="159"/>
      <c r="C41" s="159"/>
      <c r="D41" s="159"/>
      <c r="E41" s="159"/>
      <c r="F41" s="159"/>
      <c r="G41" s="159"/>
      <c r="H41" s="159"/>
      <c r="I41" s="159"/>
      <c r="J41" s="153"/>
      <c r="K41" s="159"/>
    </row>
    <row r="42" spans="1:11" x14ac:dyDescent="0.25">
      <c r="A42" s="152"/>
      <c r="B42" s="159"/>
      <c r="C42" s="159"/>
      <c r="D42" s="159"/>
      <c r="E42" s="159"/>
      <c r="F42" s="159"/>
      <c r="G42" s="159"/>
      <c r="H42" s="159"/>
      <c r="I42" s="159"/>
      <c r="J42" s="153"/>
      <c r="K42" s="159"/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9:J10"/>
    <mergeCell ref="K9:K10"/>
    <mergeCell ref="A15:A16"/>
    <mergeCell ref="B15:B16"/>
    <mergeCell ref="C15:F16"/>
    <mergeCell ref="G15:G16"/>
    <mergeCell ref="H15:H16"/>
    <mergeCell ref="I15:I16"/>
    <mergeCell ref="J15:J16"/>
    <mergeCell ref="K15:K16"/>
    <mergeCell ref="A9:A10"/>
    <mergeCell ref="B9:B10"/>
    <mergeCell ref="C9:F10"/>
    <mergeCell ref="G9:G10"/>
    <mergeCell ref="H9:H10"/>
    <mergeCell ref="I9:I10"/>
    <mergeCell ref="J25:J26"/>
    <mergeCell ref="K25:K26"/>
    <mergeCell ref="C27:F27"/>
    <mergeCell ref="A30:A31"/>
    <mergeCell ref="B30:B31"/>
    <mergeCell ref="C30:F31"/>
    <mergeCell ref="G30:G31"/>
    <mergeCell ref="H30:H31"/>
    <mergeCell ref="I30:I31"/>
    <mergeCell ref="J30:J31"/>
    <mergeCell ref="A25:A26"/>
    <mergeCell ref="B25:B26"/>
    <mergeCell ref="C25:F26"/>
    <mergeCell ref="G25:G26"/>
    <mergeCell ref="H25:H26"/>
    <mergeCell ref="I25:I26"/>
    <mergeCell ref="A35:A36"/>
    <mergeCell ref="B35:B36"/>
    <mergeCell ref="C35:F36"/>
    <mergeCell ref="G35:G36"/>
    <mergeCell ref="H35:H36"/>
    <mergeCell ref="C37:F37"/>
    <mergeCell ref="C38:F38"/>
    <mergeCell ref="C39:F39"/>
    <mergeCell ref="K30:K31"/>
    <mergeCell ref="C32:F32"/>
    <mergeCell ref="I35:I36"/>
    <mergeCell ref="J35:J36"/>
    <mergeCell ref="K35:K36"/>
  </mergeCells>
  <pageMargins left="0.511811024" right="0.511811024" top="0.78740157499999996" bottom="0.78740157499999996" header="0.31496062000000002" footer="0.31496062000000002"/>
  <pageSetup paperSize="9" scale="49" fitToHeight="0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view="pageBreakPreview" topLeftCell="A13" zoomScale="80" zoomScaleNormal="80" zoomScaleSheetLayoutView="80" workbookViewId="0">
      <selection activeCell="B3" sqref="B3:F3"/>
    </sheetView>
  </sheetViews>
  <sheetFormatPr defaultRowHeight="15" x14ac:dyDescent="0.25"/>
  <cols>
    <col min="1" max="1" width="14.140625" customWidth="1"/>
    <col min="2" max="2" width="61.42578125" customWidth="1"/>
    <col min="3" max="5" width="10.7109375" customWidth="1"/>
    <col min="6" max="6" width="9.42578125" bestFit="1" customWidth="1"/>
    <col min="7" max="7" width="9.7109375" customWidth="1"/>
    <col min="8" max="9" width="12.140625" customWidth="1"/>
    <col min="10" max="10" width="14.28515625" customWidth="1"/>
    <col min="11" max="11" width="18.42578125" bestFit="1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28</v>
      </c>
      <c r="B2" s="184" t="s">
        <v>1979</v>
      </c>
      <c r="C2" s="185"/>
      <c r="D2" s="185"/>
      <c r="E2" s="185"/>
      <c r="F2" s="185"/>
      <c r="G2" s="185"/>
      <c r="H2" s="185"/>
      <c r="I2" s="185"/>
      <c r="J2" s="206"/>
      <c r="K2" s="186"/>
    </row>
    <row r="3" spans="1:11" x14ac:dyDescent="0.25">
      <c r="A3" s="146" t="s">
        <v>179</v>
      </c>
      <c r="B3" s="621" t="s">
        <v>1195</v>
      </c>
      <c r="C3" s="621"/>
      <c r="D3" s="621"/>
      <c r="E3" s="621"/>
      <c r="F3" s="621"/>
      <c r="G3" s="621"/>
      <c r="H3" s="621"/>
      <c r="I3" s="147"/>
      <c r="J3" s="207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2" t="s">
        <v>1069</v>
      </c>
      <c r="K4" s="610" t="s">
        <v>16</v>
      </c>
    </row>
    <row r="5" spans="1:11" x14ac:dyDescent="0.25">
      <c r="A5" s="611"/>
      <c r="B5" s="612"/>
      <c r="C5" s="149" t="s">
        <v>1271</v>
      </c>
      <c r="D5" s="149" t="s">
        <v>1272</v>
      </c>
      <c r="E5" s="149" t="s">
        <v>1273</v>
      </c>
      <c r="F5" s="149" t="s">
        <v>1201</v>
      </c>
      <c r="G5" s="620"/>
      <c r="H5" s="610"/>
      <c r="I5" s="609"/>
      <c r="J5" s="612"/>
      <c r="K5" s="610"/>
    </row>
    <row r="6" spans="1:11" s="247" customFormat="1" ht="135" x14ac:dyDescent="0.25">
      <c r="A6" s="34" t="s">
        <v>1202</v>
      </c>
      <c r="B6" s="255" t="s">
        <v>1137</v>
      </c>
      <c r="C6" s="243">
        <v>5</v>
      </c>
      <c r="D6" s="243">
        <v>2</v>
      </c>
      <c r="E6" s="243">
        <v>1</v>
      </c>
      <c r="F6" s="385">
        <f>C6*D6*E6</f>
        <v>10</v>
      </c>
      <c r="G6" s="243">
        <f>E6</f>
        <v>1</v>
      </c>
      <c r="H6" s="244" t="s">
        <v>1264</v>
      </c>
      <c r="I6" s="266">
        <v>1</v>
      </c>
      <c r="J6" s="263">
        <f>Insumos!D40</f>
        <v>0</v>
      </c>
      <c r="K6" s="263">
        <f>TRUNC(G6*I6*J6,2)</f>
        <v>0</v>
      </c>
    </row>
    <row r="7" spans="1:11" s="247" customFormat="1" x14ac:dyDescent="0.25">
      <c r="A7" s="394"/>
      <c r="B7" s="386"/>
      <c r="C7" s="382"/>
      <c r="D7" s="382"/>
      <c r="E7" s="382"/>
      <c r="F7" s="382"/>
      <c r="G7" s="382"/>
      <c r="H7" s="382"/>
      <c r="I7" s="382"/>
      <c r="J7" s="397" t="s">
        <v>1064</v>
      </c>
      <c r="K7" s="396">
        <f>SUM(K6:K6)</f>
        <v>0</v>
      </c>
    </row>
    <row r="8" spans="1:11" s="247" customFormat="1" x14ac:dyDescent="0.25">
      <c r="A8" s="401" t="s">
        <v>180</v>
      </c>
      <c r="B8" s="402" t="s">
        <v>1219</v>
      </c>
      <c r="C8" s="383"/>
      <c r="D8" s="383"/>
      <c r="E8" s="383"/>
      <c r="F8" s="383"/>
      <c r="G8" s="383"/>
      <c r="H8" s="383"/>
      <c r="I8" s="383"/>
      <c r="J8" s="405"/>
      <c r="K8" s="404"/>
    </row>
    <row r="9" spans="1:11" s="247" customFormat="1" x14ac:dyDescent="0.25">
      <c r="A9" s="643" t="s">
        <v>1196</v>
      </c>
      <c r="B9" s="683" t="s">
        <v>1067</v>
      </c>
      <c r="C9" s="613" t="s">
        <v>1197</v>
      </c>
      <c r="D9" s="614"/>
      <c r="E9" s="614"/>
      <c r="F9" s="615"/>
      <c r="G9" s="674" t="s">
        <v>14</v>
      </c>
      <c r="H9" s="676" t="s">
        <v>1068</v>
      </c>
      <c r="I9" s="679" t="s">
        <v>35</v>
      </c>
      <c r="J9" s="682" t="s">
        <v>1069</v>
      </c>
      <c r="K9" s="673" t="s">
        <v>16</v>
      </c>
    </row>
    <row r="10" spans="1:11" s="247" customFormat="1" x14ac:dyDescent="0.25">
      <c r="A10" s="643"/>
      <c r="B10" s="683"/>
      <c r="C10" s="616"/>
      <c r="D10" s="617"/>
      <c r="E10" s="617"/>
      <c r="F10" s="618"/>
      <c r="G10" s="675"/>
      <c r="H10" s="676"/>
      <c r="I10" s="680"/>
      <c r="J10" s="682"/>
      <c r="K10" s="673"/>
    </row>
    <row r="11" spans="1:11" s="247" customFormat="1" x14ac:dyDescent="0.25">
      <c r="A11" s="34" t="s">
        <v>1203</v>
      </c>
      <c r="B11" s="251" t="s">
        <v>1147</v>
      </c>
      <c r="C11" s="243"/>
      <c r="D11" s="243"/>
      <c r="E11" s="243"/>
      <c r="F11" s="243"/>
      <c r="G11" s="243">
        <v>1</v>
      </c>
      <c r="H11" s="244" t="s">
        <v>1140</v>
      </c>
      <c r="I11" s="150">
        <v>0.1</v>
      </c>
      <c r="J11" s="410">
        <f>Insumos!D49</f>
        <v>0</v>
      </c>
      <c r="K11" s="263">
        <f>TRUNC(G11*I11*J11,2)</f>
        <v>0</v>
      </c>
    </row>
    <row r="12" spans="1:11" x14ac:dyDescent="0.25">
      <c r="A12" s="124" t="s">
        <v>1204</v>
      </c>
      <c r="B12" s="6" t="s">
        <v>1248</v>
      </c>
      <c r="C12" s="313"/>
      <c r="D12" s="313"/>
      <c r="E12" s="313"/>
      <c r="F12" s="313"/>
      <c r="G12" s="143">
        <v>1</v>
      </c>
      <c r="H12" s="140" t="s">
        <v>1154</v>
      </c>
      <c r="I12" s="150">
        <v>0.1</v>
      </c>
      <c r="J12" s="208">
        <f>Insumos!D54</f>
        <v>0</v>
      </c>
      <c r="K12" s="199">
        <f>TRUNC(G12*I12*J12,2)</f>
        <v>0</v>
      </c>
    </row>
    <row r="13" spans="1:11" x14ac:dyDescent="0.25">
      <c r="A13" s="152"/>
      <c r="B13" s="159"/>
      <c r="C13" s="387"/>
      <c r="D13" s="387"/>
      <c r="E13" s="387"/>
      <c r="F13" s="387"/>
      <c r="G13" s="154"/>
      <c r="H13" s="157"/>
      <c r="I13" s="157"/>
      <c r="J13" s="210" t="s">
        <v>1064</v>
      </c>
      <c r="K13" s="203">
        <f>SUM(K11:K12)</f>
        <v>0</v>
      </c>
    </row>
    <row r="14" spans="1:11" x14ac:dyDescent="0.25">
      <c r="A14" s="146" t="s">
        <v>181</v>
      </c>
      <c r="B14" s="179" t="s">
        <v>1155</v>
      </c>
      <c r="C14" s="388"/>
      <c r="D14" s="388"/>
      <c r="E14" s="388"/>
      <c r="F14" s="388"/>
      <c r="G14" s="148"/>
      <c r="H14" s="148"/>
      <c r="I14" s="148"/>
      <c r="J14" s="209"/>
      <c r="K14" s="187"/>
    </row>
    <row r="15" spans="1:11" x14ac:dyDescent="0.25">
      <c r="A15" s="611" t="s">
        <v>1196</v>
      </c>
      <c r="B15" s="612" t="s">
        <v>1067</v>
      </c>
      <c r="C15" s="613" t="s">
        <v>1197</v>
      </c>
      <c r="D15" s="614"/>
      <c r="E15" s="614"/>
      <c r="F15" s="615"/>
      <c r="G15" s="619" t="s">
        <v>14</v>
      </c>
      <c r="H15" s="610" t="s">
        <v>1068</v>
      </c>
      <c r="I15" s="608" t="s">
        <v>35</v>
      </c>
      <c r="J15" s="681" t="s">
        <v>1249</v>
      </c>
      <c r="K15" s="630" t="s">
        <v>16</v>
      </c>
    </row>
    <row r="16" spans="1:11" x14ac:dyDescent="0.25">
      <c r="A16" s="611"/>
      <c r="B16" s="612"/>
      <c r="C16" s="616"/>
      <c r="D16" s="617"/>
      <c r="E16" s="617"/>
      <c r="F16" s="618"/>
      <c r="G16" s="620"/>
      <c r="H16" s="610"/>
      <c r="I16" s="609"/>
      <c r="J16" s="681"/>
      <c r="K16" s="630"/>
    </row>
    <row r="17" spans="1:11" x14ac:dyDescent="0.25">
      <c r="A17" s="124" t="s">
        <v>1205</v>
      </c>
      <c r="B17" s="104" t="s">
        <v>1156</v>
      </c>
      <c r="C17" s="313"/>
      <c r="D17" s="313"/>
      <c r="E17" s="313"/>
      <c r="F17" s="313"/>
      <c r="G17" s="143">
        <f>F6/15</f>
        <v>0.66666666666666663</v>
      </c>
      <c r="H17" s="140" t="s">
        <v>1228</v>
      </c>
      <c r="I17" s="150">
        <f>G17/SUM($G$17:$G$22)</f>
        <v>6.9124423963133647E-2</v>
      </c>
      <c r="J17" s="208">
        <f>Insumos!D58</f>
        <v>0</v>
      </c>
      <c r="K17" s="199">
        <f t="shared" ref="K17:K22" si="0">TRUNC(G17*I17*J17,2)</f>
        <v>0</v>
      </c>
    </row>
    <row r="18" spans="1:11" x14ac:dyDescent="0.25">
      <c r="A18" s="124" t="s">
        <v>1206</v>
      </c>
      <c r="B18" s="6" t="s">
        <v>1266</v>
      </c>
      <c r="C18" s="313"/>
      <c r="D18" s="313"/>
      <c r="E18" s="313"/>
      <c r="F18" s="313"/>
      <c r="G18" s="195">
        <f>F6/3.6</f>
        <v>2.7777777777777777</v>
      </c>
      <c r="H18" s="140" t="s">
        <v>1261</v>
      </c>
      <c r="I18" s="150">
        <f t="shared" ref="I18:I22" si="1">G18/SUM($G$17:$G$22)</f>
        <v>0.28801843317972353</v>
      </c>
      <c r="J18" s="208">
        <f>Insumos!D61</f>
        <v>0</v>
      </c>
      <c r="K18" s="199">
        <f t="shared" si="0"/>
        <v>0</v>
      </c>
    </row>
    <row r="19" spans="1:11" x14ac:dyDescent="0.25">
      <c r="A19" s="124" t="s">
        <v>1207</v>
      </c>
      <c r="B19" s="6" t="s">
        <v>1161</v>
      </c>
      <c r="C19" s="313"/>
      <c r="D19" s="313"/>
      <c r="E19" s="313"/>
      <c r="F19" s="313"/>
      <c r="G19" s="143">
        <f>F6*0.02</f>
        <v>0.2</v>
      </c>
      <c r="H19" s="140" t="s">
        <v>1162</v>
      </c>
      <c r="I19" s="150">
        <f t="shared" si="1"/>
        <v>2.0737327188940096E-2</v>
      </c>
      <c r="J19" s="208">
        <f>Insumos!D62</f>
        <v>0</v>
      </c>
      <c r="K19" s="199">
        <f t="shared" si="0"/>
        <v>0</v>
      </c>
    </row>
    <row r="20" spans="1:11" x14ac:dyDescent="0.25">
      <c r="A20" s="124" t="s">
        <v>1208</v>
      </c>
      <c r="B20" s="6" t="s">
        <v>1274</v>
      </c>
      <c r="C20" s="313"/>
      <c r="D20" s="313"/>
      <c r="E20" s="313"/>
      <c r="F20" s="313"/>
      <c r="G20" s="143">
        <v>2</v>
      </c>
      <c r="H20" s="140" t="s">
        <v>1068</v>
      </c>
      <c r="I20" s="150">
        <f t="shared" si="1"/>
        <v>0.20737327188940094</v>
      </c>
      <c r="J20" s="208">
        <f>Insumos!D64</f>
        <v>0</v>
      </c>
      <c r="K20" s="199">
        <f t="shared" si="0"/>
        <v>0</v>
      </c>
    </row>
    <row r="21" spans="1:11" x14ac:dyDescent="0.25">
      <c r="A21" s="124" t="s">
        <v>1209</v>
      </c>
      <c r="B21" s="6" t="s">
        <v>1275</v>
      </c>
      <c r="C21" s="313"/>
      <c r="D21" s="313"/>
      <c r="E21" s="313"/>
      <c r="F21" s="313"/>
      <c r="G21" s="143">
        <v>2</v>
      </c>
      <c r="H21" s="140" t="s">
        <v>1068</v>
      </c>
      <c r="I21" s="150">
        <f t="shared" si="1"/>
        <v>0.20737327188940094</v>
      </c>
      <c r="J21" s="208">
        <f>Insumos!D65</f>
        <v>0</v>
      </c>
      <c r="K21" s="199">
        <f t="shared" si="0"/>
        <v>0</v>
      </c>
    </row>
    <row r="22" spans="1:11" x14ac:dyDescent="0.25">
      <c r="A22" s="124" t="s">
        <v>1210</v>
      </c>
      <c r="B22" s="6" t="s">
        <v>1166</v>
      </c>
      <c r="C22" s="313"/>
      <c r="D22" s="313"/>
      <c r="E22" s="313"/>
      <c r="F22" s="313"/>
      <c r="G22" s="143">
        <v>2</v>
      </c>
      <c r="H22" s="140" t="s">
        <v>1096</v>
      </c>
      <c r="I22" s="150">
        <f t="shared" si="1"/>
        <v>0.20737327188940094</v>
      </c>
      <c r="J22" s="208">
        <f>Insumos!D66</f>
        <v>0</v>
      </c>
      <c r="K22" s="199">
        <f t="shared" si="0"/>
        <v>0</v>
      </c>
    </row>
    <row r="23" spans="1:11" x14ac:dyDescent="0.25">
      <c r="A23" s="152"/>
      <c r="B23" s="159"/>
      <c r="C23" s="391"/>
      <c r="D23" s="391"/>
      <c r="E23" s="391"/>
      <c r="F23" s="391"/>
      <c r="G23" s="159"/>
      <c r="H23" s="159"/>
      <c r="I23" s="159"/>
      <c r="J23" s="211" t="s">
        <v>1064</v>
      </c>
      <c r="K23" s="205">
        <f>SUM(K17:K22)</f>
        <v>0</v>
      </c>
    </row>
    <row r="24" spans="1:11" x14ac:dyDescent="0.25">
      <c r="A24" s="146" t="s">
        <v>182</v>
      </c>
      <c r="B24" s="179" t="s">
        <v>1176</v>
      </c>
      <c r="C24" s="388"/>
      <c r="D24" s="388"/>
      <c r="E24" s="388"/>
      <c r="F24" s="388"/>
      <c r="G24" s="148"/>
      <c r="H24" s="148"/>
      <c r="I24" s="148"/>
      <c r="J24" s="209"/>
      <c r="K24" s="187"/>
    </row>
    <row r="25" spans="1:11" x14ac:dyDescent="0.25">
      <c r="A25" s="611" t="s">
        <v>1196</v>
      </c>
      <c r="B25" s="612" t="s">
        <v>1067</v>
      </c>
      <c r="C25" s="613" t="s">
        <v>1197</v>
      </c>
      <c r="D25" s="614"/>
      <c r="E25" s="614"/>
      <c r="F25" s="615"/>
      <c r="G25" s="619" t="s">
        <v>14</v>
      </c>
      <c r="H25" s="610" t="s">
        <v>1068</v>
      </c>
      <c r="I25" s="608" t="s">
        <v>35</v>
      </c>
      <c r="J25" s="681" t="s">
        <v>1249</v>
      </c>
      <c r="K25" s="630" t="s">
        <v>16</v>
      </c>
    </row>
    <row r="26" spans="1:11" x14ac:dyDescent="0.25">
      <c r="A26" s="611"/>
      <c r="B26" s="612"/>
      <c r="C26" s="616"/>
      <c r="D26" s="617"/>
      <c r="E26" s="617"/>
      <c r="F26" s="618"/>
      <c r="G26" s="620"/>
      <c r="H26" s="610"/>
      <c r="I26" s="609"/>
      <c r="J26" s="681"/>
      <c r="K26" s="630"/>
    </row>
    <row r="27" spans="1:11" x14ac:dyDescent="0.25">
      <c r="A27" s="124" t="s">
        <v>1211</v>
      </c>
      <c r="B27" s="6" t="s">
        <v>1242</v>
      </c>
      <c r="C27" s="605"/>
      <c r="D27" s="606"/>
      <c r="E27" s="606"/>
      <c r="F27" s="607"/>
      <c r="G27" s="143">
        <v>1</v>
      </c>
      <c r="H27" s="140" t="s">
        <v>1140</v>
      </c>
      <c r="I27" s="150">
        <v>1</v>
      </c>
      <c r="J27" s="208">
        <f>Insumos!D75</f>
        <v>0</v>
      </c>
      <c r="K27" s="199">
        <f>TRUNC(G27*I27*J27,2)</f>
        <v>0</v>
      </c>
    </row>
    <row r="28" spans="1:11" x14ac:dyDescent="0.25">
      <c r="A28" s="152"/>
      <c r="B28" s="159"/>
      <c r="C28" s="159"/>
      <c r="D28" s="159"/>
      <c r="E28" s="159"/>
      <c r="F28" s="159"/>
      <c r="G28" s="159"/>
      <c r="H28" s="159"/>
      <c r="I28" s="159"/>
      <c r="J28" s="211" t="s">
        <v>1064</v>
      </c>
      <c r="K28" s="205">
        <f>SUM(K27)</f>
        <v>0</v>
      </c>
    </row>
    <row r="29" spans="1:11" x14ac:dyDescent="0.25">
      <c r="A29" s="146" t="s">
        <v>183</v>
      </c>
      <c r="B29" s="179" t="s">
        <v>1178</v>
      </c>
      <c r="C29" s="148"/>
      <c r="D29" s="148"/>
      <c r="E29" s="148"/>
      <c r="F29" s="148"/>
      <c r="G29" s="148"/>
      <c r="H29" s="148"/>
      <c r="I29" s="148"/>
      <c r="J29" s="209"/>
      <c r="K29" s="187"/>
    </row>
    <row r="30" spans="1:11" x14ac:dyDescent="0.25">
      <c r="A30" s="611" t="s">
        <v>1196</v>
      </c>
      <c r="B30" s="612" t="s">
        <v>1067</v>
      </c>
      <c r="C30" s="613" t="s">
        <v>1197</v>
      </c>
      <c r="D30" s="614"/>
      <c r="E30" s="614"/>
      <c r="F30" s="615"/>
      <c r="G30" s="619" t="s">
        <v>14</v>
      </c>
      <c r="H30" s="610" t="s">
        <v>1068</v>
      </c>
      <c r="I30" s="608" t="s">
        <v>35</v>
      </c>
      <c r="J30" s="681" t="s">
        <v>1249</v>
      </c>
      <c r="K30" s="630" t="s">
        <v>16</v>
      </c>
    </row>
    <row r="31" spans="1:11" x14ac:dyDescent="0.25">
      <c r="A31" s="611"/>
      <c r="B31" s="612"/>
      <c r="C31" s="616"/>
      <c r="D31" s="617"/>
      <c r="E31" s="617"/>
      <c r="F31" s="618"/>
      <c r="G31" s="620"/>
      <c r="H31" s="610"/>
      <c r="I31" s="609"/>
      <c r="J31" s="681"/>
      <c r="K31" s="630"/>
    </row>
    <row r="32" spans="1:11" x14ac:dyDescent="0.25">
      <c r="A32" s="124" t="s">
        <v>1212</v>
      </c>
      <c r="B32" s="104" t="s">
        <v>1179</v>
      </c>
      <c r="C32" s="605"/>
      <c r="D32" s="606"/>
      <c r="E32" s="606"/>
      <c r="F32" s="607"/>
      <c r="G32" s="143">
        <v>1</v>
      </c>
      <c r="H32" s="140" t="s">
        <v>1140</v>
      </c>
      <c r="I32" s="150">
        <v>1</v>
      </c>
      <c r="J32" s="208">
        <f>Insumos!D78</f>
        <v>0</v>
      </c>
      <c r="K32" s="199">
        <f>TRUNC(G32*I32*J32,2)</f>
        <v>0</v>
      </c>
    </row>
    <row r="33" spans="1:11" x14ac:dyDescent="0.25">
      <c r="A33" s="152"/>
      <c r="B33" s="159"/>
      <c r="C33" s="159"/>
      <c r="D33" s="159"/>
      <c r="E33" s="159"/>
      <c r="F33" s="159"/>
      <c r="G33" s="159"/>
      <c r="H33" s="159"/>
      <c r="I33" s="159"/>
      <c r="J33" s="211" t="s">
        <v>1064</v>
      </c>
      <c r="K33" s="205">
        <f>K32</f>
        <v>0</v>
      </c>
    </row>
    <row r="34" spans="1:11" x14ac:dyDescent="0.25">
      <c r="A34" s="146" t="s">
        <v>184</v>
      </c>
      <c r="B34" s="179" t="s">
        <v>1180</v>
      </c>
      <c r="C34" s="148"/>
      <c r="D34" s="148"/>
      <c r="E34" s="148"/>
      <c r="F34" s="148"/>
      <c r="G34" s="148"/>
      <c r="H34" s="148"/>
      <c r="I34" s="148"/>
      <c r="J34" s="209"/>
      <c r="K34" s="187"/>
    </row>
    <row r="35" spans="1:11" x14ac:dyDescent="0.25">
      <c r="A35" s="611" t="s">
        <v>1196</v>
      </c>
      <c r="B35" s="612" t="s">
        <v>1067</v>
      </c>
      <c r="C35" s="613" t="s">
        <v>1197</v>
      </c>
      <c r="D35" s="614"/>
      <c r="E35" s="614"/>
      <c r="F35" s="615"/>
      <c r="G35" s="619" t="s">
        <v>14</v>
      </c>
      <c r="H35" s="610" t="s">
        <v>1068</v>
      </c>
      <c r="I35" s="608" t="s">
        <v>35</v>
      </c>
      <c r="J35" s="681" t="s">
        <v>1249</v>
      </c>
      <c r="K35" s="630" t="s">
        <v>16</v>
      </c>
    </row>
    <row r="36" spans="1:11" x14ac:dyDescent="0.25">
      <c r="A36" s="611"/>
      <c r="B36" s="612"/>
      <c r="C36" s="616"/>
      <c r="D36" s="617"/>
      <c r="E36" s="617"/>
      <c r="F36" s="618"/>
      <c r="G36" s="620"/>
      <c r="H36" s="610"/>
      <c r="I36" s="609"/>
      <c r="J36" s="681"/>
      <c r="K36" s="630"/>
    </row>
    <row r="37" spans="1:11" x14ac:dyDescent="0.25">
      <c r="A37" s="124" t="s">
        <v>1213</v>
      </c>
      <c r="B37" s="6" t="s">
        <v>1181</v>
      </c>
      <c r="C37" s="605"/>
      <c r="D37" s="606"/>
      <c r="E37" s="606"/>
      <c r="F37" s="607"/>
      <c r="G37" s="143">
        <v>0.01</v>
      </c>
      <c r="H37" s="140" t="s">
        <v>1140</v>
      </c>
      <c r="I37" s="150">
        <f>G37/SUM($G$37:$G$39)</f>
        <v>0.33333333333333337</v>
      </c>
      <c r="J37" s="212">
        <f>Insumos!D81</f>
        <v>0</v>
      </c>
      <c r="K37" s="199">
        <f>TRUNC(G37*I37*J37,2)</f>
        <v>0</v>
      </c>
    </row>
    <row r="38" spans="1:11" x14ac:dyDescent="0.25">
      <c r="A38" s="124" t="s">
        <v>1214</v>
      </c>
      <c r="B38" s="6" t="s">
        <v>1182</v>
      </c>
      <c r="C38" s="605"/>
      <c r="D38" s="606"/>
      <c r="E38" s="606"/>
      <c r="F38" s="607"/>
      <c r="G38" s="143">
        <v>0.01</v>
      </c>
      <c r="H38" s="140" t="s">
        <v>1140</v>
      </c>
      <c r="I38" s="150">
        <f t="shared" ref="I38:I39" si="2">G38/SUM($G$37:$G$39)</f>
        <v>0.33333333333333337</v>
      </c>
      <c r="J38" s="212">
        <f>Insumos!D82</f>
        <v>0</v>
      </c>
      <c r="K38" s="199">
        <f>TRUNC(G38*I38*J38,2)</f>
        <v>0</v>
      </c>
    </row>
    <row r="39" spans="1:11" x14ac:dyDescent="0.25">
      <c r="A39" s="124" t="s">
        <v>1215</v>
      </c>
      <c r="B39" s="6" t="s">
        <v>1183</v>
      </c>
      <c r="C39" s="605"/>
      <c r="D39" s="606"/>
      <c r="E39" s="606"/>
      <c r="F39" s="607"/>
      <c r="G39" s="143">
        <v>0.01</v>
      </c>
      <c r="H39" s="140" t="s">
        <v>1140</v>
      </c>
      <c r="I39" s="150">
        <f t="shared" si="2"/>
        <v>0.33333333333333337</v>
      </c>
      <c r="J39" s="212">
        <f>Insumos!D83</f>
        <v>0</v>
      </c>
      <c r="K39" s="199">
        <f>TRUNC(G39*I39*J39,2)</f>
        <v>0</v>
      </c>
    </row>
    <row r="40" spans="1:11" x14ac:dyDescent="0.25">
      <c r="A40" s="152"/>
      <c r="B40" s="159"/>
      <c r="C40" s="159"/>
      <c r="D40" s="159"/>
      <c r="E40" s="159"/>
      <c r="F40" s="159"/>
      <c r="G40" s="159"/>
      <c r="H40" s="159"/>
      <c r="I40" s="159"/>
      <c r="J40" s="211" t="s">
        <v>1064</v>
      </c>
      <c r="K40" s="205">
        <f>SUM(K37:K39)</f>
        <v>0</v>
      </c>
    </row>
    <row r="41" spans="1:11" x14ac:dyDescent="0.25">
      <c r="A41" s="152"/>
      <c r="B41" s="159"/>
      <c r="C41" s="159"/>
      <c r="D41" s="159"/>
      <c r="E41" s="159"/>
      <c r="F41" s="159"/>
      <c r="G41" s="159"/>
      <c r="H41" s="159"/>
      <c r="I41" s="159"/>
      <c r="J41" s="153"/>
      <c r="K41" s="159"/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9:J10"/>
    <mergeCell ref="K9:K10"/>
    <mergeCell ref="A15:A16"/>
    <mergeCell ref="B15:B16"/>
    <mergeCell ref="C15:F16"/>
    <mergeCell ref="G15:G16"/>
    <mergeCell ref="H15:H16"/>
    <mergeCell ref="I15:I16"/>
    <mergeCell ref="J15:J16"/>
    <mergeCell ref="K15:K16"/>
    <mergeCell ref="A9:A10"/>
    <mergeCell ref="B9:B10"/>
    <mergeCell ref="C9:F10"/>
    <mergeCell ref="G9:G10"/>
    <mergeCell ref="H9:H10"/>
    <mergeCell ref="I9:I10"/>
    <mergeCell ref="J25:J26"/>
    <mergeCell ref="K25:K26"/>
    <mergeCell ref="C27:F27"/>
    <mergeCell ref="A30:A31"/>
    <mergeCell ref="B30:B31"/>
    <mergeCell ref="C30:F31"/>
    <mergeCell ref="G30:G31"/>
    <mergeCell ref="H30:H31"/>
    <mergeCell ref="I30:I31"/>
    <mergeCell ref="J30:J31"/>
    <mergeCell ref="A25:A26"/>
    <mergeCell ref="B25:B26"/>
    <mergeCell ref="C25:F26"/>
    <mergeCell ref="G25:G26"/>
    <mergeCell ref="H25:H26"/>
    <mergeCell ref="I25:I26"/>
    <mergeCell ref="A35:A36"/>
    <mergeCell ref="B35:B36"/>
    <mergeCell ref="C35:F36"/>
    <mergeCell ref="G35:G36"/>
    <mergeCell ref="H35:H36"/>
    <mergeCell ref="C37:F37"/>
    <mergeCell ref="C38:F38"/>
    <mergeCell ref="C39:F39"/>
    <mergeCell ref="K30:K31"/>
    <mergeCell ref="C32:F32"/>
    <mergeCell ref="I35:I36"/>
    <mergeCell ref="J35:J36"/>
    <mergeCell ref="K35:K36"/>
  </mergeCells>
  <pageMargins left="0.511811024" right="0.511811024" top="0.78740157499999996" bottom="0.78740157499999996" header="0.31496062000000002" footer="0.31496062000000002"/>
  <pageSetup paperSize="9" scale="50" fitToHeight="0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view="pageBreakPreview" topLeftCell="A24" zoomScale="80" zoomScaleNormal="100" zoomScaleSheetLayoutView="80" workbookViewId="0">
      <selection activeCell="B3" sqref="B3:F3"/>
    </sheetView>
  </sheetViews>
  <sheetFormatPr defaultRowHeight="15" x14ac:dyDescent="0.25"/>
  <cols>
    <col min="1" max="1" width="11.85546875" customWidth="1"/>
    <col min="2" max="2" width="65.85546875" customWidth="1"/>
    <col min="3" max="4" width="8.42578125" customWidth="1"/>
    <col min="5" max="5" width="7.7109375" customWidth="1"/>
    <col min="6" max="7" width="10.85546875" customWidth="1"/>
    <col min="8" max="8" width="9" customWidth="1"/>
    <col min="9" max="9" width="8.5703125" bestFit="1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29</v>
      </c>
      <c r="B2" s="184" t="s">
        <v>1434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187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1104</v>
      </c>
      <c r="C6" s="243">
        <v>28.01</v>
      </c>
      <c r="D6" s="243">
        <v>12.27</v>
      </c>
      <c r="E6" s="243"/>
      <c r="F6" s="243">
        <f>D6*C6</f>
        <v>343.68270000000001</v>
      </c>
      <c r="G6" s="243">
        <f>F6</f>
        <v>343.68270000000001</v>
      </c>
      <c r="H6" s="244" t="s">
        <v>1076</v>
      </c>
      <c r="I6" s="266">
        <v>0.9</v>
      </c>
      <c r="J6" s="254">
        <f>Insumos!D15</f>
        <v>0</v>
      </c>
      <c r="K6" s="263">
        <f>TRUNC(G6*I6*J6,2)</f>
        <v>0</v>
      </c>
    </row>
    <row r="7" spans="1:11" s="247" customFormat="1" x14ac:dyDescent="0.25">
      <c r="A7" s="34" t="s">
        <v>1203</v>
      </c>
      <c r="B7" s="251" t="s">
        <v>1085</v>
      </c>
      <c r="C7" s="243">
        <f>C6</f>
        <v>28.01</v>
      </c>
      <c r="D7" s="243">
        <f>D6</f>
        <v>12.27</v>
      </c>
      <c r="E7" s="243"/>
      <c r="F7" s="243">
        <f>D7*C7</f>
        <v>343.68270000000001</v>
      </c>
      <c r="G7" s="243">
        <f>F7</f>
        <v>343.68270000000001</v>
      </c>
      <c r="H7" s="244" t="s">
        <v>1076</v>
      </c>
      <c r="I7" s="266">
        <v>0.9</v>
      </c>
      <c r="J7" s="254">
        <f>Insumos!D7</f>
        <v>0</v>
      </c>
      <c r="K7" s="263">
        <f>TRUNC(G7*I7*J7,2)</f>
        <v>0</v>
      </c>
    </row>
    <row r="8" spans="1:11" s="247" customFormat="1" x14ac:dyDescent="0.25">
      <c r="A8" s="34" t="s">
        <v>1204</v>
      </c>
      <c r="B8" s="251" t="s">
        <v>1106</v>
      </c>
      <c r="C8" s="243"/>
      <c r="D8" s="243">
        <f>D6*2</f>
        <v>24.54</v>
      </c>
      <c r="E8" s="243">
        <v>1.1000000000000001</v>
      </c>
      <c r="F8" s="243">
        <f>D8*E8</f>
        <v>26.994</v>
      </c>
      <c r="G8" s="243">
        <f>F8</f>
        <v>26.994</v>
      </c>
      <c r="H8" s="244" t="s">
        <v>1076</v>
      </c>
      <c r="I8" s="266">
        <v>0.9</v>
      </c>
      <c r="J8" s="254">
        <f>Insumos!D16</f>
        <v>0</v>
      </c>
      <c r="K8" s="263">
        <f>TRUNC(G8*I8*J8,2)</f>
        <v>0</v>
      </c>
    </row>
    <row r="9" spans="1:11" s="247" customFormat="1" ht="30" x14ac:dyDescent="0.25">
      <c r="A9" s="34" t="s">
        <v>1205</v>
      </c>
      <c r="B9" s="255" t="s">
        <v>1126</v>
      </c>
      <c r="C9" s="243"/>
      <c r="D9" s="243"/>
      <c r="E9" s="243"/>
      <c r="F9" s="243">
        <f>F7</f>
        <v>343.68270000000001</v>
      </c>
      <c r="G9" s="243">
        <f>C6*D6</f>
        <v>343.68270000000001</v>
      </c>
      <c r="H9" s="244" t="s">
        <v>1076</v>
      </c>
      <c r="I9" s="266">
        <v>0.9</v>
      </c>
      <c r="J9" s="254">
        <f>Insumos!D27</f>
        <v>0</v>
      </c>
      <c r="K9" s="263">
        <f>TRUNC(G9*I9*J9,2)</f>
        <v>0</v>
      </c>
    </row>
    <row r="10" spans="1:11" s="247" customFormat="1" x14ac:dyDescent="0.25">
      <c r="A10" s="394"/>
      <c r="B10" s="386"/>
      <c r="C10" s="382"/>
      <c r="D10" s="382"/>
      <c r="E10" s="382"/>
      <c r="F10" s="382"/>
      <c r="G10" s="382"/>
      <c r="H10" s="382"/>
      <c r="I10" s="382"/>
      <c r="J10" s="399" t="s">
        <v>1064</v>
      </c>
      <c r="K10" s="400">
        <f>SUM(K6:K9)</f>
        <v>0</v>
      </c>
    </row>
    <row r="11" spans="1:11" s="247" customFormat="1" x14ac:dyDescent="0.25">
      <c r="A11" s="401" t="s">
        <v>188</v>
      </c>
      <c r="B11" s="179" t="s">
        <v>1219</v>
      </c>
      <c r="C11" s="383"/>
      <c r="D11" s="383"/>
      <c r="E11" s="383"/>
      <c r="F11" s="383"/>
      <c r="G11" s="383"/>
      <c r="H11" s="383"/>
      <c r="I11" s="383"/>
      <c r="J11" s="383"/>
      <c r="K11" s="408"/>
    </row>
    <row r="12" spans="1:11" x14ac:dyDescent="0.25">
      <c r="A12" s="611" t="s">
        <v>1196</v>
      </c>
      <c r="B12" s="612" t="s">
        <v>1067</v>
      </c>
      <c r="C12" s="643" t="s">
        <v>1197</v>
      </c>
      <c r="D12" s="643"/>
      <c r="E12" s="643"/>
      <c r="F12" s="643"/>
      <c r="G12" s="619" t="s">
        <v>14</v>
      </c>
      <c r="H12" s="610" t="s">
        <v>1068</v>
      </c>
      <c r="I12" s="608" t="s">
        <v>35</v>
      </c>
      <c r="J12" s="610" t="s">
        <v>1069</v>
      </c>
      <c r="K12" s="610" t="s">
        <v>16</v>
      </c>
    </row>
    <row r="13" spans="1:11" x14ac:dyDescent="0.25">
      <c r="A13" s="611"/>
      <c r="B13" s="612"/>
      <c r="C13" s="384"/>
      <c r="D13" s="384"/>
      <c r="E13" s="384"/>
      <c r="F13" s="384"/>
      <c r="G13" s="620"/>
      <c r="H13" s="610"/>
      <c r="I13" s="609"/>
      <c r="J13" s="610"/>
      <c r="K13" s="610"/>
    </row>
    <row r="14" spans="1:11" x14ac:dyDescent="0.25">
      <c r="A14" s="124" t="s">
        <v>1206</v>
      </c>
      <c r="B14" s="6" t="s">
        <v>1147</v>
      </c>
      <c r="C14" s="243"/>
      <c r="D14" s="243"/>
      <c r="E14" s="243"/>
      <c r="F14" s="243"/>
      <c r="G14" s="143">
        <v>4</v>
      </c>
      <c r="H14" s="140" t="s">
        <v>1140</v>
      </c>
      <c r="I14" s="150">
        <f>G14/SUM($G$14:$G$19)</f>
        <v>6.0606060606060608E-2</v>
      </c>
      <c r="J14" s="167">
        <f>Insumos!D49</f>
        <v>0</v>
      </c>
      <c r="K14" s="215">
        <f t="shared" ref="K14:K19" si="0">TRUNC(G14*I14*J14,2)</f>
        <v>0</v>
      </c>
    </row>
    <row r="15" spans="1:11" x14ac:dyDescent="0.25">
      <c r="A15" s="124" t="s">
        <v>1207</v>
      </c>
      <c r="B15" s="6" t="s">
        <v>1148</v>
      </c>
      <c r="C15" s="243"/>
      <c r="D15" s="243"/>
      <c r="E15" s="243"/>
      <c r="F15" s="243"/>
      <c r="G15" s="143">
        <v>4</v>
      </c>
      <c r="H15" s="140" t="s">
        <v>1140</v>
      </c>
      <c r="I15" s="150">
        <f t="shared" ref="I15:I19" si="1">G15/SUM($G$14:$G$19)</f>
        <v>6.0606060606060608E-2</v>
      </c>
      <c r="J15" s="167">
        <f>Insumos!D50</f>
        <v>0</v>
      </c>
      <c r="K15" s="215">
        <f t="shared" si="0"/>
        <v>0</v>
      </c>
    </row>
    <row r="16" spans="1:11" x14ac:dyDescent="0.25">
      <c r="A16" s="124" t="s">
        <v>1208</v>
      </c>
      <c r="B16" s="6" t="s">
        <v>1149</v>
      </c>
      <c r="C16" s="243"/>
      <c r="D16" s="243"/>
      <c r="E16" s="243"/>
      <c r="F16" s="243"/>
      <c r="G16" s="143">
        <v>4</v>
      </c>
      <c r="H16" s="140" t="s">
        <v>1140</v>
      </c>
      <c r="I16" s="150">
        <f t="shared" si="1"/>
        <v>6.0606060606060608E-2</v>
      </c>
      <c r="J16" s="167">
        <f>Insumos!D51</f>
        <v>0</v>
      </c>
      <c r="K16" s="215">
        <f t="shared" si="0"/>
        <v>0</v>
      </c>
    </row>
    <row r="17" spans="1:11" x14ac:dyDescent="0.25">
      <c r="A17" s="124" t="s">
        <v>1209</v>
      </c>
      <c r="B17" s="6" t="s">
        <v>1150</v>
      </c>
      <c r="C17" s="243"/>
      <c r="D17" s="243"/>
      <c r="E17" s="243"/>
      <c r="F17" s="243"/>
      <c r="G17" s="143">
        <v>40</v>
      </c>
      <c r="H17" s="140" t="s">
        <v>1151</v>
      </c>
      <c r="I17" s="150">
        <f t="shared" si="1"/>
        <v>0.60606060606060608</v>
      </c>
      <c r="J17" s="167">
        <f>Insumos!D52</f>
        <v>0</v>
      </c>
      <c r="K17" s="215">
        <f t="shared" si="0"/>
        <v>0</v>
      </c>
    </row>
    <row r="18" spans="1:11" x14ac:dyDescent="0.25">
      <c r="A18" s="124" t="s">
        <v>1210</v>
      </c>
      <c r="B18" s="6" t="s">
        <v>1152</v>
      </c>
      <c r="C18" s="243"/>
      <c r="D18" s="243"/>
      <c r="E18" s="243"/>
      <c r="F18" s="243"/>
      <c r="G18" s="143">
        <v>4</v>
      </c>
      <c r="H18" s="140" t="s">
        <v>1124</v>
      </c>
      <c r="I18" s="150">
        <f t="shared" si="1"/>
        <v>6.0606060606060608E-2</v>
      </c>
      <c r="J18" s="167">
        <f>Insumos!D53</f>
        <v>0</v>
      </c>
      <c r="K18" s="215">
        <f t="shared" si="0"/>
        <v>0</v>
      </c>
    </row>
    <row r="19" spans="1:11" x14ac:dyDescent="0.25">
      <c r="A19" s="124" t="s">
        <v>1211</v>
      </c>
      <c r="B19" s="6" t="s">
        <v>1248</v>
      </c>
      <c r="C19" s="243"/>
      <c r="D19" s="243"/>
      <c r="E19" s="243"/>
      <c r="F19" s="243"/>
      <c r="G19" s="143">
        <v>10</v>
      </c>
      <c r="H19" s="140" t="s">
        <v>1154</v>
      </c>
      <c r="I19" s="150">
        <f t="shared" si="1"/>
        <v>0.15151515151515152</v>
      </c>
      <c r="J19" s="167">
        <f>Insumos!D54</f>
        <v>0</v>
      </c>
      <c r="K19" s="215">
        <f t="shared" si="0"/>
        <v>0</v>
      </c>
    </row>
    <row r="20" spans="1:11" x14ac:dyDescent="0.25">
      <c r="A20" s="152"/>
      <c r="B20" s="159"/>
      <c r="C20" s="382"/>
      <c r="D20" s="382"/>
      <c r="E20" s="382"/>
      <c r="F20" s="382"/>
      <c r="G20" s="154"/>
      <c r="H20" s="157"/>
      <c r="I20" s="157"/>
      <c r="J20" s="192" t="s">
        <v>1064</v>
      </c>
      <c r="K20" s="217">
        <f>SUM(K14:K19)</f>
        <v>0</v>
      </c>
    </row>
    <row r="21" spans="1:11" x14ac:dyDescent="0.25">
      <c r="A21" s="146" t="s">
        <v>189</v>
      </c>
      <c r="B21" s="179" t="s">
        <v>1155</v>
      </c>
      <c r="C21" s="383"/>
      <c r="D21" s="383"/>
      <c r="E21" s="383"/>
      <c r="F21" s="383"/>
      <c r="G21" s="148"/>
      <c r="H21" s="148"/>
      <c r="I21" s="148"/>
      <c r="J21" s="148"/>
      <c r="K21" s="188"/>
    </row>
    <row r="22" spans="1:11" x14ac:dyDescent="0.25">
      <c r="A22" s="611" t="s">
        <v>1196</v>
      </c>
      <c r="B22" s="612" t="s">
        <v>1067</v>
      </c>
      <c r="C22" s="637" t="s">
        <v>1197</v>
      </c>
      <c r="D22" s="638"/>
      <c r="E22" s="638"/>
      <c r="F22" s="639"/>
      <c r="G22" s="619" t="s">
        <v>14</v>
      </c>
      <c r="H22" s="610" t="s">
        <v>1068</v>
      </c>
      <c r="I22" s="608" t="s">
        <v>35</v>
      </c>
      <c r="J22" s="610" t="s">
        <v>1249</v>
      </c>
      <c r="K22" s="610" t="s">
        <v>16</v>
      </c>
    </row>
    <row r="23" spans="1:11" x14ac:dyDescent="0.25">
      <c r="A23" s="611"/>
      <c r="B23" s="612"/>
      <c r="C23" s="640"/>
      <c r="D23" s="641"/>
      <c r="E23" s="641"/>
      <c r="F23" s="642"/>
      <c r="G23" s="620"/>
      <c r="H23" s="610"/>
      <c r="I23" s="609"/>
      <c r="J23" s="610"/>
      <c r="K23" s="610"/>
    </row>
    <row r="24" spans="1:11" x14ac:dyDescent="0.25">
      <c r="A24" s="124" t="s">
        <v>1212</v>
      </c>
      <c r="B24" s="104" t="s">
        <v>1156</v>
      </c>
      <c r="C24" s="313"/>
      <c r="D24" s="313"/>
      <c r="E24" s="313"/>
      <c r="F24" s="313"/>
      <c r="G24" s="143">
        <f>G9/60</f>
        <v>5.7280449999999998</v>
      </c>
      <c r="H24" s="140" t="s">
        <v>1228</v>
      </c>
      <c r="I24" s="150">
        <f>G24/SUM($G$24:$G$34)</f>
        <v>1.458115100914811E-2</v>
      </c>
      <c r="J24" s="167">
        <f>Insumos!D58</f>
        <v>0</v>
      </c>
      <c r="K24" s="215">
        <f t="shared" ref="K24:K34" si="2">TRUNC(G24*I24*J24,2)</f>
        <v>0</v>
      </c>
    </row>
    <row r="25" spans="1:11" x14ac:dyDescent="0.25">
      <c r="A25" s="124" t="s">
        <v>1213</v>
      </c>
      <c r="B25" s="104" t="s">
        <v>1171</v>
      </c>
      <c r="C25" s="143"/>
      <c r="D25" s="143"/>
      <c r="E25" s="143"/>
      <c r="F25" s="143"/>
      <c r="G25" s="143">
        <f>F7</f>
        <v>343.68270000000001</v>
      </c>
      <c r="H25" s="140" t="s">
        <v>1089</v>
      </c>
      <c r="I25" s="150">
        <f t="shared" ref="I25:I34" si="3">G25/SUM($G$24:$G$34)</f>
        <v>0.87486906054888669</v>
      </c>
      <c r="J25" s="167">
        <f>Insumos!D69</f>
        <v>0</v>
      </c>
      <c r="K25" s="215">
        <f t="shared" si="2"/>
        <v>0</v>
      </c>
    </row>
    <row r="26" spans="1:11" x14ac:dyDescent="0.25">
      <c r="A26" s="124" t="s">
        <v>1214</v>
      </c>
      <c r="B26" s="104" t="s">
        <v>1158</v>
      </c>
      <c r="C26" s="143"/>
      <c r="D26" s="143"/>
      <c r="E26" s="143"/>
      <c r="F26" s="143"/>
      <c r="G26" s="143">
        <f>G25*0.025</f>
        <v>8.5920675000000006</v>
      </c>
      <c r="H26" s="140" t="s">
        <v>1261</v>
      </c>
      <c r="I26" s="150">
        <f t="shared" si="3"/>
        <v>2.1871726513722167E-2</v>
      </c>
      <c r="J26" s="167">
        <f>Insumos!D60</f>
        <v>0</v>
      </c>
      <c r="K26" s="215">
        <f t="shared" si="2"/>
        <v>0</v>
      </c>
    </row>
    <row r="27" spans="1:11" x14ac:dyDescent="0.25">
      <c r="A27" s="124" t="s">
        <v>1215</v>
      </c>
      <c r="B27" s="104" t="s">
        <v>1160</v>
      </c>
      <c r="C27" s="143"/>
      <c r="D27" s="143"/>
      <c r="E27" s="143"/>
      <c r="F27" s="143"/>
      <c r="G27" s="143">
        <f>G25*0.025</f>
        <v>8.5920675000000006</v>
      </c>
      <c r="H27" s="140" t="s">
        <v>1261</v>
      </c>
      <c r="I27" s="150">
        <f t="shared" si="3"/>
        <v>2.1871726513722167E-2</v>
      </c>
      <c r="J27" s="167">
        <f>Insumos!D61</f>
        <v>0</v>
      </c>
      <c r="K27" s="215">
        <f t="shared" si="2"/>
        <v>0</v>
      </c>
    </row>
    <row r="28" spans="1:11" x14ac:dyDescent="0.25">
      <c r="A28" s="124" t="s">
        <v>1216</v>
      </c>
      <c r="B28" s="104" t="s">
        <v>1161</v>
      </c>
      <c r="C28" s="143"/>
      <c r="D28" s="143"/>
      <c r="E28" s="143"/>
      <c r="F28" s="143"/>
      <c r="G28" s="143">
        <f>G25*0.05</f>
        <v>17.184135000000001</v>
      </c>
      <c r="H28" s="140" t="s">
        <v>1162</v>
      </c>
      <c r="I28" s="150">
        <f t="shared" si="3"/>
        <v>4.3743453027444333E-2</v>
      </c>
      <c r="J28" s="167">
        <f>Insumos!D62</f>
        <v>0</v>
      </c>
      <c r="K28" s="215">
        <f t="shared" si="2"/>
        <v>0</v>
      </c>
    </row>
    <row r="29" spans="1:11" x14ac:dyDescent="0.25">
      <c r="A29" s="124" t="s">
        <v>1217</v>
      </c>
      <c r="B29" s="104" t="s">
        <v>1163</v>
      </c>
      <c r="C29" s="143"/>
      <c r="D29" s="143"/>
      <c r="E29" s="143"/>
      <c r="F29" s="143"/>
      <c r="G29" s="195">
        <v>2</v>
      </c>
      <c r="H29" s="140" t="s">
        <v>1280</v>
      </c>
      <c r="I29" s="150">
        <f t="shared" si="3"/>
        <v>5.0911440148071847E-3</v>
      </c>
      <c r="J29" s="167">
        <f>Insumos!D63</f>
        <v>0</v>
      </c>
      <c r="K29" s="215">
        <f t="shared" si="2"/>
        <v>0</v>
      </c>
    </row>
    <row r="30" spans="1:11" x14ac:dyDescent="0.25">
      <c r="A30" s="124" t="s">
        <v>1220</v>
      </c>
      <c r="B30" s="104" t="s">
        <v>1164</v>
      </c>
      <c r="C30" s="143"/>
      <c r="D30" s="143"/>
      <c r="E30" s="143"/>
      <c r="F30" s="143"/>
      <c r="G30" s="143">
        <v>2</v>
      </c>
      <c r="H30" s="140" t="s">
        <v>1280</v>
      </c>
      <c r="I30" s="150">
        <f t="shared" si="3"/>
        <v>5.0911440148071847E-3</v>
      </c>
      <c r="J30" s="167">
        <f>Insumos!D64</f>
        <v>0</v>
      </c>
      <c r="K30" s="215">
        <f t="shared" si="2"/>
        <v>0</v>
      </c>
    </row>
    <row r="31" spans="1:11" x14ac:dyDescent="0.25">
      <c r="A31" s="124" t="s">
        <v>1222</v>
      </c>
      <c r="B31" s="104" t="s">
        <v>1165</v>
      </c>
      <c r="C31" s="143"/>
      <c r="D31" s="143"/>
      <c r="E31" s="143"/>
      <c r="F31" s="143"/>
      <c r="G31" s="143">
        <v>2</v>
      </c>
      <c r="H31" s="140" t="s">
        <v>1280</v>
      </c>
      <c r="I31" s="150">
        <f t="shared" si="3"/>
        <v>5.0911440148071847E-3</v>
      </c>
      <c r="J31" s="167">
        <f>Insumos!D65</f>
        <v>0</v>
      </c>
      <c r="K31" s="215">
        <f t="shared" si="2"/>
        <v>0</v>
      </c>
    </row>
    <row r="32" spans="1:11" x14ac:dyDescent="0.25">
      <c r="A32" s="124" t="s">
        <v>1223</v>
      </c>
      <c r="B32" s="104" t="s">
        <v>1166</v>
      </c>
      <c r="C32" s="143"/>
      <c r="D32" s="143"/>
      <c r="E32" s="143"/>
      <c r="F32" s="143"/>
      <c r="G32" s="143">
        <v>1.1000000000000001</v>
      </c>
      <c r="H32" s="140" t="s">
        <v>1280</v>
      </c>
      <c r="I32" s="150">
        <f t="shared" si="3"/>
        <v>2.8001292081439519E-3</v>
      </c>
      <c r="J32" s="167">
        <f>Insumos!D66</f>
        <v>0</v>
      </c>
      <c r="K32" s="215">
        <f t="shared" si="2"/>
        <v>0</v>
      </c>
    </row>
    <row r="33" spans="1:11" x14ac:dyDescent="0.25">
      <c r="A33" s="124" t="s">
        <v>1224</v>
      </c>
      <c r="B33" s="104" t="s">
        <v>1167</v>
      </c>
      <c r="C33" s="143"/>
      <c r="D33" s="143"/>
      <c r="E33" s="143"/>
      <c r="F33" s="143"/>
      <c r="G33" s="143">
        <v>0.96</v>
      </c>
      <c r="H33" s="140" t="s">
        <v>1269</v>
      </c>
      <c r="I33" s="150">
        <f t="shared" si="3"/>
        <v>2.4437491271074485E-3</v>
      </c>
      <c r="J33" s="167">
        <f>Insumos!D67</f>
        <v>0</v>
      </c>
      <c r="K33" s="215">
        <f t="shared" si="2"/>
        <v>0</v>
      </c>
    </row>
    <row r="34" spans="1:11" x14ac:dyDescent="0.25">
      <c r="A34" s="124" t="s">
        <v>1225</v>
      </c>
      <c r="B34" s="104" t="s">
        <v>1169</v>
      </c>
      <c r="C34" s="143"/>
      <c r="D34" s="143"/>
      <c r="E34" s="143"/>
      <c r="F34" s="143"/>
      <c r="G34" s="143">
        <v>1</v>
      </c>
      <c r="H34" s="140" t="s">
        <v>1170</v>
      </c>
      <c r="I34" s="150">
        <f t="shared" si="3"/>
        <v>2.5455720074035923E-3</v>
      </c>
      <c r="J34" s="167">
        <f>Insumos!D68</f>
        <v>0</v>
      </c>
      <c r="K34" s="215">
        <f t="shared" si="2"/>
        <v>0</v>
      </c>
    </row>
    <row r="35" spans="1:11" x14ac:dyDescent="0.25">
      <c r="A35" s="152"/>
      <c r="B35" s="159"/>
      <c r="C35" s="159"/>
      <c r="D35" s="159"/>
      <c r="E35" s="159"/>
      <c r="F35" s="159"/>
      <c r="G35" s="159"/>
      <c r="H35" s="159"/>
      <c r="I35" s="159"/>
      <c r="J35" s="170" t="s">
        <v>1064</v>
      </c>
      <c r="K35" s="218">
        <f>SUM(K24:K34)</f>
        <v>0</v>
      </c>
    </row>
    <row r="36" spans="1:11" x14ac:dyDescent="0.25">
      <c r="A36" s="146" t="s">
        <v>190</v>
      </c>
      <c r="B36" s="179" t="s">
        <v>1176</v>
      </c>
      <c r="C36" s="148"/>
      <c r="D36" s="148"/>
      <c r="E36" s="148"/>
      <c r="F36" s="148"/>
      <c r="G36" s="148"/>
      <c r="H36" s="148"/>
      <c r="I36" s="148"/>
      <c r="J36" s="148"/>
      <c r="K36" s="188"/>
    </row>
    <row r="37" spans="1:11" x14ac:dyDescent="0.25">
      <c r="A37" s="611" t="s">
        <v>1196</v>
      </c>
      <c r="B37" s="612" t="s">
        <v>1067</v>
      </c>
      <c r="C37" s="613" t="s">
        <v>1197</v>
      </c>
      <c r="D37" s="614"/>
      <c r="E37" s="614"/>
      <c r="F37" s="615"/>
      <c r="G37" s="619" t="s">
        <v>14</v>
      </c>
      <c r="H37" s="610" t="s">
        <v>1068</v>
      </c>
      <c r="I37" s="608" t="s">
        <v>35</v>
      </c>
      <c r="J37" s="610" t="s">
        <v>1249</v>
      </c>
      <c r="K37" s="610" t="s">
        <v>16</v>
      </c>
    </row>
    <row r="38" spans="1:11" x14ac:dyDescent="0.25">
      <c r="A38" s="611"/>
      <c r="B38" s="612"/>
      <c r="C38" s="616"/>
      <c r="D38" s="617"/>
      <c r="E38" s="617"/>
      <c r="F38" s="618"/>
      <c r="G38" s="620"/>
      <c r="H38" s="610"/>
      <c r="I38" s="609"/>
      <c r="J38" s="610"/>
      <c r="K38" s="610"/>
    </row>
    <row r="39" spans="1:11" x14ac:dyDescent="0.25">
      <c r="A39" s="124" t="s">
        <v>1226</v>
      </c>
      <c r="B39" s="6" t="s">
        <v>1242</v>
      </c>
      <c r="C39" s="605"/>
      <c r="D39" s="606"/>
      <c r="E39" s="606"/>
      <c r="F39" s="607"/>
      <c r="G39" s="143">
        <v>4</v>
      </c>
      <c r="H39" s="140" t="s">
        <v>1140</v>
      </c>
      <c r="I39" s="150">
        <v>4</v>
      </c>
      <c r="J39" s="167">
        <f>Insumos!D75</f>
        <v>0</v>
      </c>
      <c r="K39" s="215">
        <f>TRUNC(G39*I39*J39,2)</f>
        <v>0</v>
      </c>
    </row>
    <row r="40" spans="1:11" x14ac:dyDescent="0.25">
      <c r="A40" s="152"/>
      <c r="B40" s="159"/>
      <c r="C40" s="159"/>
      <c r="D40" s="159"/>
      <c r="E40" s="159"/>
      <c r="F40" s="159"/>
      <c r="G40" s="159"/>
      <c r="H40" s="159"/>
      <c r="I40" s="159"/>
      <c r="J40" s="170" t="s">
        <v>1064</v>
      </c>
      <c r="K40" s="218">
        <f>SUM(K39)</f>
        <v>0</v>
      </c>
    </row>
    <row r="41" spans="1:11" x14ac:dyDescent="0.25">
      <c r="A41" s="146" t="s">
        <v>191</v>
      </c>
      <c r="B41" s="179" t="s">
        <v>1178</v>
      </c>
      <c r="C41" s="148"/>
      <c r="D41" s="148"/>
      <c r="E41" s="148"/>
      <c r="F41" s="148"/>
      <c r="G41" s="148"/>
      <c r="H41" s="148"/>
      <c r="I41" s="148"/>
      <c r="J41" s="148"/>
      <c r="K41" s="188"/>
    </row>
    <row r="42" spans="1:11" x14ac:dyDescent="0.25">
      <c r="A42" s="611" t="s">
        <v>1196</v>
      </c>
      <c r="B42" s="612" t="s">
        <v>1067</v>
      </c>
      <c r="C42" s="613" t="s">
        <v>1197</v>
      </c>
      <c r="D42" s="614"/>
      <c r="E42" s="614"/>
      <c r="F42" s="615"/>
      <c r="G42" s="619" t="s">
        <v>14</v>
      </c>
      <c r="H42" s="610" t="s">
        <v>1068</v>
      </c>
      <c r="I42" s="608" t="s">
        <v>35</v>
      </c>
      <c r="J42" s="610" t="s">
        <v>1249</v>
      </c>
      <c r="K42" s="610" t="s">
        <v>16</v>
      </c>
    </row>
    <row r="43" spans="1:11" x14ac:dyDescent="0.25">
      <c r="A43" s="611"/>
      <c r="B43" s="612"/>
      <c r="C43" s="616"/>
      <c r="D43" s="617"/>
      <c r="E43" s="617"/>
      <c r="F43" s="618"/>
      <c r="G43" s="620"/>
      <c r="H43" s="610"/>
      <c r="I43" s="609"/>
      <c r="J43" s="610"/>
      <c r="K43" s="610"/>
    </row>
    <row r="44" spans="1:11" x14ac:dyDescent="0.25">
      <c r="A44" s="124" t="s">
        <v>1227</v>
      </c>
      <c r="B44" s="6" t="s">
        <v>1281</v>
      </c>
      <c r="C44" s="605"/>
      <c r="D44" s="606"/>
      <c r="E44" s="606"/>
      <c r="F44" s="607"/>
      <c r="G44" s="143">
        <v>2</v>
      </c>
      <c r="H44" s="140" t="s">
        <v>1140</v>
      </c>
      <c r="I44" s="150">
        <v>4</v>
      </c>
      <c r="J44" s="167">
        <f>Insumos!D78</f>
        <v>0</v>
      </c>
      <c r="K44" s="215">
        <f>TRUNC(G44*I44*J44,2)</f>
        <v>0</v>
      </c>
    </row>
    <row r="45" spans="1:11" x14ac:dyDescent="0.25">
      <c r="A45" s="152"/>
      <c r="B45" s="159"/>
      <c r="C45" s="159"/>
      <c r="D45" s="159"/>
      <c r="E45" s="159"/>
      <c r="F45" s="159"/>
      <c r="G45" s="159"/>
      <c r="H45" s="159"/>
      <c r="I45" s="159"/>
      <c r="J45" s="170" t="s">
        <v>1064</v>
      </c>
      <c r="K45" s="218">
        <f>K44</f>
        <v>0</v>
      </c>
    </row>
    <row r="46" spans="1:11" x14ac:dyDescent="0.25">
      <c r="A46" s="146" t="s">
        <v>192</v>
      </c>
      <c r="B46" s="179" t="s">
        <v>1180</v>
      </c>
      <c r="C46" s="148"/>
      <c r="D46" s="148"/>
      <c r="E46" s="148"/>
      <c r="F46" s="148"/>
      <c r="G46" s="148"/>
      <c r="H46" s="148"/>
      <c r="I46" s="148"/>
      <c r="J46" s="148"/>
      <c r="K46" s="188"/>
    </row>
    <row r="47" spans="1:11" x14ac:dyDescent="0.25">
      <c r="A47" s="611" t="s">
        <v>1196</v>
      </c>
      <c r="B47" s="612" t="s">
        <v>1067</v>
      </c>
      <c r="C47" s="613" t="s">
        <v>1197</v>
      </c>
      <c r="D47" s="614"/>
      <c r="E47" s="614"/>
      <c r="F47" s="615"/>
      <c r="G47" s="619" t="s">
        <v>14</v>
      </c>
      <c r="H47" s="610" t="s">
        <v>1068</v>
      </c>
      <c r="I47" s="608" t="s">
        <v>35</v>
      </c>
      <c r="J47" s="610" t="s">
        <v>1249</v>
      </c>
      <c r="K47" s="610" t="s">
        <v>16</v>
      </c>
    </row>
    <row r="48" spans="1:11" x14ac:dyDescent="0.25">
      <c r="A48" s="611"/>
      <c r="B48" s="612"/>
      <c r="C48" s="616"/>
      <c r="D48" s="617"/>
      <c r="E48" s="617"/>
      <c r="F48" s="618"/>
      <c r="G48" s="620"/>
      <c r="H48" s="610"/>
      <c r="I48" s="609"/>
      <c r="J48" s="610"/>
      <c r="K48" s="610"/>
    </row>
    <row r="49" spans="1:11" x14ac:dyDescent="0.25">
      <c r="A49" s="124" t="s">
        <v>1229</v>
      </c>
      <c r="B49" s="6" t="s">
        <v>1181</v>
      </c>
      <c r="C49" s="605"/>
      <c r="D49" s="606"/>
      <c r="E49" s="606"/>
      <c r="F49" s="607"/>
      <c r="G49" s="143">
        <v>2</v>
      </c>
      <c r="H49" s="140" t="s">
        <v>1140</v>
      </c>
      <c r="I49" s="150">
        <f>G49/SUM($G$49:$G$51)</f>
        <v>0.33333333333333331</v>
      </c>
      <c r="J49" s="167">
        <f>Insumos!D81</f>
        <v>0</v>
      </c>
      <c r="K49" s="215">
        <f>TRUNC(G49*I49*J49,2)</f>
        <v>0</v>
      </c>
    </row>
    <row r="50" spans="1:11" x14ac:dyDescent="0.25">
      <c r="A50" s="124" t="s">
        <v>1231</v>
      </c>
      <c r="B50" s="6" t="s">
        <v>1182</v>
      </c>
      <c r="C50" s="605"/>
      <c r="D50" s="606"/>
      <c r="E50" s="606"/>
      <c r="F50" s="607"/>
      <c r="G50" s="143">
        <v>2</v>
      </c>
      <c r="H50" s="140" t="s">
        <v>1140</v>
      </c>
      <c r="I50" s="150">
        <f t="shared" ref="I50:I51" si="4">G50/SUM($G$49:$G$51)</f>
        <v>0.33333333333333331</v>
      </c>
      <c r="J50" s="167">
        <f>Insumos!D82</f>
        <v>0</v>
      </c>
      <c r="K50" s="215">
        <f>TRUNC(G50*I50*J50,2)</f>
        <v>0</v>
      </c>
    </row>
    <row r="51" spans="1:11" x14ac:dyDescent="0.25">
      <c r="A51" s="124" t="s">
        <v>1232</v>
      </c>
      <c r="B51" s="6" t="s">
        <v>1183</v>
      </c>
      <c r="C51" s="605"/>
      <c r="D51" s="606"/>
      <c r="E51" s="606"/>
      <c r="F51" s="607"/>
      <c r="G51" s="143">
        <v>2</v>
      </c>
      <c r="H51" s="140" t="s">
        <v>1140</v>
      </c>
      <c r="I51" s="150">
        <f t="shared" si="4"/>
        <v>0.33333333333333331</v>
      </c>
      <c r="J51" s="167">
        <f>Insumos!D83</f>
        <v>0</v>
      </c>
      <c r="K51" s="215">
        <f>TRUNC(G51*I51*J51,2)</f>
        <v>0</v>
      </c>
    </row>
    <row r="52" spans="1:11" x14ac:dyDescent="0.25">
      <c r="A52" s="152"/>
      <c r="B52" s="159"/>
      <c r="C52" s="159"/>
      <c r="D52" s="159"/>
      <c r="E52" s="159"/>
      <c r="F52" s="159"/>
      <c r="G52" s="159"/>
      <c r="H52" s="159"/>
      <c r="I52" s="159"/>
      <c r="J52" s="170" t="s">
        <v>1064</v>
      </c>
      <c r="K52" s="218">
        <f>SUM(K49:K51)</f>
        <v>0</v>
      </c>
    </row>
  </sheetData>
  <mergeCells count="55">
    <mergeCell ref="C49:F49"/>
    <mergeCell ref="C50:F50"/>
    <mergeCell ref="C51:F51"/>
    <mergeCell ref="K42:K43"/>
    <mergeCell ref="C44:F44"/>
    <mergeCell ref="I47:I48"/>
    <mergeCell ref="J47:J48"/>
    <mergeCell ref="K47:K48"/>
    <mergeCell ref="A47:A48"/>
    <mergeCell ref="B47:B48"/>
    <mergeCell ref="C47:F48"/>
    <mergeCell ref="G47:G48"/>
    <mergeCell ref="H47:H48"/>
    <mergeCell ref="J37:J38"/>
    <mergeCell ref="K37:K38"/>
    <mergeCell ref="C39:F39"/>
    <mergeCell ref="A42:A43"/>
    <mergeCell ref="B42:B43"/>
    <mergeCell ref="C42:F43"/>
    <mergeCell ref="G42:G43"/>
    <mergeCell ref="H42:H43"/>
    <mergeCell ref="I42:I43"/>
    <mergeCell ref="J42:J43"/>
    <mergeCell ref="A37:A38"/>
    <mergeCell ref="B37:B38"/>
    <mergeCell ref="C37:F38"/>
    <mergeCell ref="G37:G38"/>
    <mergeCell ref="H37:H38"/>
    <mergeCell ref="I37:I38"/>
    <mergeCell ref="J12:J13"/>
    <mergeCell ref="K12:K13"/>
    <mergeCell ref="A22:A23"/>
    <mergeCell ref="B22:B23"/>
    <mergeCell ref="C22:F23"/>
    <mergeCell ref="G22:G23"/>
    <mergeCell ref="H22:H23"/>
    <mergeCell ref="I22:I23"/>
    <mergeCell ref="J22:J23"/>
    <mergeCell ref="K22:K23"/>
    <mergeCell ref="A12:A13"/>
    <mergeCell ref="B12:B13"/>
    <mergeCell ref="C12:F12"/>
    <mergeCell ref="G12:G13"/>
    <mergeCell ref="H12:H13"/>
    <mergeCell ref="I12:I13"/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</mergeCells>
  <pageMargins left="0.511811024" right="0.511811024" top="0.78740157499999996" bottom="0.78740157499999996" header="0.31496062000000002" footer="0.31496062000000002"/>
  <pageSetup paperSize="9" scale="53" fitToHeight="0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view="pageBreakPreview" topLeftCell="A27" zoomScale="80" zoomScaleNormal="70" zoomScaleSheetLayoutView="80" workbookViewId="0">
      <selection activeCell="B3" sqref="B3:F3"/>
    </sheetView>
  </sheetViews>
  <sheetFormatPr defaultRowHeight="15" x14ac:dyDescent="0.25"/>
  <cols>
    <col min="1" max="1" width="11.85546875" customWidth="1"/>
    <col min="2" max="2" width="65.42578125" customWidth="1"/>
    <col min="3" max="4" width="8.42578125" customWidth="1"/>
    <col min="5" max="5" width="7.7109375" customWidth="1"/>
    <col min="6" max="7" width="10.85546875" customWidth="1"/>
    <col min="8" max="8" width="9" customWidth="1"/>
    <col min="9" max="9" width="8.5703125" bestFit="1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30</v>
      </c>
      <c r="B2" s="184" t="s">
        <v>1916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197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1104</v>
      </c>
      <c r="C6" s="243">
        <v>9.24</v>
      </c>
      <c r="D6" s="243">
        <v>12.97</v>
      </c>
      <c r="E6" s="243"/>
      <c r="F6" s="243">
        <f>D6*C6</f>
        <v>119.84280000000001</v>
      </c>
      <c r="G6" s="243">
        <f>F6</f>
        <v>119.84280000000001</v>
      </c>
      <c r="H6" s="244" t="s">
        <v>1076</v>
      </c>
      <c r="I6" s="266">
        <v>1</v>
      </c>
      <c r="J6" s="254">
        <f>Insumos!D15</f>
        <v>0</v>
      </c>
      <c r="K6" s="263">
        <f>TRUNC(G6*I6*J6,2)</f>
        <v>0</v>
      </c>
    </row>
    <row r="7" spans="1:11" s="247" customFormat="1" x14ac:dyDescent="0.25">
      <c r="A7" s="34" t="s">
        <v>1204</v>
      </c>
      <c r="B7" s="251" t="s">
        <v>1085</v>
      </c>
      <c r="C7" s="242">
        <f>C6</f>
        <v>9.24</v>
      </c>
      <c r="D7" s="242">
        <f>D6</f>
        <v>12.97</v>
      </c>
      <c r="E7" s="242"/>
      <c r="F7" s="243">
        <f>C7*D7</f>
        <v>119.84280000000001</v>
      </c>
      <c r="G7" s="243">
        <f>C7*D7</f>
        <v>119.84280000000001</v>
      </c>
      <c r="H7" s="244" t="s">
        <v>1076</v>
      </c>
      <c r="I7" s="266">
        <v>1</v>
      </c>
      <c r="J7" s="254">
        <f>Insumos!D7</f>
        <v>0</v>
      </c>
      <c r="K7" s="263">
        <f>TRUNC(G7*I7*J7,2)</f>
        <v>0</v>
      </c>
    </row>
    <row r="8" spans="1:11" s="247" customFormat="1" x14ac:dyDescent="0.25">
      <c r="A8" s="34" t="s">
        <v>1203</v>
      </c>
      <c r="B8" s="251" t="s">
        <v>1106</v>
      </c>
      <c r="C8" s="243"/>
      <c r="D8" s="243">
        <f>D6*2</f>
        <v>25.94</v>
      </c>
      <c r="E8" s="243">
        <v>1.1000000000000001</v>
      </c>
      <c r="F8" s="243">
        <f>D8*E8</f>
        <v>28.534000000000002</v>
      </c>
      <c r="G8" s="243">
        <f>D8*E8</f>
        <v>28.534000000000002</v>
      </c>
      <c r="H8" s="244" t="s">
        <v>1076</v>
      </c>
      <c r="I8" s="266">
        <v>1</v>
      </c>
      <c r="J8" s="254">
        <f>Insumos!D16</f>
        <v>0</v>
      </c>
      <c r="K8" s="263">
        <f>TRUNC(G8*I8*J8,2)</f>
        <v>0</v>
      </c>
    </row>
    <row r="9" spans="1:11" s="247" customFormat="1" ht="13.9" customHeight="1" x14ac:dyDescent="0.25">
      <c r="A9" s="34" t="s">
        <v>1205</v>
      </c>
      <c r="B9" s="255" t="s">
        <v>1126</v>
      </c>
      <c r="C9" s="243"/>
      <c r="D9" s="243"/>
      <c r="E9" s="243"/>
      <c r="F9" s="243">
        <f>F7</f>
        <v>119.84280000000001</v>
      </c>
      <c r="G9" s="243">
        <f>F9</f>
        <v>119.84280000000001</v>
      </c>
      <c r="H9" s="244" t="s">
        <v>1076</v>
      </c>
      <c r="I9" s="266">
        <v>1</v>
      </c>
      <c r="J9" s="254">
        <f>Insumos!D27</f>
        <v>0</v>
      </c>
      <c r="K9" s="263">
        <f>TRUNC(G9*I9*J9,2)</f>
        <v>0</v>
      </c>
    </row>
    <row r="10" spans="1:11" s="247" customFormat="1" x14ac:dyDescent="0.25">
      <c r="A10" s="394"/>
      <c r="B10" s="386"/>
      <c r="C10" s="382"/>
      <c r="D10" s="382"/>
      <c r="E10" s="382"/>
      <c r="F10" s="382"/>
      <c r="G10" s="382"/>
      <c r="H10" s="382"/>
      <c r="I10" s="382"/>
      <c r="J10" s="399" t="s">
        <v>1064</v>
      </c>
      <c r="K10" s="400">
        <f>SUM(K6:K9)</f>
        <v>0</v>
      </c>
    </row>
    <row r="11" spans="1:11" s="247" customFormat="1" x14ac:dyDescent="0.25">
      <c r="A11" s="401" t="s">
        <v>198</v>
      </c>
      <c r="B11" s="179" t="s">
        <v>1219</v>
      </c>
      <c r="C11" s="383"/>
      <c r="D11" s="383"/>
      <c r="E11" s="383"/>
      <c r="F11" s="383"/>
      <c r="G11" s="383"/>
      <c r="H11" s="383"/>
      <c r="I11" s="383"/>
      <c r="J11" s="383"/>
      <c r="K11" s="408"/>
    </row>
    <row r="12" spans="1:11" x14ac:dyDescent="0.25">
      <c r="A12" s="611" t="s">
        <v>1196</v>
      </c>
      <c r="B12" s="612" t="s">
        <v>1067</v>
      </c>
      <c r="C12" s="643" t="s">
        <v>1197</v>
      </c>
      <c r="D12" s="643"/>
      <c r="E12" s="643"/>
      <c r="F12" s="643"/>
      <c r="G12" s="619" t="s">
        <v>14</v>
      </c>
      <c r="H12" s="610" t="s">
        <v>1068</v>
      </c>
      <c r="I12" s="608" t="s">
        <v>35</v>
      </c>
      <c r="J12" s="610" t="s">
        <v>1069</v>
      </c>
      <c r="K12" s="610" t="s">
        <v>16</v>
      </c>
    </row>
    <row r="13" spans="1:11" x14ac:dyDescent="0.25">
      <c r="A13" s="611"/>
      <c r="B13" s="612"/>
      <c r="C13" s="384"/>
      <c r="D13" s="384"/>
      <c r="E13" s="384"/>
      <c r="F13" s="384"/>
      <c r="G13" s="620"/>
      <c r="H13" s="610"/>
      <c r="I13" s="609"/>
      <c r="J13" s="610"/>
      <c r="K13" s="610"/>
    </row>
    <row r="14" spans="1:11" x14ac:dyDescent="0.25">
      <c r="A14" s="124" t="s">
        <v>1206</v>
      </c>
      <c r="B14" s="6" t="s">
        <v>1147</v>
      </c>
      <c r="C14" s="243"/>
      <c r="D14" s="243"/>
      <c r="E14" s="243"/>
      <c r="F14" s="243"/>
      <c r="G14" s="143">
        <v>2</v>
      </c>
      <c r="H14" s="140" t="s">
        <v>1140</v>
      </c>
      <c r="I14" s="150">
        <f>G14/SUM($G$14:$G$19)</f>
        <v>6.0606060606060608E-2</v>
      </c>
      <c r="J14" s="167">
        <f>Insumos!D49</f>
        <v>0</v>
      </c>
      <c r="K14" s="215">
        <f t="shared" ref="K14:K19" si="0">TRUNC(G14*I14*J14,2)</f>
        <v>0</v>
      </c>
    </row>
    <row r="15" spans="1:11" x14ac:dyDescent="0.25">
      <c r="A15" s="124" t="s">
        <v>1207</v>
      </c>
      <c r="B15" s="6" t="s">
        <v>1148</v>
      </c>
      <c r="C15" s="243"/>
      <c r="D15" s="243"/>
      <c r="E15" s="243"/>
      <c r="F15" s="243"/>
      <c r="G15" s="143">
        <v>2</v>
      </c>
      <c r="H15" s="140" t="s">
        <v>1140</v>
      </c>
      <c r="I15" s="150">
        <f t="shared" ref="I15:I19" si="1">G15/SUM($G$14:$G$19)</f>
        <v>6.0606060606060608E-2</v>
      </c>
      <c r="J15" s="167">
        <f>Insumos!D50</f>
        <v>0</v>
      </c>
      <c r="K15" s="215">
        <f t="shared" si="0"/>
        <v>0</v>
      </c>
    </row>
    <row r="16" spans="1:11" x14ac:dyDescent="0.25">
      <c r="A16" s="124" t="s">
        <v>1208</v>
      </c>
      <c r="B16" s="6" t="s">
        <v>1149</v>
      </c>
      <c r="C16" s="243"/>
      <c r="D16" s="243"/>
      <c r="E16" s="243"/>
      <c r="F16" s="243"/>
      <c r="G16" s="143">
        <v>2</v>
      </c>
      <c r="H16" s="140" t="s">
        <v>1140</v>
      </c>
      <c r="I16" s="150">
        <f t="shared" si="1"/>
        <v>6.0606060606060608E-2</v>
      </c>
      <c r="J16" s="167">
        <f>Insumos!D51</f>
        <v>0</v>
      </c>
      <c r="K16" s="215">
        <f t="shared" si="0"/>
        <v>0</v>
      </c>
    </row>
    <row r="17" spans="1:11" x14ac:dyDescent="0.25">
      <c r="A17" s="124" t="s">
        <v>1209</v>
      </c>
      <c r="B17" s="6" t="s">
        <v>1150</v>
      </c>
      <c r="C17" s="243"/>
      <c r="D17" s="243"/>
      <c r="E17" s="243"/>
      <c r="F17" s="243"/>
      <c r="G17" s="143">
        <v>20</v>
      </c>
      <c r="H17" s="140" t="s">
        <v>1151</v>
      </c>
      <c r="I17" s="150">
        <f t="shared" si="1"/>
        <v>0.60606060606060608</v>
      </c>
      <c r="J17" s="167">
        <f>Insumos!D52</f>
        <v>0</v>
      </c>
      <c r="K17" s="215">
        <f t="shared" si="0"/>
        <v>0</v>
      </c>
    </row>
    <row r="18" spans="1:11" x14ac:dyDescent="0.25">
      <c r="A18" s="124" t="s">
        <v>1210</v>
      </c>
      <c r="B18" s="6" t="s">
        <v>1152</v>
      </c>
      <c r="C18" s="243"/>
      <c r="D18" s="243"/>
      <c r="E18" s="243"/>
      <c r="F18" s="243"/>
      <c r="G18" s="143">
        <v>2</v>
      </c>
      <c r="H18" s="140" t="s">
        <v>1124</v>
      </c>
      <c r="I18" s="150">
        <f t="shared" si="1"/>
        <v>6.0606060606060608E-2</v>
      </c>
      <c r="J18" s="167">
        <f>Insumos!D53</f>
        <v>0</v>
      </c>
      <c r="K18" s="215">
        <f t="shared" si="0"/>
        <v>0</v>
      </c>
    </row>
    <row r="19" spans="1:11" x14ac:dyDescent="0.25">
      <c r="A19" s="124" t="s">
        <v>1211</v>
      </c>
      <c r="B19" s="6" t="s">
        <v>1248</v>
      </c>
      <c r="C19" s="243"/>
      <c r="D19" s="243"/>
      <c r="E19" s="243"/>
      <c r="F19" s="243"/>
      <c r="G19" s="143">
        <v>5</v>
      </c>
      <c r="H19" s="140" t="s">
        <v>1154</v>
      </c>
      <c r="I19" s="150">
        <f t="shared" si="1"/>
        <v>0.15151515151515152</v>
      </c>
      <c r="J19" s="167">
        <f>Insumos!D54</f>
        <v>0</v>
      </c>
      <c r="K19" s="215">
        <f t="shared" si="0"/>
        <v>0</v>
      </c>
    </row>
    <row r="20" spans="1:11" x14ac:dyDescent="0.25">
      <c r="A20" s="152"/>
      <c r="B20" s="159"/>
      <c r="C20" s="382"/>
      <c r="D20" s="382"/>
      <c r="E20" s="382"/>
      <c r="F20" s="382"/>
      <c r="G20" s="154"/>
      <c r="H20" s="157"/>
      <c r="I20" s="157"/>
      <c r="J20" s="192" t="s">
        <v>1064</v>
      </c>
      <c r="K20" s="217">
        <f>SUM(K14:K19)</f>
        <v>0</v>
      </c>
    </row>
    <row r="21" spans="1:11" x14ac:dyDescent="0.25">
      <c r="A21" s="146" t="s">
        <v>199</v>
      </c>
      <c r="B21" s="179" t="s">
        <v>1155</v>
      </c>
      <c r="C21" s="383"/>
      <c r="D21" s="383"/>
      <c r="E21" s="383"/>
      <c r="F21" s="383"/>
      <c r="G21" s="148"/>
      <c r="H21" s="148"/>
      <c r="I21" s="148"/>
      <c r="J21" s="148"/>
      <c r="K21" s="188"/>
    </row>
    <row r="22" spans="1:11" x14ac:dyDescent="0.25">
      <c r="A22" s="611" t="s">
        <v>1196</v>
      </c>
      <c r="B22" s="612" t="s">
        <v>1067</v>
      </c>
      <c r="C22" s="637" t="s">
        <v>1197</v>
      </c>
      <c r="D22" s="638"/>
      <c r="E22" s="638"/>
      <c r="F22" s="639"/>
      <c r="G22" s="619" t="s">
        <v>14</v>
      </c>
      <c r="H22" s="610" t="s">
        <v>1068</v>
      </c>
      <c r="I22" s="608" t="s">
        <v>35</v>
      </c>
      <c r="J22" s="610" t="s">
        <v>1249</v>
      </c>
      <c r="K22" s="610" t="s">
        <v>16</v>
      </c>
    </row>
    <row r="23" spans="1:11" x14ac:dyDescent="0.25">
      <c r="A23" s="611"/>
      <c r="B23" s="612"/>
      <c r="C23" s="640"/>
      <c r="D23" s="641"/>
      <c r="E23" s="641"/>
      <c r="F23" s="642"/>
      <c r="G23" s="620"/>
      <c r="H23" s="610"/>
      <c r="I23" s="609"/>
      <c r="J23" s="610"/>
      <c r="K23" s="610"/>
    </row>
    <row r="24" spans="1:11" x14ac:dyDescent="0.25">
      <c r="A24" s="124" t="s">
        <v>1212</v>
      </c>
      <c r="B24" s="104" t="s">
        <v>1156</v>
      </c>
      <c r="C24" s="313"/>
      <c r="D24" s="313"/>
      <c r="E24" s="313"/>
      <c r="F24" s="313"/>
      <c r="G24" s="143">
        <f>G9/60</f>
        <v>1.9973800000000002</v>
      </c>
      <c r="H24" s="140" t="s">
        <v>1228</v>
      </c>
      <c r="I24" s="150">
        <f>G24/SUM($G$24:$G$34)</f>
        <v>1.0383572456203971E-2</v>
      </c>
      <c r="J24" s="167">
        <f>Insumos!D58</f>
        <v>0</v>
      </c>
      <c r="K24" s="215">
        <f t="shared" ref="K24:K34" si="2">TRUNC(G24*I24*J24,2)</f>
        <v>0</v>
      </c>
    </row>
    <row r="25" spans="1:11" x14ac:dyDescent="0.25">
      <c r="A25" s="124" t="s">
        <v>1213</v>
      </c>
      <c r="B25" s="104" t="s">
        <v>1171</v>
      </c>
      <c r="C25" s="143"/>
      <c r="D25" s="143"/>
      <c r="E25" s="143"/>
      <c r="F25" s="143"/>
      <c r="G25" s="143">
        <f>F7</f>
        <v>119.84280000000001</v>
      </c>
      <c r="H25" s="140" t="s">
        <v>1089</v>
      </c>
      <c r="I25" s="150">
        <f t="shared" ref="I25:I34" si="3">G25/SUM($G$24:$G$34)</f>
        <v>0.62301434737223826</v>
      </c>
      <c r="J25" s="167">
        <f>Insumos!D69</f>
        <v>0</v>
      </c>
      <c r="K25" s="215">
        <f t="shared" si="2"/>
        <v>0</v>
      </c>
    </row>
    <row r="26" spans="1:11" x14ac:dyDescent="0.25">
      <c r="A26" s="124" t="s">
        <v>1214</v>
      </c>
      <c r="B26" s="104" t="s">
        <v>1158</v>
      </c>
      <c r="C26" s="143"/>
      <c r="D26" s="143"/>
      <c r="E26" s="143"/>
      <c r="F26" s="143"/>
      <c r="G26" s="143">
        <f>G25*0.25</f>
        <v>29.960700000000003</v>
      </c>
      <c r="H26" s="140" t="s">
        <v>1261</v>
      </c>
      <c r="I26" s="150">
        <f t="shared" si="3"/>
        <v>0.15575358684305957</v>
      </c>
      <c r="J26" s="167">
        <f>Insumos!D60</f>
        <v>0</v>
      </c>
      <c r="K26" s="215">
        <f t="shared" si="2"/>
        <v>0</v>
      </c>
    </row>
    <row r="27" spans="1:11" x14ac:dyDescent="0.25">
      <c r="A27" s="124" t="s">
        <v>1215</v>
      </c>
      <c r="B27" s="104" t="s">
        <v>1160</v>
      </c>
      <c r="C27" s="143"/>
      <c r="D27" s="143"/>
      <c r="E27" s="143"/>
      <c r="F27" s="143"/>
      <c r="G27" s="143">
        <f>G25*0.25</f>
        <v>29.960700000000003</v>
      </c>
      <c r="H27" s="140" t="s">
        <v>1261</v>
      </c>
      <c r="I27" s="150">
        <f t="shared" si="3"/>
        <v>0.15575358684305957</v>
      </c>
      <c r="J27" s="167">
        <f>Insumos!D61</f>
        <v>0</v>
      </c>
      <c r="K27" s="215">
        <f t="shared" si="2"/>
        <v>0</v>
      </c>
    </row>
    <row r="28" spans="1:11" x14ac:dyDescent="0.25">
      <c r="A28" s="124" t="s">
        <v>1216</v>
      </c>
      <c r="B28" s="104" t="s">
        <v>1161</v>
      </c>
      <c r="C28" s="143"/>
      <c r="D28" s="143"/>
      <c r="E28" s="143"/>
      <c r="F28" s="143"/>
      <c r="G28" s="143">
        <f>G27*0.05</f>
        <v>1.4980350000000002</v>
      </c>
      <c r="H28" s="140" t="s">
        <v>1162</v>
      </c>
      <c r="I28" s="150">
        <f t="shared" si="3"/>
        <v>7.7876793421529792E-3</v>
      </c>
      <c r="J28" s="167">
        <f>Insumos!D62</f>
        <v>0</v>
      </c>
      <c r="K28" s="215">
        <f t="shared" si="2"/>
        <v>0</v>
      </c>
    </row>
    <row r="29" spans="1:11" x14ac:dyDescent="0.25">
      <c r="A29" s="124" t="s">
        <v>1217</v>
      </c>
      <c r="B29" s="104" t="s">
        <v>1163</v>
      </c>
      <c r="C29" s="143"/>
      <c r="D29" s="143"/>
      <c r="E29" s="143"/>
      <c r="F29" s="143"/>
      <c r="G29" s="195">
        <v>2</v>
      </c>
      <c r="H29" s="140" t="s">
        <v>1280</v>
      </c>
      <c r="I29" s="150">
        <f t="shared" si="3"/>
        <v>1.0397192778744124E-2</v>
      </c>
      <c r="J29" s="167">
        <f>Insumos!D63</f>
        <v>0</v>
      </c>
      <c r="K29" s="215">
        <f t="shared" si="2"/>
        <v>0</v>
      </c>
    </row>
    <row r="30" spans="1:11" x14ac:dyDescent="0.25">
      <c r="A30" s="124" t="s">
        <v>1220</v>
      </c>
      <c r="B30" s="104" t="s">
        <v>1164</v>
      </c>
      <c r="C30" s="143"/>
      <c r="D30" s="143"/>
      <c r="E30" s="143"/>
      <c r="F30" s="143"/>
      <c r="G30" s="143">
        <v>2</v>
      </c>
      <c r="H30" s="140" t="s">
        <v>1280</v>
      </c>
      <c r="I30" s="150">
        <f t="shared" si="3"/>
        <v>1.0397192778744124E-2</v>
      </c>
      <c r="J30" s="167">
        <f>Insumos!D64</f>
        <v>0</v>
      </c>
      <c r="K30" s="215">
        <f t="shared" si="2"/>
        <v>0</v>
      </c>
    </row>
    <row r="31" spans="1:11" x14ac:dyDescent="0.25">
      <c r="A31" s="124" t="s">
        <v>1222</v>
      </c>
      <c r="B31" s="104" t="s">
        <v>1165</v>
      </c>
      <c r="C31" s="143"/>
      <c r="D31" s="143"/>
      <c r="E31" s="143"/>
      <c r="F31" s="143"/>
      <c r="G31" s="143">
        <v>2</v>
      </c>
      <c r="H31" s="140" t="s">
        <v>1280</v>
      </c>
      <c r="I31" s="150">
        <f t="shared" si="3"/>
        <v>1.0397192778744124E-2</v>
      </c>
      <c r="J31" s="167">
        <f>Insumos!D65</f>
        <v>0</v>
      </c>
      <c r="K31" s="215">
        <f t="shared" si="2"/>
        <v>0</v>
      </c>
    </row>
    <row r="32" spans="1:11" x14ac:dyDescent="0.25">
      <c r="A32" s="124" t="s">
        <v>1223</v>
      </c>
      <c r="B32" s="104" t="s">
        <v>1166</v>
      </c>
      <c r="C32" s="143"/>
      <c r="D32" s="143"/>
      <c r="E32" s="143"/>
      <c r="F32" s="143"/>
      <c r="G32" s="143">
        <v>1.1000000000000001</v>
      </c>
      <c r="H32" s="140" t="s">
        <v>1280</v>
      </c>
      <c r="I32" s="150">
        <f t="shared" si="3"/>
        <v>5.7184560283092692E-3</v>
      </c>
      <c r="J32" s="167">
        <f>Insumos!D66</f>
        <v>0</v>
      </c>
      <c r="K32" s="215">
        <f t="shared" si="2"/>
        <v>0</v>
      </c>
    </row>
    <row r="33" spans="1:11" x14ac:dyDescent="0.25">
      <c r="A33" s="124" t="s">
        <v>1224</v>
      </c>
      <c r="B33" s="104" t="s">
        <v>1167</v>
      </c>
      <c r="C33" s="143"/>
      <c r="D33" s="143"/>
      <c r="E33" s="143"/>
      <c r="F33" s="143"/>
      <c r="G33" s="143">
        <v>1</v>
      </c>
      <c r="H33" s="140" t="s">
        <v>1269</v>
      </c>
      <c r="I33" s="150">
        <f t="shared" si="3"/>
        <v>5.1985963893720621E-3</v>
      </c>
      <c r="J33" s="167">
        <f>Insumos!D67</f>
        <v>0</v>
      </c>
      <c r="K33" s="215">
        <f t="shared" si="2"/>
        <v>0</v>
      </c>
    </row>
    <row r="34" spans="1:11" x14ac:dyDescent="0.25">
      <c r="A34" s="124" t="s">
        <v>1225</v>
      </c>
      <c r="B34" s="104" t="s">
        <v>1169</v>
      </c>
      <c r="C34" s="143"/>
      <c r="D34" s="143"/>
      <c r="E34" s="143"/>
      <c r="F34" s="143"/>
      <c r="G34" s="143">
        <v>1</v>
      </c>
      <c r="H34" s="140" t="s">
        <v>1170</v>
      </c>
      <c r="I34" s="150">
        <f t="shared" si="3"/>
        <v>5.1985963893720621E-3</v>
      </c>
      <c r="J34" s="167">
        <f>Insumos!D68</f>
        <v>0</v>
      </c>
      <c r="K34" s="215">
        <f t="shared" si="2"/>
        <v>0</v>
      </c>
    </row>
    <row r="35" spans="1:11" x14ac:dyDescent="0.25">
      <c r="A35" s="152"/>
      <c r="B35" s="159"/>
      <c r="C35" s="159"/>
      <c r="D35" s="159"/>
      <c r="E35" s="159"/>
      <c r="F35" s="159"/>
      <c r="G35" s="159"/>
      <c r="H35" s="159"/>
      <c r="I35" s="159"/>
      <c r="J35" s="170" t="s">
        <v>1064</v>
      </c>
      <c r="K35" s="218">
        <f>SUM(K24:K34)</f>
        <v>0</v>
      </c>
    </row>
    <row r="36" spans="1:11" x14ac:dyDescent="0.25">
      <c r="A36" s="146" t="s">
        <v>200</v>
      </c>
      <c r="B36" s="179" t="s">
        <v>1176</v>
      </c>
      <c r="C36" s="148"/>
      <c r="D36" s="148"/>
      <c r="E36" s="148"/>
      <c r="F36" s="148"/>
      <c r="G36" s="148"/>
      <c r="H36" s="148"/>
      <c r="I36" s="148"/>
      <c r="J36" s="148"/>
      <c r="K36" s="188"/>
    </row>
    <row r="37" spans="1:11" x14ac:dyDescent="0.25">
      <c r="A37" s="611" t="s">
        <v>1196</v>
      </c>
      <c r="B37" s="612" t="s">
        <v>1067</v>
      </c>
      <c r="C37" s="613" t="s">
        <v>1197</v>
      </c>
      <c r="D37" s="614"/>
      <c r="E37" s="614"/>
      <c r="F37" s="615"/>
      <c r="G37" s="619" t="s">
        <v>14</v>
      </c>
      <c r="H37" s="610" t="s">
        <v>1068</v>
      </c>
      <c r="I37" s="608" t="s">
        <v>35</v>
      </c>
      <c r="J37" s="610" t="s">
        <v>1249</v>
      </c>
      <c r="K37" s="610" t="s">
        <v>16</v>
      </c>
    </row>
    <row r="38" spans="1:11" x14ac:dyDescent="0.25">
      <c r="A38" s="611"/>
      <c r="B38" s="612"/>
      <c r="C38" s="616"/>
      <c r="D38" s="617"/>
      <c r="E38" s="617"/>
      <c r="F38" s="618"/>
      <c r="G38" s="620"/>
      <c r="H38" s="610"/>
      <c r="I38" s="609"/>
      <c r="J38" s="610"/>
      <c r="K38" s="610"/>
    </row>
    <row r="39" spans="1:11" x14ac:dyDescent="0.25">
      <c r="A39" s="124" t="s">
        <v>1226</v>
      </c>
      <c r="B39" s="6" t="s">
        <v>1242</v>
      </c>
      <c r="C39" s="605"/>
      <c r="D39" s="606"/>
      <c r="E39" s="606"/>
      <c r="F39" s="607"/>
      <c r="G39" s="143">
        <v>2</v>
      </c>
      <c r="H39" s="140" t="s">
        <v>1140</v>
      </c>
      <c r="I39" s="150">
        <v>4</v>
      </c>
      <c r="J39" s="167">
        <f>Insumos!D75</f>
        <v>0</v>
      </c>
      <c r="K39" s="215">
        <f>TRUNC(G39*I39*J39,2)</f>
        <v>0</v>
      </c>
    </row>
    <row r="40" spans="1:11" x14ac:dyDescent="0.25">
      <c r="A40" s="152"/>
      <c r="B40" s="159"/>
      <c r="C40" s="159"/>
      <c r="D40" s="159"/>
      <c r="E40" s="159"/>
      <c r="F40" s="159"/>
      <c r="G40" s="159"/>
      <c r="H40" s="159"/>
      <c r="I40" s="159"/>
      <c r="J40" s="170" t="s">
        <v>1064</v>
      </c>
      <c r="K40" s="218">
        <f>SUM(K39)</f>
        <v>0</v>
      </c>
    </row>
    <row r="41" spans="1:11" x14ac:dyDescent="0.25">
      <c r="A41" s="146" t="s">
        <v>201</v>
      </c>
      <c r="B41" s="179" t="s">
        <v>1178</v>
      </c>
      <c r="C41" s="148"/>
      <c r="D41" s="148"/>
      <c r="E41" s="148"/>
      <c r="F41" s="148"/>
      <c r="G41" s="148"/>
      <c r="H41" s="148"/>
      <c r="I41" s="148"/>
      <c r="J41" s="148"/>
      <c r="K41" s="188"/>
    </row>
    <row r="42" spans="1:11" x14ac:dyDescent="0.25">
      <c r="A42" s="611" t="s">
        <v>1196</v>
      </c>
      <c r="B42" s="612" t="s">
        <v>1067</v>
      </c>
      <c r="C42" s="613" t="s">
        <v>1197</v>
      </c>
      <c r="D42" s="614"/>
      <c r="E42" s="614"/>
      <c r="F42" s="615"/>
      <c r="G42" s="619" t="s">
        <v>14</v>
      </c>
      <c r="H42" s="610" t="s">
        <v>1068</v>
      </c>
      <c r="I42" s="608" t="s">
        <v>35</v>
      </c>
      <c r="J42" s="610" t="s">
        <v>1249</v>
      </c>
      <c r="K42" s="610" t="s">
        <v>16</v>
      </c>
    </row>
    <row r="43" spans="1:11" x14ac:dyDescent="0.25">
      <c r="A43" s="611"/>
      <c r="B43" s="612"/>
      <c r="C43" s="616"/>
      <c r="D43" s="617"/>
      <c r="E43" s="617"/>
      <c r="F43" s="618"/>
      <c r="G43" s="620"/>
      <c r="H43" s="610"/>
      <c r="I43" s="609"/>
      <c r="J43" s="610"/>
      <c r="K43" s="610"/>
    </row>
    <row r="44" spans="1:11" x14ac:dyDescent="0.25">
      <c r="A44" s="124" t="s">
        <v>1227</v>
      </c>
      <c r="B44" s="6" t="s">
        <v>1281</v>
      </c>
      <c r="C44" s="605"/>
      <c r="D44" s="606"/>
      <c r="E44" s="606"/>
      <c r="F44" s="607"/>
      <c r="G44" s="143">
        <v>1</v>
      </c>
      <c r="H44" s="140" t="s">
        <v>1140</v>
      </c>
      <c r="I44" s="150">
        <v>4</v>
      </c>
      <c r="J44" s="167">
        <f>Insumos!D78</f>
        <v>0</v>
      </c>
      <c r="K44" s="215">
        <f>TRUNC(G44*I44*J44,2)</f>
        <v>0</v>
      </c>
    </row>
    <row r="45" spans="1:11" x14ac:dyDescent="0.25">
      <c r="A45" s="152"/>
      <c r="B45" s="159"/>
      <c r="C45" s="159"/>
      <c r="D45" s="159"/>
      <c r="E45" s="159"/>
      <c r="F45" s="159"/>
      <c r="G45" s="159"/>
      <c r="H45" s="159"/>
      <c r="I45" s="159"/>
      <c r="J45" s="170" t="s">
        <v>1064</v>
      </c>
      <c r="K45" s="218">
        <f>K44</f>
        <v>0</v>
      </c>
    </row>
    <row r="46" spans="1:11" x14ac:dyDescent="0.25">
      <c r="A46" s="146" t="s">
        <v>202</v>
      </c>
      <c r="B46" s="179" t="s">
        <v>1180</v>
      </c>
      <c r="C46" s="148"/>
      <c r="D46" s="148"/>
      <c r="E46" s="148"/>
      <c r="F46" s="148"/>
      <c r="G46" s="148"/>
      <c r="H46" s="148"/>
      <c r="I46" s="148"/>
      <c r="J46" s="148"/>
      <c r="K46" s="188"/>
    </row>
    <row r="47" spans="1:11" x14ac:dyDescent="0.25">
      <c r="A47" s="611" t="s">
        <v>1196</v>
      </c>
      <c r="B47" s="612" t="s">
        <v>1067</v>
      </c>
      <c r="C47" s="613" t="s">
        <v>1197</v>
      </c>
      <c r="D47" s="614"/>
      <c r="E47" s="614"/>
      <c r="F47" s="615"/>
      <c r="G47" s="619" t="s">
        <v>14</v>
      </c>
      <c r="H47" s="610" t="s">
        <v>1068</v>
      </c>
      <c r="I47" s="608" t="s">
        <v>35</v>
      </c>
      <c r="J47" s="610" t="s">
        <v>1249</v>
      </c>
      <c r="K47" s="610" t="s">
        <v>16</v>
      </c>
    </row>
    <row r="48" spans="1:11" x14ac:dyDescent="0.25">
      <c r="A48" s="611"/>
      <c r="B48" s="612"/>
      <c r="C48" s="616"/>
      <c r="D48" s="617"/>
      <c r="E48" s="617"/>
      <c r="F48" s="618"/>
      <c r="G48" s="620"/>
      <c r="H48" s="610"/>
      <c r="I48" s="609"/>
      <c r="J48" s="610"/>
      <c r="K48" s="610"/>
    </row>
    <row r="49" spans="1:11" x14ac:dyDescent="0.25">
      <c r="A49" s="124" t="s">
        <v>1229</v>
      </c>
      <c r="B49" s="6" t="s">
        <v>1181</v>
      </c>
      <c r="C49" s="605"/>
      <c r="D49" s="606"/>
      <c r="E49" s="606"/>
      <c r="F49" s="607"/>
      <c r="G49" s="143">
        <v>1</v>
      </c>
      <c r="H49" s="140" t="s">
        <v>1140</v>
      </c>
      <c r="I49" s="150">
        <f>G49/SUM($G$49:$G$51)</f>
        <v>0.33333333333333331</v>
      </c>
      <c r="J49" s="167">
        <f>Insumos!D81</f>
        <v>0</v>
      </c>
      <c r="K49" s="215">
        <f>TRUNC(G49*I49*J49,2)</f>
        <v>0</v>
      </c>
    </row>
    <row r="50" spans="1:11" x14ac:dyDescent="0.25">
      <c r="A50" s="124" t="s">
        <v>1231</v>
      </c>
      <c r="B50" s="6" t="s">
        <v>1182</v>
      </c>
      <c r="C50" s="605"/>
      <c r="D50" s="606"/>
      <c r="E50" s="606"/>
      <c r="F50" s="607"/>
      <c r="G50" s="143">
        <v>1</v>
      </c>
      <c r="H50" s="140" t="s">
        <v>1140</v>
      </c>
      <c r="I50" s="150">
        <f t="shared" ref="I50:I51" si="4">G50/SUM($G$49:$G$51)</f>
        <v>0.33333333333333331</v>
      </c>
      <c r="J50" s="167">
        <f>Insumos!D82</f>
        <v>0</v>
      </c>
      <c r="K50" s="215">
        <f>TRUNC(G50*I50*J50,2)</f>
        <v>0</v>
      </c>
    </row>
    <row r="51" spans="1:11" x14ac:dyDescent="0.25">
      <c r="A51" s="124" t="s">
        <v>1232</v>
      </c>
      <c r="B51" s="6" t="s">
        <v>1183</v>
      </c>
      <c r="C51" s="605"/>
      <c r="D51" s="606"/>
      <c r="E51" s="606"/>
      <c r="F51" s="607"/>
      <c r="G51" s="143">
        <v>1</v>
      </c>
      <c r="H51" s="140" t="s">
        <v>1140</v>
      </c>
      <c r="I51" s="150">
        <f t="shared" si="4"/>
        <v>0.33333333333333331</v>
      </c>
      <c r="J51" s="167">
        <f>Insumos!D83</f>
        <v>0</v>
      </c>
      <c r="K51" s="215">
        <f>TRUNC(G51*I51*J51,2)</f>
        <v>0</v>
      </c>
    </row>
    <row r="52" spans="1:11" x14ac:dyDescent="0.25">
      <c r="A52" s="152"/>
      <c r="B52" s="159"/>
      <c r="C52" s="159"/>
      <c r="D52" s="159"/>
      <c r="E52" s="159"/>
      <c r="F52" s="159"/>
      <c r="G52" s="159"/>
      <c r="H52" s="159"/>
      <c r="I52" s="159"/>
      <c r="J52" s="170" t="s">
        <v>1064</v>
      </c>
      <c r="K52" s="218">
        <f>SUM(K49:K51)</f>
        <v>0</v>
      </c>
    </row>
  </sheetData>
  <mergeCells count="55">
    <mergeCell ref="C49:F49"/>
    <mergeCell ref="C50:F50"/>
    <mergeCell ref="C51:F51"/>
    <mergeCell ref="K42:K43"/>
    <mergeCell ref="C44:F44"/>
    <mergeCell ref="I47:I48"/>
    <mergeCell ref="J47:J48"/>
    <mergeCell ref="K47:K48"/>
    <mergeCell ref="A47:A48"/>
    <mergeCell ref="B47:B48"/>
    <mergeCell ref="C47:F48"/>
    <mergeCell ref="G47:G48"/>
    <mergeCell ref="H47:H48"/>
    <mergeCell ref="J37:J38"/>
    <mergeCell ref="K37:K38"/>
    <mergeCell ref="C39:F39"/>
    <mergeCell ref="A42:A43"/>
    <mergeCell ref="B42:B43"/>
    <mergeCell ref="C42:F43"/>
    <mergeCell ref="G42:G43"/>
    <mergeCell ref="H42:H43"/>
    <mergeCell ref="I42:I43"/>
    <mergeCell ref="J42:J43"/>
    <mergeCell ref="A37:A38"/>
    <mergeCell ref="B37:B38"/>
    <mergeCell ref="C37:F38"/>
    <mergeCell ref="G37:G38"/>
    <mergeCell ref="H37:H38"/>
    <mergeCell ref="I37:I38"/>
    <mergeCell ref="J12:J13"/>
    <mergeCell ref="K12:K13"/>
    <mergeCell ref="A22:A23"/>
    <mergeCell ref="B22:B23"/>
    <mergeCell ref="C22:F23"/>
    <mergeCell ref="G22:G23"/>
    <mergeCell ref="H22:H23"/>
    <mergeCell ref="I22:I23"/>
    <mergeCell ref="J22:J23"/>
    <mergeCell ref="K22:K23"/>
    <mergeCell ref="A12:A13"/>
    <mergeCell ref="B12:B13"/>
    <mergeCell ref="C12:F12"/>
    <mergeCell ref="G12:G13"/>
    <mergeCell ref="H12:H13"/>
    <mergeCell ref="I12:I13"/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</mergeCells>
  <pageMargins left="0.511811024" right="0.511811024" top="0.78740157499999996" bottom="0.78740157499999996" header="0.31496062000000002" footer="0.31496062000000002"/>
  <pageSetup paperSize="9" scale="53" fitToHeight="0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D9" sqref="D9"/>
    </sheetView>
  </sheetViews>
  <sheetFormatPr defaultRowHeight="15" x14ac:dyDescent="0.25"/>
  <cols>
    <col min="1" max="1" width="11.85546875" customWidth="1"/>
    <col min="2" max="2" width="76.7109375" customWidth="1"/>
    <col min="3" max="4" width="8.42578125" customWidth="1"/>
    <col min="5" max="5" width="7.7109375" customWidth="1"/>
    <col min="6" max="7" width="10.85546875" customWidth="1"/>
    <col min="8" max="8" width="9" customWidth="1"/>
    <col min="9" max="9" width="8.5703125" bestFit="1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 t="s">
        <v>153</v>
      </c>
      <c r="B2" s="184" t="s">
        <v>1282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154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68" t="s">
        <v>1197</v>
      </c>
      <c r="D4" s="669"/>
      <c r="E4" s="669"/>
      <c r="F4" s="670"/>
      <c r="G4" s="619" t="s">
        <v>14</v>
      </c>
      <c r="H4" s="608" t="s">
        <v>1068</v>
      </c>
      <c r="I4" s="608" t="s">
        <v>35</v>
      </c>
      <c r="J4" s="608" t="s">
        <v>1069</v>
      </c>
      <c r="K4" s="608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09"/>
      <c r="I5" s="609"/>
      <c r="J5" s="609"/>
      <c r="K5" s="609"/>
    </row>
    <row r="6" spans="1:11" x14ac:dyDescent="0.25">
      <c r="A6" s="124" t="s">
        <v>1202</v>
      </c>
      <c r="B6" s="6" t="s">
        <v>1104</v>
      </c>
      <c r="C6" s="143">
        <v>6</v>
      </c>
      <c r="D6" s="143">
        <v>11.6</v>
      </c>
      <c r="E6" s="143">
        <v>3</v>
      </c>
      <c r="F6" s="143">
        <f>C6*D6*E6</f>
        <v>208.79999999999998</v>
      </c>
      <c r="G6" s="143">
        <f>F6</f>
        <v>208.79999999999998</v>
      </c>
      <c r="H6" s="140" t="s">
        <v>1076</v>
      </c>
      <c r="I6" s="150">
        <v>1</v>
      </c>
      <c r="J6" s="167">
        <f>Insumos!D15</f>
        <v>0</v>
      </c>
      <c r="K6" s="199">
        <f>TRUNC(G6*I6*J6,2)</f>
        <v>0</v>
      </c>
    </row>
    <row r="7" spans="1:11" x14ac:dyDescent="0.25">
      <c r="A7" s="124" t="s">
        <v>1203</v>
      </c>
      <c r="B7" s="6" t="s">
        <v>1106</v>
      </c>
      <c r="C7" s="143"/>
      <c r="D7" s="143">
        <f>D6*2</f>
        <v>23.2</v>
      </c>
      <c r="E7" s="143">
        <v>1.2</v>
      </c>
      <c r="F7" s="143">
        <f>D7*E7</f>
        <v>27.84</v>
      </c>
      <c r="G7" s="143">
        <f>D7*E7</f>
        <v>27.84</v>
      </c>
      <c r="H7" s="140" t="s">
        <v>1076</v>
      </c>
      <c r="I7" s="150">
        <v>1</v>
      </c>
      <c r="J7" s="167">
        <f>Insumos!D16</f>
        <v>0</v>
      </c>
      <c r="K7" s="199">
        <f>TRUNC(G7*I7*J7,2)</f>
        <v>0</v>
      </c>
    </row>
    <row r="8" spans="1:11" x14ac:dyDescent="0.25">
      <c r="A8" s="124" t="s">
        <v>1204</v>
      </c>
      <c r="B8" s="6" t="s">
        <v>1085</v>
      </c>
      <c r="C8" s="141">
        <v>6</v>
      </c>
      <c r="D8" s="141">
        <v>11.6</v>
      </c>
      <c r="E8" s="141"/>
      <c r="F8" s="143">
        <f>C8*D8</f>
        <v>69.599999999999994</v>
      </c>
      <c r="G8" s="143">
        <f>C8*D8</f>
        <v>69.599999999999994</v>
      </c>
      <c r="H8" s="140" t="s">
        <v>1076</v>
      </c>
      <c r="I8" s="150">
        <v>1</v>
      </c>
      <c r="J8" s="167">
        <f>Insumos!D7</f>
        <v>0</v>
      </c>
      <c r="K8" s="199">
        <f>TRUNC(G8*I8*J8,2)</f>
        <v>0</v>
      </c>
    </row>
    <row r="9" spans="1:11" ht="16.899999999999999" customHeight="1" x14ac:dyDescent="0.25">
      <c r="A9" s="124" t="s">
        <v>1205</v>
      </c>
      <c r="B9" s="104" t="s">
        <v>1126</v>
      </c>
      <c r="C9" s="143"/>
      <c r="D9" s="143"/>
      <c r="E9" s="143"/>
      <c r="F9" s="143"/>
      <c r="G9" s="143">
        <f>G8</f>
        <v>69.599999999999994</v>
      </c>
      <c r="H9" s="140" t="s">
        <v>1076</v>
      </c>
      <c r="I9" s="150">
        <v>1</v>
      </c>
      <c r="J9" s="167">
        <f>Insumos!D27</f>
        <v>0</v>
      </c>
      <c r="K9" s="199">
        <f>TRUNC(G9*I9*J9,2)</f>
        <v>0</v>
      </c>
    </row>
    <row r="10" spans="1:11" x14ac:dyDescent="0.25">
      <c r="A10" s="152"/>
      <c r="B10" s="159"/>
      <c r="C10" s="154"/>
      <c r="D10" s="154"/>
      <c r="E10" s="154"/>
      <c r="F10" s="154"/>
      <c r="G10" s="154"/>
      <c r="H10" s="154"/>
      <c r="I10" s="154"/>
      <c r="J10" s="191" t="s">
        <v>1064</v>
      </c>
      <c r="K10" s="216">
        <f>SUM(K6:K9)</f>
        <v>0</v>
      </c>
    </row>
    <row r="11" spans="1:11" x14ac:dyDescent="0.25">
      <c r="A11" s="146" t="s">
        <v>155</v>
      </c>
      <c r="B11" s="179" t="s">
        <v>1219</v>
      </c>
      <c r="C11" s="148"/>
      <c r="D11" s="148"/>
      <c r="E11" s="148"/>
      <c r="F11" s="148"/>
      <c r="G11" s="148"/>
      <c r="H11" s="148"/>
      <c r="I11" s="148"/>
      <c r="J11" s="148"/>
      <c r="K11" s="188"/>
    </row>
    <row r="12" spans="1:11" x14ac:dyDescent="0.25">
      <c r="A12" s="611" t="s">
        <v>1196</v>
      </c>
      <c r="B12" s="612" t="s">
        <v>1067</v>
      </c>
      <c r="C12" s="668" t="s">
        <v>1197</v>
      </c>
      <c r="D12" s="669"/>
      <c r="E12" s="669"/>
      <c r="F12" s="670"/>
      <c r="G12" s="619" t="s">
        <v>14</v>
      </c>
      <c r="H12" s="608" t="s">
        <v>1068</v>
      </c>
      <c r="I12" s="608" t="s">
        <v>35</v>
      </c>
      <c r="J12" s="608" t="s">
        <v>1069</v>
      </c>
      <c r="K12" s="608" t="s">
        <v>16</v>
      </c>
    </row>
    <row r="13" spans="1:11" x14ac:dyDescent="0.25">
      <c r="A13" s="611"/>
      <c r="B13" s="612"/>
      <c r="C13" s="161"/>
      <c r="D13" s="161"/>
      <c r="E13" s="161"/>
      <c r="F13" s="161"/>
      <c r="G13" s="620"/>
      <c r="H13" s="609"/>
      <c r="I13" s="609"/>
      <c r="J13" s="609"/>
      <c r="K13" s="609"/>
    </row>
    <row r="14" spans="1:11" x14ac:dyDescent="0.25">
      <c r="A14" s="124" t="s">
        <v>1205</v>
      </c>
      <c r="B14" s="6" t="s">
        <v>1147</v>
      </c>
      <c r="C14" s="143"/>
      <c r="D14" s="143"/>
      <c r="E14" s="143"/>
      <c r="F14" s="143"/>
      <c r="G14" s="143">
        <v>1</v>
      </c>
      <c r="H14" s="140" t="s">
        <v>1140</v>
      </c>
      <c r="I14" s="150">
        <v>0.25</v>
      </c>
      <c r="J14" s="167">
        <f>Insumos!D49</f>
        <v>0</v>
      </c>
      <c r="K14" s="215">
        <f t="shared" ref="K14:K19" si="0">TRUNC(G14*I14*J14,2)</f>
        <v>0</v>
      </c>
    </row>
    <row r="15" spans="1:11" x14ac:dyDescent="0.25">
      <c r="A15" s="124" t="s">
        <v>1206</v>
      </c>
      <c r="B15" s="6" t="s">
        <v>1148</v>
      </c>
      <c r="C15" s="143"/>
      <c r="D15" s="143"/>
      <c r="E15" s="143"/>
      <c r="F15" s="143"/>
      <c r="G15" s="143">
        <v>1</v>
      </c>
      <c r="H15" s="140" t="s">
        <v>1140</v>
      </c>
      <c r="I15" s="150">
        <v>0.25</v>
      </c>
      <c r="J15" s="167">
        <f>Insumos!D50</f>
        <v>0</v>
      </c>
      <c r="K15" s="215">
        <f t="shared" si="0"/>
        <v>0</v>
      </c>
    </row>
    <row r="16" spans="1:11" x14ac:dyDescent="0.25">
      <c r="A16" s="124" t="s">
        <v>1207</v>
      </c>
      <c r="B16" s="6" t="s">
        <v>1149</v>
      </c>
      <c r="C16" s="143"/>
      <c r="D16" s="143"/>
      <c r="E16" s="143"/>
      <c r="F16" s="143"/>
      <c r="G16" s="143">
        <v>2</v>
      </c>
      <c r="H16" s="140" t="s">
        <v>1140</v>
      </c>
      <c r="I16" s="150">
        <v>0.25</v>
      </c>
      <c r="J16" s="167">
        <f>Insumos!D51</f>
        <v>0</v>
      </c>
      <c r="K16" s="215">
        <f t="shared" si="0"/>
        <v>0</v>
      </c>
    </row>
    <row r="17" spans="1:11" x14ac:dyDescent="0.25">
      <c r="A17" s="124" t="s">
        <v>1208</v>
      </c>
      <c r="B17" s="6" t="s">
        <v>1150</v>
      </c>
      <c r="C17" s="143"/>
      <c r="D17" s="143"/>
      <c r="E17" s="143"/>
      <c r="F17" s="143"/>
      <c r="G17" s="143">
        <v>16</v>
      </c>
      <c r="H17" s="140" t="s">
        <v>1151</v>
      </c>
      <c r="I17" s="150">
        <v>0.1</v>
      </c>
      <c r="J17" s="167">
        <f>Insumos!D52</f>
        <v>0</v>
      </c>
      <c r="K17" s="215">
        <f t="shared" si="0"/>
        <v>0</v>
      </c>
    </row>
    <row r="18" spans="1:11" x14ac:dyDescent="0.25">
      <c r="A18" s="124" t="s">
        <v>1209</v>
      </c>
      <c r="B18" s="6" t="s">
        <v>1152</v>
      </c>
      <c r="C18" s="143"/>
      <c r="D18" s="143"/>
      <c r="E18" s="143"/>
      <c r="F18" s="143"/>
      <c r="G18" s="143">
        <v>8</v>
      </c>
      <c r="H18" s="140" t="s">
        <v>1124</v>
      </c>
      <c r="I18" s="150">
        <v>0.1</v>
      </c>
      <c r="J18" s="167">
        <f>Insumos!D53</f>
        <v>0</v>
      </c>
      <c r="K18" s="215">
        <f t="shared" si="0"/>
        <v>0</v>
      </c>
    </row>
    <row r="19" spans="1:11" x14ac:dyDescent="0.25">
      <c r="A19" s="124" t="s">
        <v>1210</v>
      </c>
      <c r="B19" s="6" t="s">
        <v>1248</v>
      </c>
      <c r="C19" s="143"/>
      <c r="D19" s="143"/>
      <c r="E19" s="143"/>
      <c r="F19" s="143"/>
      <c r="G19" s="143">
        <v>4</v>
      </c>
      <c r="H19" s="140" t="s">
        <v>1154</v>
      </c>
      <c r="I19" s="150">
        <v>0.1</v>
      </c>
      <c r="J19" s="167">
        <f>Insumos!D54</f>
        <v>0</v>
      </c>
      <c r="K19" s="215">
        <f t="shared" si="0"/>
        <v>0</v>
      </c>
    </row>
    <row r="20" spans="1:11" x14ac:dyDescent="0.25">
      <c r="A20" s="152"/>
      <c r="B20" s="159"/>
      <c r="C20" s="154"/>
      <c r="D20" s="154"/>
      <c r="E20" s="154"/>
      <c r="F20" s="154"/>
      <c r="G20" s="154"/>
      <c r="H20" s="157"/>
      <c r="I20" s="157"/>
      <c r="J20" s="192" t="s">
        <v>1064</v>
      </c>
      <c r="K20" s="217">
        <f>SUM(K14:K19)</f>
        <v>0</v>
      </c>
    </row>
    <row r="21" spans="1:11" x14ac:dyDescent="0.25">
      <c r="A21" s="146" t="s">
        <v>156</v>
      </c>
      <c r="B21" s="179" t="s">
        <v>1155</v>
      </c>
      <c r="C21" s="148"/>
      <c r="D21" s="148"/>
      <c r="E21" s="148"/>
      <c r="F21" s="148"/>
      <c r="G21" s="148"/>
      <c r="H21" s="148"/>
      <c r="I21" s="148"/>
      <c r="J21" s="148"/>
      <c r="K21" s="188"/>
    </row>
    <row r="22" spans="1:11" x14ac:dyDescent="0.25">
      <c r="A22" s="611" t="s">
        <v>1196</v>
      </c>
      <c r="B22" s="612" t="s">
        <v>1067</v>
      </c>
      <c r="C22" s="613" t="s">
        <v>1197</v>
      </c>
      <c r="D22" s="614"/>
      <c r="E22" s="614"/>
      <c r="F22" s="615"/>
      <c r="G22" s="619" t="s">
        <v>14</v>
      </c>
      <c r="H22" s="608" t="s">
        <v>1068</v>
      </c>
      <c r="I22" s="608" t="s">
        <v>35</v>
      </c>
      <c r="J22" s="608" t="s">
        <v>1249</v>
      </c>
      <c r="K22" s="608" t="s">
        <v>16</v>
      </c>
    </row>
    <row r="23" spans="1:11" x14ac:dyDescent="0.25">
      <c r="A23" s="611"/>
      <c r="B23" s="612"/>
      <c r="C23" s="616"/>
      <c r="D23" s="617"/>
      <c r="E23" s="617"/>
      <c r="F23" s="618"/>
      <c r="G23" s="620"/>
      <c r="H23" s="609"/>
      <c r="I23" s="609"/>
      <c r="J23" s="609"/>
      <c r="K23" s="609"/>
    </row>
    <row r="24" spans="1:11" x14ac:dyDescent="0.25">
      <c r="A24" s="124" t="s">
        <v>1211</v>
      </c>
      <c r="B24" s="104" t="s">
        <v>1156</v>
      </c>
      <c r="C24" s="143"/>
      <c r="D24" s="143"/>
      <c r="E24" s="143"/>
      <c r="F24" s="143"/>
      <c r="G24" s="143">
        <v>8.3520000000000003</v>
      </c>
      <c r="H24" s="140" t="s">
        <v>1228</v>
      </c>
      <c r="I24" s="150">
        <v>0.25</v>
      </c>
      <c r="J24" s="167">
        <f>Insumos!D58</f>
        <v>0</v>
      </c>
      <c r="K24" s="215">
        <f t="shared" ref="K24:K34" si="1">TRUNC(G24*I24*J24,2)</f>
        <v>0</v>
      </c>
    </row>
    <row r="25" spans="1:11" x14ac:dyDescent="0.25">
      <c r="A25" s="124" t="s">
        <v>1212</v>
      </c>
      <c r="B25" s="104" t="s">
        <v>1171</v>
      </c>
      <c r="C25" s="143"/>
      <c r="D25" s="143"/>
      <c r="E25" s="143"/>
      <c r="F25" s="143"/>
      <c r="G25" s="143">
        <f>F8</f>
        <v>69.599999999999994</v>
      </c>
      <c r="H25" s="140" t="s">
        <v>1089</v>
      </c>
      <c r="I25" s="150">
        <v>0.5</v>
      </c>
      <c r="J25" s="167">
        <f>Insumos!D69</f>
        <v>0</v>
      </c>
      <c r="K25" s="215">
        <f t="shared" si="1"/>
        <v>0</v>
      </c>
    </row>
    <row r="26" spans="1:11" x14ac:dyDescent="0.25">
      <c r="A26" s="124" t="s">
        <v>1213</v>
      </c>
      <c r="B26" s="104" t="s">
        <v>1158</v>
      </c>
      <c r="C26" s="143"/>
      <c r="D26" s="143"/>
      <c r="E26" s="143"/>
      <c r="F26" s="143"/>
      <c r="G26" s="143">
        <v>1.00224</v>
      </c>
      <c r="H26" s="140" t="s">
        <v>1261</v>
      </c>
      <c r="I26" s="150">
        <v>1</v>
      </c>
      <c r="J26" s="167">
        <f>Insumos!D60</f>
        <v>0</v>
      </c>
      <c r="K26" s="215">
        <f t="shared" si="1"/>
        <v>0</v>
      </c>
    </row>
    <row r="27" spans="1:11" x14ac:dyDescent="0.25">
      <c r="A27" s="124" t="s">
        <v>1214</v>
      </c>
      <c r="B27" s="104" t="s">
        <v>1160</v>
      </c>
      <c r="C27" s="143"/>
      <c r="D27" s="143"/>
      <c r="E27" s="143"/>
      <c r="F27" s="143"/>
      <c r="G27" s="143">
        <v>1.33632</v>
      </c>
      <c r="H27" s="140" t="s">
        <v>1261</v>
      </c>
      <c r="I27" s="150">
        <v>1</v>
      </c>
      <c r="J27" s="167">
        <f>Insumos!D61</f>
        <v>0</v>
      </c>
      <c r="K27" s="215">
        <f t="shared" si="1"/>
        <v>0</v>
      </c>
    </row>
    <row r="28" spans="1:11" x14ac:dyDescent="0.25">
      <c r="A28" s="124" t="s">
        <v>1215</v>
      </c>
      <c r="B28" s="104" t="s">
        <v>1161</v>
      </c>
      <c r="C28" s="143"/>
      <c r="D28" s="143"/>
      <c r="E28" s="143"/>
      <c r="F28" s="143"/>
      <c r="G28" s="143">
        <f>G27*1.4</f>
        <v>1.8708479999999998</v>
      </c>
      <c r="H28" s="140" t="s">
        <v>1162</v>
      </c>
      <c r="I28" s="150">
        <v>1</v>
      </c>
      <c r="J28" s="167">
        <f>Insumos!D62</f>
        <v>0</v>
      </c>
      <c r="K28" s="215">
        <f t="shared" si="1"/>
        <v>0</v>
      </c>
    </row>
    <row r="29" spans="1:11" x14ac:dyDescent="0.25">
      <c r="A29" s="124" t="s">
        <v>1216</v>
      </c>
      <c r="B29" s="104" t="s">
        <v>1163</v>
      </c>
      <c r="C29" s="143"/>
      <c r="D29" s="143"/>
      <c r="E29" s="143"/>
      <c r="F29" s="143"/>
      <c r="G29" s="195">
        <v>2</v>
      </c>
      <c r="H29" s="140" t="s">
        <v>1280</v>
      </c>
      <c r="I29" s="150">
        <v>0.5</v>
      </c>
      <c r="J29" s="167">
        <f>Insumos!D63</f>
        <v>0</v>
      </c>
      <c r="K29" s="215">
        <f t="shared" si="1"/>
        <v>0</v>
      </c>
    </row>
    <row r="30" spans="1:11" x14ac:dyDescent="0.25">
      <c r="A30" s="124" t="s">
        <v>1217</v>
      </c>
      <c r="B30" s="104" t="s">
        <v>1164</v>
      </c>
      <c r="C30" s="143"/>
      <c r="D30" s="143"/>
      <c r="E30" s="143"/>
      <c r="F30" s="143"/>
      <c r="G30" s="143">
        <v>2</v>
      </c>
      <c r="H30" s="140" t="s">
        <v>1280</v>
      </c>
      <c r="I30" s="150">
        <v>0.5</v>
      </c>
      <c r="J30" s="167">
        <f>Insumos!D64</f>
        <v>0</v>
      </c>
      <c r="K30" s="215">
        <f t="shared" si="1"/>
        <v>0</v>
      </c>
    </row>
    <row r="31" spans="1:11" x14ac:dyDescent="0.25">
      <c r="A31" s="124" t="s">
        <v>1220</v>
      </c>
      <c r="B31" s="104" t="s">
        <v>1165</v>
      </c>
      <c r="C31" s="143"/>
      <c r="D31" s="143"/>
      <c r="E31" s="143"/>
      <c r="F31" s="143"/>
      <c r="G31" s="143">
        <v>2</v>
      </c>
      <c r="H31" s="140" t="s">
        <v>1280</v>
      </c>
      <c r="I31" s="150">
        <v>0.25</v>
      </c>
      <c r="J31" s="167">
        <f>Insumos!D65</f>
        <v>0</v>
      </c>
      <c r="K31" s="215">
        <f t="shared" si="1"/>
        <v>0</v>
      </c>
    </row>
    <row r="32" spans="1:11" x14ac:dyDescent="0.25">
      <c r="A32" s="124" t="s">
        <v>1222</v>
      </c>
      <c r="B32" s="104" t="s">
        <v>1166</v>
      </c>
      <c r="C32" s="143"/>
      <c r="D32" s="143"/>
      <c r="E32" s="143"/>
      <c r="F32" s="143"/>
      <c r="G32" s="143">
        <v>1.1000000000000001</v>
      </c>
      <c r="H32" s="140" t="s">
        <v>1280</v>
      </c>
      <c r="I32" s="150">
        <v>1</v>
      </c>
      <c r="J32" s="167">
        <f>Insumos!D66</f>
        <v>0</v>
      </c>
      <c r="K32" s="215">
        <f t="shared" si="1"/>
        <v>0</v>
      </c>
    </row>
    <row r="33" spans="1:11" x14ac:dyDescent="0.25">
      <c r="A33" s="124" t="s">
        <v>1223</v>
      </c>
      <c r="B33" s="104" t="s">
        <v>1167</v>
      </c>
      <c r="C33" s="143"/>
      <c r="D33" s="143"/>
      <c r="E33" s="143"/>
      <c r="F33" s="143"/>
      <c r="G33" s="143">
        <v>0.96</v>
      </c>
      <c r="H33" s="140" t="s">
        <v>1269</v>
      </c>
      <c r="I33" s="150">
        <v>1.25</v>
      </c>
      <c r="J33" s="167">
        <f>Insumos!D67</f>
        <v>0</v>
      </c>
      <c r="K33" s="215">
        <f t="shared" si="1"/>
        <v>0</v>
      </c>
    </row>
    <row r="34" spans="1:11" x14ac:dyDescent="0.25">
      <c r="A34" s="124" t="s">
        <v>1224</v>
      </c>
      <c r="B34" s="104" t="s">
        <v>1169</v>
      </c>
      <c r="C34" s="143"/>
      <c r="D34" s="143"/>
      <c r="E34" s="143"/>
      <c r="F34" s="143"/>
      <c r="G34" s="143">
        <v>0.25</v>
      </c>
      <c r="H34" s="140" t="s">
        <v>1170</v>
      </c>
      <c r="I34" s="150">
        <v>1.25</v>
      </c>
      <c r="J34" s="167">
        <f>Insumos!D68</f>
        <v>0</v>
      </c>
      <c r="K34" s="215">
        <f t="shared" si="1"/>
        <v>0</v>
      </c>
    </row>
    <row r="35" spans="1:11" x14ac:dyDescent="0.25">
      <c r="A35" s="152"/>
      <c r="B35" s="159"/>
      <c r="C35" s="159"/>
      <c r="D35" s="159"/>
      <c r="E35" s="159"/>
      <c r="F35" s="159"/>
      <c r="G35" s="159"/>
      <c r="H35" s="159"/>
      <c r="I35" s="159"/>
      <c r="J35" s="170" t="s">
        <v>1064</v>
      </c>
      <c r="K35" s="218">
        <f>SUM(K24:K34)</f>
        <v>0</v>
      </c>
    </row>
    <row r="36" spans="1:11" x14ac:dyDescent="0.25">
      <c r="A36" s="146" t="s">
        <v>157</v>
      </c>
      <c r="B36" s="179" t="s">
        <v>1176</v>
      </c>
      <c r="C36" s="148"/>
      <c r="D36" s="148"/>
      <c r="E36" s="148"/>
      <c r="F36" s="148"/>
      <c r="G36" s="148"/>
      <c r="H36" s="148"/>
      <c r="I36" s="148"/>
      <c r="J36" s="148"/>
      <c r="K36" s="188"/>
    </row>
    <row r="37" spans="1:11" x14ac:dyDescent="0.25">
      <c r="A37" s="611" t="s">
        <v>1196</v>
      </c>
      <c r="B37" s="612" t="s">
        <v>1067</v>
      </c>
      <c r="C37" s="613" t="s">
        <v>1197</v>
      </c>
      <c r="D37" s="614"/>
      <c r="E37" s="614"/>
      <c r="F37" s="615"/>
      <c r="G37" s="619" t="s">
        <v>14</v>
      </c>
      <c r="H37" s="608" t="s">
        <v>1068</v>
      </c>
      <c r="I37" s="608" t="s">
        <v>35</v>
      </c>
      <c r="J37" s="608" t="s">
        <v>1249</v>
      </c>
      <c r="K37" s="608" t="s">
        <v>16</v>
      </c>
    </row>
    <row r="38" spans="1:11" x14ac:dyDescent="0.25">
      <c r="A38" s="611"/>
      <c r="B38" s="612"/>
      <c r="C38" s="616"/>
      <c r="D38" s="617"/>
      <c r="E38" s="617"/>
      <c r="F38" s="618"/>
      <c r="G38" s="620"/>
      <c r="H38" s="609"/>
      <c r="I38" s="609"/>
      <c r="J38" s="609"/>
      <c r="K38" s="609"/>
    </row>
    <row r="39" spans="1:11" x14ac:dyDescent="0.25">
      <c r="A39" s="124" t="s">
        <v>1225</v>
      </c>
      <c r="B39" s="6" t="s">
        <v>1242</v>
      </c>
      <c r="C39" s="605"/>
      <c r="D39" s="606"/>
      <c r="E39" s="606"/>
      <c r="F39" s="607"/>
      <c r="G39" s="143">
        <v>2</v>
      </c>
      <c r="H39" s="140" t="s">
        <v>1140</v>
      </c>
      <c r="I39" s="150">
        <v>4</v>
      </c>
      <c r="J39" s="167">
        <f>Insumos!D75</f>
        <v>0</v>
      </c>
      <c r="K39" s="215">
        <f>TRUNC(G39*I39*J39,2)</f>
        <v>0</v>
      </c>
    </row>
    <row r="40" spans="1:11" x14ac:dyDescent="0.25">
      <c r="A40" s="152"/>
      <c r="B40" s="159"/>
      <c r="C40" s="159"/>
      <c r="D40" s="159"/>
      <c r="E40" s="159"/>
      <c r="F40" s="159"/>
      <c r="G40" s="159"/>
      <c r="H40" s="159"/>
      <c r="I40" s="159"/>
      <c r="J40" s="170" t="s">
        <v>1064</v>
      </c>
      <c r="K40" s="218">
        <f>SUM(K39)</f>
        <v>0</v>
      </c>
    </row>
    <row r="41" spans="1:11" x14ac:dyDescent="0.25">
      <c r="A41" s="146" t="s">
        <v>158</v>
      </c>
      <c r="B41" s="179" t="s">
        <v>1178</v>
      </c>
      <c r="C41" s="148"/>
      <c r="D41" s="148"/>
      <c r="E41" s="148"/>
      <c r="F41" s="148"/>
      <c r="G41" s="148"/>
      <c r="H41" s="148"/>
      <c r="I41" s="148"/>
      <c r="J41" s="148"/>
      <c r="K41" s="188"/>
    </row>
    <row r="42" spans="1:11" x14ac:dyDescent="0.25">
      <c r="A42" s="611" t="s">
        <v>1196</v>
      </c>
      <c r="B42" s="612" t="s">
        <v>1067</v>
      </c>
      <c r="C42" s="613" t="s">
        <v>1197</v>
      </c>
      <c r="D42" s="614"/>
      <c r="E42" s="614"/>
      <c r="F42" s="615"/>
      <c r="G42" s="619" t="s">
        <v>14</v>
      </c>
      <c r="H42" s="608" t="s">
        <v>1068</v>
      </c>
      <c r="I42" s="608" t="s">
        <v>35</v>
      </c>
      <c r="J42" s="608" t="s">
        <v>1249</v>
      </c>
      <c r="K42" s="608" t="s">
        <v>16</v>
      </c>
    </row>
    <row r="43" spans="1:11" x14ac:dyDescent="0.25">
      <c r="A43" s="611"/>
      <c r="B43" s="612"/>
      <c r="C43" s="616"/>
      <c r="D43" s="617"/>
      <c r="E43" s="617"/>
      <c r="F43" s="618"/>
      <c r="G43" s="620"/>
      <c r="H43" s="609"/>
      <c r="I43" s="609"/>
      <c r="J43" s="609"/>
      <c r="K43" s="609"/>
    </row>
    <row r="44" spans="1:11" x14ac:dyDescent="0.25">
      <c r="A44" s="124" t="s">
        <v>1226</v>
      </c>
      <c r="B44" s="6" t="s">
        <v>1281</v>
      </c>
      <c r="C44" s="605"/>
      <c r="D44" s="606"/>
      <c r="E44" s="606"/>
      <c r="F44" s="607"/>
      <c r="G44" s="143">
        <v>2</v>
      </c>
      <c r="H44" s="140" t="s">
        <v>1140</v>
      </c>
      <c r="I44" s="150">
        <v>2</v>
      </c>
      <c r="J44" s="167">
        <f>Insumos!D78</f>
        <v>0</v>
      </c>
      <c r="K44" s="215">
        <f>TRUNC(G44*I44*J44,2)</f>
        <v>0</v>
      </c>
    </row>
    <row r="45" spans="1:11" x14ac:dyDescent="0.25">
      <c r="A45" s="152"/>
      <c r="B45" s="159"/>
      <c r="C45" s="159"/>
      <c r="D45" s="159"/>
      <c r="E45" s="159"/>
      <c r="F45" s="159"/>
      <c r="G45" s="159"/>
      <c r="H45" s="159"/>
      <c r="I45" s="159"/>
      <c r="J45" s="170" t="s">
        <v>1064</v>
      </c>
      <c r="K45" s="218">
        <f>K44</f>
        <v>0</v>
      </c>
    </row>
    <row r="46" spans="1:11" x14ac:dyDescent="0.25">
      <c r="A46" s="146" t="s">
        <v>159</v>
      </c>
      <c r="B46" s="179" t="s">
        <v>1180</v>
      </c>
      <c r="C46" s="148"/>
      <c r="D46" s="148"/>
      <c r="E46" s="148"/>
      <c r="F46" s="148"/>
      <c r="G46" s="148"/>
      <c r="H46" s="148"/>
      <c r="I46" s="148"/>
      <c r="J46" s="148"/>
      <c r="K46" s="188"/>
    </row>
    <row r="47" spans="1:11" x14ac:dyDescent="0.25">
      <c r="A47" s="611" t="s">
        <v>1196</v>
      </c>
      <c r="B47" s="612" t="s">
        <v>1067</v>
      </c>
      <c r="C47" s="613" t="s">
        <v>1197</v>
      </c>
      <c r="D47" s="614"/>
      <c r="E47" s="614"/>
      <c r="F47" s="615"/>
      <c r="G47" s="619" t="s">
        <v>14</v>
      </c>
      <c r="H47" s="608" t="s">
        <v>1068</v>
      </c>
      <c r="I47" s="608" t="s">
        <v>35</v>
      </c>
      <c r="J47" s="608" t="s">
        <v>1249</v>
      </c>
      <c r="K47" s="608" t="s">
        <v>16</v>
      </c>
    </row>
    <row r="48" spans="1:11" x14ac:dyDescent="0.25">
      <c r="A48" s="611"/>
      <c r="B48" s="612"/>
      <c r="C48" s="616"/>
      <c r="D48" s="617"/>
      <c r="E48" s="617"/>
      <c r="F48" s="618"/>
      <c r="G48" s="620"/>
      <c r="H48" s="609"/>
      <c r="I48" s="609"/>
      <c r="J48" s="609"/>
      <c r="K48" s="609"/>
    </row>
    <row r="49" spans="1:11" x14ac:dyDescent="0.25">
      <c r="A49" s="124" t="s">
        <v>1227</v>
      </c>
      <c r="B49" s="6" t="s">
        <v>1181</v>
      </c>
      <c r="C49" s="605"/>
      <c r="D49" s="606"/>
      <c r="E49" s="606"/>
      <c r="F49" s="607"/>
      <c r="G49" s="143">
        <v>2</v>
      </c>
      <c r="H49" s="140" t="s">
        <v>1140</v>
      </c>
      <c r="I49" s="150">
        <v>0.15</v>
      </c>
      <c r="J49" s="167">
        <f>Insumos!D81</f>
        <v>0</v>
      </c>
      <c r="K49" s="215">
        <f>TRUNC(G49*I49*J49,2)</f>
        <v>0</v>
      </c>
    </row>
    <row r="50" spans="1:11" x14ac:dyDescent="0.25">
      <c r="A50" s="124" t="s">
        <v>1229</v>
      </c>
      <c r="B50" s="6" t="s">
        <v>1182</v>
      </c>
      <c r="C50" s="605"/>
      <c r="D50" s="606"/>
      <c r="E50" s="606"/>
      <c r="F50" s="607"/>
      <c r="G50" s="143">
        <v>2</v>
      </c>
      <c r="H50" s="140" t="s">
        <v>1140</v>
      </c>
      <c r="I50" s="150">
        <v>0.15</v>
      </c>
      <c r="J50" s="167">
        <f>Insumos!D82</f>
        <v>0</v>
      </c>
      <c r="K50" s="215">
        <f>TRUNC(G50*I50*J50,2)</f>
        <v>0</v>
      </c>
    </row>
    <row r="51" spans="1:11" x14ac:dyDescent="0.25">
      <c r="A51" s="124" t="s">
        <v>1231</v>
      </c>
      <c r="B51" s="6" t="s">
        <v>1183</v>
      </c>
      <c r="C51" s="605"/>
      <c r="D51" s="606"/>
      <c r="E51" s="606"/>
      <c r="F51" s="607"/>
      <c r="G51" s="143">
        <v>2</v>
      </c>
      <c r="H51" s="140" t="s">
        <v>1140</v>
      </c>
      <c r="I51" s="150">
        <v>0.25</v>
      </c>
      <c r="J51" s="167">
        <f>Insumos!D83</f>
        <v>0</v>
      </c>
      <c r="K51" s="215">
        <f>TRUNC(G51*I51*J51,2)</f>
        <v>0</v>
      </c>
    </row>
    <row r="52" spans="1:11" x14ac:dyDescent="0.25">
      <c r="A52" s="152"/>
      <c r="B52" s="159"/>
      <c r="C52" s="159"/>
      <c r="D52" s="159"/>
      <c r="E52" s="159"/>
      <c r="F52" s="159"/>
      <c r="G52" s="159"/>
      <c r="H52" s="159"/>
      <c r="I52" s="159"/>
      <c r="J52" s="170" t="s">
        <v>1064</v>
      </c>
      <c r="K52" s="218">
        <f>SUM(K49:K51)</f>
        <v>0</v>
      </c>
    </row>
  </sheetData>
  <mergeCells count="55">
    <mergeCell ref="C49:F49"/>
    <mergeCell ref="C50:F50"/>
    <mergeCell ref="C51:F51"/>
    <mergeCell ref="K42:K43"/>
    <mergeCell ref="C44:F44"/>
    <mergeCell ref="I47:I48"/>
    <mergeCell ref="J47:J48"/>
    <mergeCell ref="K47:K48"/>
    <mergeCell ref="A47:A48"/>
    <mergeCell ref="B47:B48"/>
    <mergeCell ref="C47:F48"/>
    <mergeCell ref="G47:G48"/>
    <mergeCell ref="H47:H48"/>
    <mergeCell ref="J37:J38"/>
    <mergeCell ref="K37:K38"/>
    <mergeCell ref="C39:F39"/>
    <mergeCell ref="A42:A43"/>
    <mergeCell ref="B42:B43"/>
    <mergeCell ref="C42:F43"/>
    <mergeCell ref="G42:G43"/>
    <mergeCell ref="H42:H43"/>
    <mergeCell ref="I42:I43"/>
    <mergeCell ref="J42:J43"/>
    <mergeCell ref="A37:A38"/>
    <mergeCell ref="B37:B38"/>
    <mergeCell ref="C37:F38"/>
    <mergeCell ref="G37:G38"/>
    <mergeCell ref="H37:H38"/>
    <mergeCell ref="I37:I38"/>
    <mergeCell ref="J12:J13"/>
    <mergeCell ref="K12:K13"/>
    <mergeCell ref="A22:A23"/>
    <mergeCell ref="B22:B23"/>
    <mergeCell ref="C22:F23"/>
    <mergeCell ref="G22:G23"/>
    <mergeCell ref="H22:H23"/>
    <mergeCell ref="I22:I23"/>
    <mergeCell ref="J22:J23"/>
    <mergeCell ref="K22:K23"/>
    <mergeCell ref="A12:A13"/>
    <mergeCell ref="B12:B13"/>
    <mergeCell ref="C12:F12"/>
    <mergeCell ref="G12:G13"/>
    <mergeCell ref="H12:H13"/>
    <mergeCell ref="I12:I13"/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</mergeCells>
  <pageMargins left="0.511811024" right="0.511811024" top="0.78740157499999996" bottom="0.78740157499999996" header="0.31496062000000002" footer="0.3149606200000000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J56" sqref="J56"/>
    </sheetView>
  </sheetViews>
  <sheetFormatPr defaultRowHeight="15" x14ac:dyDescent="0.25"/>
  <cols>
    <col min="1" max="1" width="11.85546875" customWidth="1"/>
    <col min="2" max="2" width="54" customWidth="1"/>
    <col min="3" max="4" width="8.42578125" customWidth="1"/>
    <col min="5" max="5" width="7.7109375" customWidth="1"/>
    <col min="6" max="7" width="10.85546875" customWidth="1"/>
    <col min="8" max="8" width="9" customWidth="1"/>
    <col min="9" max="9" width="8.5703125" bestFit="1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 t="s">
        <v>160</v>
      </c>
      <c r="B2" s="184" t="s">
        <v>1283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161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x14ac:dyDescent="0.25">
      <c r="A6" s="124" t="s">
        <v>1202</v>
      </c>
      <c r="B6" s="6" t="s">
        <v>1104</v>
      </c>
      <c r="C6" s="143">
        <v>6</v>
      </c>
      <c r="D6" s="143">
        <v>13.5</v>
      </c>
      <c r="E6" s="143">
        <v>3</v>
      </c>
      <c r="F6" s="143">
        <f>E6*D6*C6</f>
        <v>243</v>
      </c>
      <c r="G6" s="143">
        <f>F6</f>
        <v>243</v>
      </c>
      <c r="H6" s="140" t="s">
        <v>1076</v>
      </c>
      <c r="I6" s="150">
        <v>1</v>
      </c>
      <c r="J6" s="167">
        <f>Insumos!D15</f>
        <v>0</v>
      </c>
      <c r="K6" s="199">
        <f>TRUNC(G6*I6*J6,2)</f>
        <v>0</v>
      </c>
    </row>
    <row r="7" spans="1:11" x14ac:dyDescent="0.25">
      <c r="A7" s="124" t="s">
        <v>1203</v>
      </c>
      <c r="B7" s="6" t="s">
        <v>1106</v>
      </c>
      <c r="C7" s="143"/>
      <c r="D7" s="143">
        <f>D6*2</f>
        <v>27</v>
      </c>
      <c r="E7" s="143">
        <v>1.2</v>
      </c>
      <c r="F7" s="143">
        <f>D7*E7</f>
        <v>32.4</v>
      </c>
      <c r="G7" s="143">
        <f>D7*E7</f>
        <v>32.4</v>
      </c>
      <c r="H7" s="140" t="s">
        <v>1076</v>
      </c>
      <c r="I7" s="150">
        <v>1</v>
      </c>
      <c r="J7" s="167">
        <f>Insumos!D16</f>
        <v>0</v>
      </c>
      <c r="K7" s="199">
        <f>TRUNC(G7*I7*J7,2)</f>
        <v>0</v>
      </c>
    </row>
    <row r="8" spans="1:11" x14ac:dyDescent="0.25">
      <c r="A8" s="124" t="s">
        <v>1204</v>
      </c>
      <c r="B8" s="6" t="s">
        <v>1085</v>
      </c>
      <c r="C8" s="141">
        <v>6</v>
      </c>
      <c r="D8" s="141">
        <v>13.5</v>
      </c>
      <c r="E8" s="141"/>
      <c r="F8" s="143">
        <f>C8*D8</f>
        <v>81</v>
      </c>
      <c r="G8" s="143">
        <f>C8*D8</f>
        <v>81</v>
      </c>
      <c r="H8" s="140" t="s">
        <v>1076</v>
      </c>
      <c r="I8" s="150">
        <v>1</v>
      </c>
      <c r="J8" s="167">
        <f>Insumos!D7</f>
        <v>0</v>
      </c>
      <c r="K8" s="199">
        <f>TRUNC(G8*I8*J8,2)</f>
        <v>0</v>
      </c>
    </row>
    <row r="9" spans="1:11" ht="30" x14ac:dyDescent="0.25">
      <c r="A9" s="124" t="s">
        <v>1205</v>
      </c>
      <c r="B9" s="104" t="s">
        <v>1126</v>
      </c>
      <c r="C9" s="143"/>
      <c r="D9" s="143"/>
      <c r="E9" s="143"/>
      <c r="F9" s="143"/>
      <c r="G9" s="143">
        <f>G8</f>
        <v>81</v>
      </c>
      <c r="H9" s="140" t="s">
        <v>1076</v>
      </c>
      <c r="I9" s="150">
        <v>1</v>
      </c>
      <c r="J9" s="167">
        <f>Insumos!D27</f>
        <v>0</v>
      </c>
      <c r="K9" s="199">
        <f>TRUNC(G9*I9*J9,2)</f>
        <v>0</v>
      </c>
    </row>
    <row r="10" spans="1:11" x14ac:dyDescent="0.25">
      <c r="A10" s="152"/>
      <c r="B10" s="159"/>
      <c r="C10" s="154"/>
      <c r="D10" s="154"/>
      <c r="E10" s="154"/>
      <c r="F10" s="154"/>
      <c r="G10" s="154"/>
      <c r="H10" s="154"/>
      <c r="I10" s="154"/>
      <c r="J10" s="155" t="s">
        <v>1064</v>
      </c>
      <c r="K10" s="200">
        <f>SUM(K6:K9)</f>
        <v>0</v>
      </c>
    </row>
    <row r="11" spans="1:11" x14ac:dyDescent="0.25">
      <c r="A11" s="146" t="s">
        <v>162</v>
      </c>
      <c r="B11" s="179" t="s">
        <v>1219</v>
      </c>
      <c r="C11" s="148"/>
      <c r="D11" s="148"/>
      <c r="E11" s="148"/>
      <c r="F11" s="148"/>
      <c r="G11" s="148"/>
      <c r="H11" s="148"/>
      <c r="I11" s="148"/>
      <c r="J11" s="156"/>
      <c r="K11" s="187"/>
    </row>
    <row r="12" spans="1:11" x14ac:dyDescent="0.25">
      <c r="A12" s="611" t="s">
        <v>1196</v>
      </c>
      <c r="B12" s="612" t="s">
        <v>1067</v>
      </c>
      <c r="C12" s="611" t="s">
        <v>1197</v>
      </c>
      <c r="D12" s="611"/>
      <c r="E12" s="611"/>
      <c r="F12" s="611"/>
      <c r="G12" s="619" t="s">
        <v>14</v>
      </c>
      <c r="H12" s="610" t="s">
        <v>1068</v>
      </c>
      <c r="I12" s="608" t="s">
        <v>35</v>
      </c>
      <c r="J12" s="630" t="s">
        <v>1069</v>
      </c>
      <c r="K12" s="630" t="s">
        <v>16</v>
      </c>
    </row>
    <row r="13" spans="1:11" x14ac:dyDescent="0.25">
      <c r="A13" s="611"/>
      <c r="B13" s="612"/>
      <c r="C13" s="161"/>
      <c r="D13" s="161"/>
      <c r="E13" s="161"/>
      <c r="F13" s="161"/>
      <c r="G13" s="620"/>
      <c r="H13" s="610"/>
      <c r="I13" s="609"/>
      <c r="J13" s="630"/>
      <c r="K13" s="630"/>
    </row>
    <row r="14" spans="1:11" x14ac:dyDescent="0.25">
      <c r="A14" s="124" t="s">
        <v>1205</v>
      </c>
      <c r="B14" s="6" t="s">
        <v>1147</v>
      </c>
      <c r="C14" s="143"/>
      <c r="D14" s="143"/>
      <c r="E14" s="143"/>
      <c r="F14" s="143"/>
      <c r="G14" s="143">
        <v>2</v>
      </c>
      <c r="H14" s="140" t="s">
        <v>1140</v>
      </c>
      <c r="I14" s="150">
        <v>0.25</v>
      </c>
      <c r="J14" s="167">
        <f>Insumos!D49</f>
        <v>0</v>
      </c>
      <c r="K14" s="215">
        <f t="shared" ref="K14:K19" si="0">TRUNC(G14*I14*J14,2)</f>
        <v>0</v>
      </c>
    </row>
    <row r="15" spans="1:11" x14ac:dyDescent="0.25">
      <c r="A15" s="124" t="s">
        <v>1206</v>
      </c>
      <c r="B15" s="6" t="s">
        <v>1148</v>
      </c>
      <c r="C15" s="143"/>
      <c r="D15" s="143"/>
      <c r="E15" s="143"/>
      <c r="F15" s="143"/>
      <c r="G15" s="143">
        <v>2</v>
      </c>
      <c r="H15" s="140" t="s">
        <v>1140</v>
      </c>
      <c r="I15" s="150">
        <v>0.25</v>
      </c>
      <c r="J15" s="167">
        <f>Insumos!D50</f>
        <v>0</v>
      </c>
      <c r="K15" s="215">
        <f t="shared" si="0"/>
        <v>0</v>
      </c>
    </row>
    <row r="16" spans="1:11" x14ac:dyDescent="0.25">
      <c r="A16" s="124" t="s">
        <v>1207</v>
      </c>
      <c r="B16" s="6" t="s">
        <v>1149</v>
      </c>
      <c r="C16" s="143"/>
      <c r="D16" s="143"/>
      <c r="E16" s="143"/>
      <c r="F16" s="143"/>
      <c r="G16" s="143">
        <v>4</v>
      </c>
      <c r="H16" s="140" t="s">
        <v>1140</v>
      </c>
      <c r="I16" s="150">
        <v>0.25</v>
      </c>
      <c r="J16" s="167">
        <f>Insumos!D51</f>
        <v>0</v>
      </c>
      <c r="K16" s="215">
        <f t="shared" si="0"/>
        <v>0</v>
      </c>
    </row>
    <row r="17" spans="1:11" x14ac:dyDescent="0.25">
      <c r="A17" s="124" t="s">
        <v>1208</v>
      </c>
      <c r="B17" s="6" t="s">
        <v>1150</v>
      </c>
      <c r="C17" s="143"/>
      <c r="D17" s="143"/>
      <c r="E17" s="143"/>
      <c r="F17" s="143"/>
      <c r="G17" s="143">
        <v>20</v>
      </c>
      <c r="H17" s="140" t="s">
        <v>1151</v>
      </c>
      <c r="I17" s="150">
        <v>0.1</v>
      </c>
      <c r="J17" s="167">
        <f>Insumos!D52</f>
        <v>0</v>
      </c>
      <c r="K17" s="215">
        <f t="shared" si="0"/>
        <v>0</v>
      </c>
    </row>
    <row r="18" spans="1:11" x14ac:dyDescent="0.25">
      <c r="A18" s="124" t="s">
        <v>1209</v>
      </c>
      <c r="B18" s="6" t="s">
        <v>1152</v>
      </c>
      <c r="C18" s="143"/>
      <c r="D18" s="143"/>
      <c r="E18" s="143"/>
      <c r="F18" s="143"/>
      <c r="G18" s="143">
        <v>10</v>
      </c>
      <c r="H18" s="140" t="s">
        <v>1124</v>
      </c>
      <c r="I18" s="150">
        <v>0.1</v>
      </c>
      <c r="J18" s="167">
        <f>Insumos!D53</f>
        <v>0</v>
      </c>
      <c r="K18" s="215">
        <f t="shared" si="0"/>
        <v>0</v>
      </c>
    </row>
    <row r="19" spans="1:11" x14ac:dyDescent="0.25">
      <c r="A19" s="124" t="s">
        <v>1210</v>
      </c>
      <c r="B19" s="6" t="s">
        <v>1248</v>
      </c>
      <c r="C19" s="143"/>
      <c r="D19" s="143"/>
      <c r="E19" s="143"/>
      <c r="F19" s="143"/>
      <c r="G19" s="143">
        <v>6</v>
      </c>
      <c r="H19" s="140" t="s">
        <v>1154</v>
      </c>
      <c r="I19" s="150">
        <v>0.1</v>
      </c>
      <c r="J19" s="167">
        <f>Insumos!D54</f>
        <v>0</v>
      </c>
      <c r="K19" s="215">
        <f t="shared" si="0"/>
        <v>0</v>
      </c>
    </row>
    <row r="20" spans="1:11" x14ac:dyDescent="0.25">
      <c r="A20" s="152"/>
      <c r="B20" s="159"/>
      <c r="C20" s="154"/>
      <c r="D20" s="154"/>
      <c r="E20" s="154"/>
      <c r="F20" s="154"/>
      <c r="G20" s="154"/>
      <c r="H20" s="157"/>
      <c r="I20" s="157"/>
      <c r="J20" s="158" t="s">
        <v>1064</v>
      </c>
      <c r="K20" s="203">
        <f>SUM(K14:K19)</f>
        <v>0</v>
      </c>
    </row>
    <row r="21" spans="1:11" x14ac:dyDescent="0.25">
      <c r="A21" s="146" t="s">
        <v>163</v>
      </c>
      <c r="B21" s="179" t="s">
        <v>1155</v>
      </c>
      <c r="C21" s="148"/>
      <c r="D21" s="148"/>
      <c r="E21" s="148"/>
      <c r="F21" s="148"/>
      <c r="G21" s="148"/>
      <c r="H21" s="148"/>
      <c r="I21" s="148"/>
      <c r="J21" s="156"/>
      <c r="K21" s="187"/>
    </row>
    <row r="22" spans="1:11" x14ac:dyDescent="0.25">
      <c r="A22" s="611" t="s">
        <v>1196</v>
      </c>
      <c r="B22" s="612" t="s">
        <v>1067</v>
      </c>
      <c r="C22" s="613" t="s">
        <v>1197</v>
      </c>
      <c r="D22" s="614"/>
      <c r="E22" s="614"/>
      <c r="F22" s="615"/>
      <c r="G22" s="619" t="s">
        <v>14</v>
      </c>
      <c r="H22" s="610" t="s">
        <v>1068</v>
      </c>
      <c r="I22" s="608" t="s">
        <v>35</v>
      </c>
      <c r="J22" s="630" t="s">
        <v>1249</v>
      </c>
      <c r="K22" s="630" t="s">
        <v>16</v>
      </c>
    </row>
    <row r="23" spans="1:11" x14ac:dyDescent="0.25">
      <c r="A23" s="611"/>
      <c r="B23" s="612"/>
      <c r="C23" s="616"/>
      <c r="D23" s="617"/>
      <c r="E23" s="617"/>
      <c r="F23" s="618"/>
      <c r="G23" s="620"/>
      <c r="H23" s="610"/>
      <c r="I23" s="609"/>
      <c r="J23" s="630"/>
      <c r="K23" s="630"/>
    </row>
    <row r="24" spans="1:11" x14ac:dyDescent="0.25">
      <c r="A24" s="124" t="s">
        <v>1211</v>
      </c>
      <c r="B24" s="104" t="s">
        <v>1156</v>
      </c>
      <c r="C24" s="143"/>
      <c r="D24" s="143"/>
      <c r="E24" s="143"/>
      <c r="F24" s="143"/>
      <c r="G24" s="143">
        <v>9.7200000000000006</v>
      </c>
      <c r="H24" s="140" t="s">
        <v>1228</v>
      </c>
      <c r="I24" s="150">
        <v>0.25</v>
      </c>
      <c r="J24" s="167">
        <f>Insumos!D58</f>
        <v>0</v>
      </c>
      <c r="K24" s="215">
        <f t="shared" ref="K24:K34" si="1">TRUNC(G24*I24*J24,2)</f>
        <v>0</v>
      </c>
    </row>
    <row r="25" spans="1:11" x14ac:dyDescent="0.25">
      <c r="A25" s="124" t="s">
        <v>1212</v>
      </c>
      <c r="B25" s="104" t="s">
        <v>1171</v>
      </c>
      <c r="C25" s="143"/>
      <c r="D25" s="143"/>
      <c r="E25" s="143"/>
      <c r="F25" s="143"/>
      <c r="G25" s="143">
        <f>F8</f>
        <v>81</v>
      </c>
      <c r="H25" s="140" t="s">
        <v>1089</v>
      </c>
      <c r="I25" s="150">
        <v>0.5</v>
      </c>
      <c r="J25" s="167">
        <f>Insumos!D69</f>
        <v>0</v>
      </c>
      <c r="K25" s="215">
        <f t="shared" si="1"/>
        <v>0</v>
      </c>
    </row>
    <row r="26" spans="1:11" x14ac:dyDescent="0.25">
      <c r="A26" s="124" t="s">
        <v>1213</v>
      </c>
      <c r="B26" s="104" t="s">
        <v>1158</v>
      </c>
      <c r="C26" s="143"/>
      <c r="D26" s="143"/>
      <c r="E26" s="143"/>
      <c r="F26" s="143"/>
      <c r="G26" s="143">
        <v>1.1664000000000001</v>
      </c>
      <c r="H26" s="140" t="s">
        <v>1261</v>
      </c>
      <c r="I26" s="150">
        <v>1</v>
      </c>
      <c r="J26" s="167">
        <f>Insumos!D60</f>
        <v>0</v>
      </c>
      <c r="K26" s="215">
        <f t="shared" si="1"/>
        <v>0</v>
      </c>
    </row>
    <row r="27" spans="1:11" x14ac:dyDescent="0.25">
      <c r="A27" s="124" t="s">
        <v>1214</v>
      </c>
      <c r="B27" s="104" t="s">
        <v>1160</v>
      </c>
      <c r="C27" s="143"/>
      <c r="D27" s="143"/>
      <c r="E27" s="143"/>
      <c r="F27" s="143"/>
      <c r="G27" s="143">
        <v>1.5552000000000001</v>
      </c>
      <c r="H27" s="140" t="s">
        <v>1261</v>
      </c>
      <c r="I27" s="150">
        <v>1</v>
      </c>
      <c r="J27" s="167">
        <f>Insumos!D61</f>
        <v>0</v>
      </c>
      <c r="K27" s="215">
        <f t="shared" si="1"/>
        <v>0</v>
      </c>
    </row>
    <row r="28" spans="1:11" x14ac:dyDescent="0.25">
      <c r="A28" s="124" t="s">
        <v>1215</v>
      </c>
      <c r="B28" s="104" t="s">
        <v>1161</v>
      </c>
      <c r="C28" s="143"/>
      <c r="D28" s="143"/>
      <c r="E28" s="143"/>
      <c r="F28" s="143"/>
      <c r="G28" s="143">
        <v>2.1772800000000001</v>
      </c>
      <c r="H28" s="140" t="s">
        <v>1162</v>
      </c>
      <c r="I28" s="150">
        <v>1</v>
      </c>
      <c r="J28" s="167">
        <f>Insumos!D62</f>
        <v>0</v>
      </c>
      <c r="K28" s="215">
        <f t="shared" si="1"/>
        <v>0</v>
      </c>
    </row>
    <row r="29" spans="1:11" x14ac:dyDescent="0.25">
      <c r="A29" s="124" t="s">
        <v>1216</v>
      </c>
      <c r="B29" s="104" t="s">
        <v>1163</v>
      </c>
      <c r="C29" s="143"/>
      <c r="D29" s="143"/>
      <c r="E29" s="143"/>
      <c r="F29" s="143"/>
      <c r="G29" s="195">
        <v>2</v>
      </c>
      <c r="H29" s="140" t="s">
        <v>1280</v>
      </c>
      <c r="I29" s="150">
        <v>0.5</v>
      </c>
      <c r="J29" s="167">
        <f>Insumos!D63</f>
        <v>0</v>
      </c>
      <c r="K29" s="215">
        <f t="shared" si="1"/>
        <v>0</v>
      </c>
    </row>
    <row r="30" spans="1:11" x14ac:dyDescent="0.25">
      <c r="A30" s="124" t="s">
        <v>1217</v>
      </c>
      <c r="B30" s="104" t="s">
        <v>1164</v>
      </c>
      <c r="C30" s="143"/>
      <c r="D30" s="143"/>
      <c r="E30" s="143"/>
      <c r="F30" s="143"/>
      <c r="G30" s="143">
        <v>2</v>
      </c>
      <c r="H30" s="140" t="s">
        <v>1280</v>
      </c>
      <c r="I30" s="150">
        <v>0.5</v>
      </c>
      <c r="J30" s="167">
        <f>Insumos!D64</f>
        <v>0</v>
      </c>
      <c r="K30" s="215">
        <f t="shared" si="1"/>
        <v>0</v>
      </c>
    </row>
    <row r="31" spans="1:11" x14ac:dyDescent="0.25">
      <c r="A31" s="124" t="s">
        <v>1220</v>
      </c>
      <c r="B31" s="104" t="s">
        <v>1165</v>
      </c>
      <c r="C31" s="143"/>
      <c r="D31" s="143"/>
      <c r="E31" s="143"/>
      <c r="F31" s="143"/>
      <c r="G31" s="143">
        <v>2</v>
      </c>
      <c r="H31" s="140" t="s">
        <v>1280</v>
      </c>
      <c r="I31" s="150">
        <v>0.25</v>
      </c>
      <c r="J31" s="167">
        <f>Insumos!D65</f>
        <v>0</v>
      </c>
      <c r="K31" s="215">
        <f t="shared" si="1"/>
        <v>0</v>
      </c>
    </row>
    <row r="32" spans="1:11" x14ac:dyDescent="0.25">
      <c r="A32" s="124" t="s">
        <v>1222</v>
      </c>
      <c r="B32" s="104" t="s">
        <v>1166</v>
      </c>
      <c r="C32" s="143"/>
      <c r="D32" s="143"/>
      <c r="E32" s="143"/>
      <c r="F32" s="143"/>
      <c r="G32" s="143">
        <v>1.1000000000000001</v>
      </c>
      <c r="H32" s="140" t="s">
        <v>1280</v>
      </c>
      <c r="I32" s="150">
        <v>1</v>
      </c>
      <c r="J32" s="167">
        <f>Insumos!D66</f>
        <v>0</v>
      </c>
      <c r="K32" s="215">
        <f t="shared" si="1"/>
        <v>0</v>
      </c>
    </row>
    <row r="33" spans="1:11" x14ac:dyDescent="0.25">
      <c r="A33" s="124" t="s">
        <v>1223</v>
      </c>
      <c r="B33" s="104" t="s">
        <v>1167</v>
      </c>
      <c r="C33" s="143"/>
      <c r="D33" s="143"/>
      <c r="E33" s="143"/>
      <c r="F33" s="143"/>
      <c r="G33" s="143">
        <v>0.96</v>
      </c>
      <c r="H33" s="140" t="s">
        <v>1269</v>
      </c>
      <c r="I33" s="150">
        <v>1.25</v>
      </c>
      <c r="J33" s="167">
        <f>Insumos!D67</f>
        <v>0</v>
      </c>
      <c r="K33" s="215">
        <f t="shared" si="1"/>
        <v>0</v>
      </c>
    </row>
    <row r="34" spans="1:11" x14ac:dyDescent="0.25">
      <c r="A34" s="124" t="s">
        <v>1224</v>
      </c>
      <c r="B34" s="104" t="s">
        <v>1169</v>
      </c>
      <c r="C34" s="143"/>
      <c r="D34" s="143"/>
      <c r="E34" s="143"/>
      <c r="F34" s="143"/>
      <c r="G34" s="143">
        <v>0.25</v>
      </c>
      <c r="H34" s="140" t="s">
        <v>1170</v>
      </c>
      <c r="I34" s="150">
        <v>1.25</v>
      </c>
      <c r="J34" s="167">
        <f>Insumos!D68</f>
        <v>0</v>
      </c>
      <c r="K34" s="215">
        <f t="shared" si="1"/>
        <v>0</v>
      </c>
    </row>
    <row r="35" spans="1:11" x14ac:dyDescent="0.25">
      <c r="A35" s="152"/>
      <c r="B35" s="159"/>
      <c r="C35" s="159"/>
      <c r="D35" s="159"/>
      <c r="E35" s="159"/>
      <c r="F35" s="159"/>
      <c r="G35" s="159"/>
      <c r="H35" s="159"/>
      <c r="I35" s="159"/>
      <c r="J35" s="160" t="s">
        <v>1064</v>
      </c>
      <c r="K35" s="205">
        <f>SUM(K24:K34)</f>
        <v>0</v>
      </c>
    </row>
    <row r="36" spans="1:11" x14ac:dyDescent="0.25">
      <c r="A36" s="146" t="s">
        <v>164</v>
      </c>
      <c r="B36" s="179" t="s">
        <v>1176</v>
      </c>
      <c r="C36" s="148"/>
      <c r="D36" s="148"/>
      <c r="E36" s="148"/>
      <c r="F36" s="148"/>
      <c r="G36" s="148"/>
      <c r="H36" s="148"/>
      <c r="I36" s="148"/>
      <c r="J36" s="156"/>
      <c r="K36" s="187"/>
    </row>
    <row r="37" spans="1:11" x14ac:dyDescent="0.25">
      <c r="A37" s="611" t="s">
        <v>1196</v>
      </c>
      <c r="B37" s="612" t="s">
        <v>1067</v>
      </c>
      <c r="C37" s="613" t="s">
        <v>1197</v>
      </c>
      <c r="D37" s="614"/>
      <c r="E37" s="614"/>
      <c r="F37" s="615"/>
      <c r="G37" s="619" t="s">
        <v>14</v>
      </c>
      <c r="H37" s="610" t="s">
        <v>1068</v>
      </c>
      <c r="I37" s="608" t="s">
        <v>35</v>
      </c>
      <c r="J37" s="630" t="s">
        <v>1249</v>
      </c>
      <c r="K37" s="630" t="s">
        <v>16</v>
      </c>
    </row>
    <row r="38" spans="1:11" x14ac:dyDescent="0.25">
      <c r="A38" s="611"/>
      <c r="B38" s="612"/>
      <c r="C38" s="616"/>
      <c r="D38" s="617"/>
      <c r="E38" s="617"/>
      <c r="F38" s="618"/>
      <c r="G38" s="620"/>
      <c r="H38" s="610"/>
      <c r="I38" s="609"/>
      <c r="J38" s="630"/>
      <c r="K38" s="630"/>
    </row>
    <row r="39" spans="1:11" x14ac:dyDescent="0.25">
      <c r="A39" s="124" t="s">
        <v>1225</v>
      </c>
      <c r="B39" s="6" t="s">
        <v>1242</v>
      </c>
      <c r="C39" s="605"/>
      <c r="D39" s="606"/>
      <c r="E39" s="606"/>
      <c r="F39" s="607"/>
      <c r="G39" s="143">
        <v>2</v>
      </c>
      <c r="H39" s="140" t="s">
        <v>1140</v>
      </c>
      <c r="I39" s="150">
        <v>4</v>
      </c>
      <c r="J39" s="167">
        <f>Insumos!D75</f>
        <v>0</v>
      </c>
      <c r="K39" s="215">
        <f>TRUNC(G39*I39*J39,2)</f>
        <v>0</v>
      </c>
    </row>
    <row r="40" spans="1:11" x14ac:dyDescent="0.25">
      <c r="A40" s="152"/>
      <c r="B40" s="159"/>
      <c r="C40" s="159"/>
      <c r="D40" s="159"/>
      <c r="E40" s="159"/>
      <c r="F40" s="159"/>
      <c r="G40" s="159"/>
      <c r="H40" s="159"/>
      <c r="I40" s="159"/>
      <c r="J40" s="160" t="s">
        <v>1064</v>
      </c>
      <c r="K40" s="205">
        <f>SUM(K39)</f>
        <v>0</v>
      </c>
    </row>
    <row r="41" spans="1:11" x14ac:dyDescent="0.25">
      <c r="A41" s="146" t="s">
        <v>165</v>
      </c>
      <c r="B41" s="179" t="s">
        <v>1178</v>
      </c>
      <c r="C41" s="148"/>
      <c r="D41" s="148"/>
      <c r="E41" s="148"/>
      <c r="F41" s="148"/>
      <c r="G41" s="148"/>
      <c r="H41" s="148"/>
      <c r="I41" s="148"/>
      <c r="J41" s="156"/>
      <c r="K41" s="187"/>
    </row>
    <row r="42" spans="1:11" x14ac:dyDescent="0.25">
      <c r="A42" s="611" t="s">
        <v>1196</v>
      </c>
      <c r="B42" s="612" t="s">
        <v>1067</v>
      </c>
      <c r="C42" s="613" t="s">
        <v>1197</v>
      </c>
      <c r="D42" s="614"/>
      <c r="E42" s="614"/>
      <c r="F42" s="615"/>
      <c r="G42" s="619" t="s">
        <v>14</v>
      </c>
      <c r="H42" s="610" t="s">
        <v>1068</v>
      </c>
      <c r="I42" s="608" t="s">
        <v>35</v>
      </c>
      <c r="J42" s="630" t="s">
        <v>1249</v>
      </c>
      <c r="K42" s="630" t="s">
        <v>16</v>
      </c>
    </row>
    <row r="43" spans="1:11" x14ac:dyDescent="0.25">
      <c r="A43" s="611"/>
      <c r="B43" s="612"/>
      <c r="C43" s="616"/>
      <c r="D43" s="617"/>
      <c r="E43" s="617"/>
      <c r="F43" s="618"/>
      <c r="G43" s="620"/>
      <c r="H43" s="610"/>
      <c r="I43" s="609"/>
      <c r="J43" s="630"/>
      <c r="K43" s="630"/>
    </row>
    <row r="44" spans="1:11" x14ac:dyDescent="0.25">
      <c r="A44" s="124" t="s">
        <v>1226</v>
      </c>
      <c r="B44" s="6" t="s">
        <v>1281</v>
      </c>
      <c r="C44" s="605"/>
      <c r="D44" s="606"/>
      <c r="E44" s="606"/>
      <c r="F44" s="607"/>
      <c r="G44" s="143">
        <v>2</v>
      </c>
      <c r="H44" s="140" t="s">
        <v>1140</v>
      </c>
      <c r="I44" s="150">
        <v>2</v>
      </c>
      <c r="J44" s="167">
        <f>Insumos!D78</f>
        <v>0</v>
      </c>
      <c r="K44" s="215">
        <f>TRUNC(G44*I44*J44,2)</f>
        <v>0</v>
      </c>
    </row>
    <row r="45" spans="1:11" x14ac:dyDescent="0.25">
      <c r="A45" s="152"/>
      <c r="B45" s="159"/>
      <c r="C45" s="159"/>
      <c r="D45" s="159"/>
      <c r="E45" s="159"/>
      <c r="F45" s="159"/>
      <c r="G45" s="159"/>
      <c r="H45" s="159"/>
      <c r="I45" s="159"/>
      <c r="J45" s="160" t="s">
        <v>1064</v>
      </c>
      <c r="K45" s="205">
        <f>K44</f>
        <v>0</v>
      </c>
    </row>
    <row r="46" spans="1:11" x14ac:dyDescent="0.25">
      <c r="A46" s="146" t="s">
        <v>166</v>
      </c>
      <c r="B46" s="179" t="s">
        <v>1180</v>
      </c>
      <c r="C46" s="148"/>
      <c r="D46" s="148"/>
      <c r="E46" s="148"/>
      <c r="F46" s="148"/>
      <c r="G46" s="148"/>
      <c r="H46" s="148"/>
      <c r="I46" s="148"/>
      <c r="J46" s="156"/>
      <c r="K46" s="187"/>
    </row>
    <row r="47" spans="1:11" x14ac:dyDescent="0.25">
      <c r="A47" s="611" t="s">
        <v>1196</v>
      </c>
      <c r="B47" s="612" t="s">
        <v>1067</v>
      </c>
      <c r="C47" s="613" t="s">
        <v>1197</v>
      </c>
      <c r="D47" s="614"/>
      <c r="E47" s="614"/>
      <c r="F47" s="615"/>
      <c r="G47" s="619" t="s">
        <v>14</v>
      </c>
      <c r="H47" s="610" t="s">
        <v>1068</v>
      </c>
      <c r="I47" s="608" t="s">
        <v>35</v>
      </c>
      <c r="J47" s="630" t="s">
        <v>1249</v>
      </c>
      <c r="K47" s="630" t="s">
        <v>16</v>
      </c>
    </row>
    <row r="48" spans="1:11" x14ac:dyDescent="0.25">
      <c r="A48" s="611"/>
      <c r="B48" s="612"/>
      <c r="C48" s="616"/>
      <c r="D48" s="617"/>
      <c r="E48" s="617"/>
      <c r="F48" s="618"/>
      <c r="G48" s="620"/>
      <c r="H48" s="610"/>
      <c r="I48" s="609"/>
      <c r="J48" s="630"/>
      <c r="K48" s="630"/>
    </row>
    <row r="49" spans="1:11" x14ac:dyDescent="0.25">
      <c r="A49" s="124" t="s">
        <v>1227</v>
      </c>
      <c r="B49" s="6" t="s">
        <v>1181</v>
      </c>
      <c r="C49" s="605"/>
      <c r="D49" s="606"/>
      <c r="E49" s="606"/>
      <c r="F49" s="607"/>
      <c r="G49" s="143">
        <v>2</v>
      </c>
      <c r="H49" s="140" t="s">
        <v>1140</v>
      </c>
      <c r="I49" s="150">
        <v>0.15</v>
      </c>
      <c r="J49" s="167">
        <f>Insumos!D81</f>
        <v>0</v>
      </c>
      <c r="K49" s="215">
        <f>TRUNC(G49*I49*J49,2)</f>
        <v>0</v>
      </c>
    </row>
    <row r="50" spans="1:11" x14ac:dyDescent="0.25">
      <c r="A50" s="124" t="s">
        <v>1229</v>
      </c>
      <c r="B50" s="6" t="s">
        <v>1182</v>
      </c>
      <c r="C50" s="605"/>
      <c r="D50" s="606"/>
      <c r="E50" s="606"/>
      <c r="F50" s="607"/>
      <c r="G50" s="143">
        <v>2</v>
      </c>
      <c r="H50" s="140" t="s">
        <v>1140</v>
      </c>
      <c r="I50" s="150">
        <v>0.15</v>
      </c>
      <c r="J50" s="167">
        <f>Insumos!D82</f>
        <v>0</v>
      </c>
      <c r="K50" s="215">
        <f>TRUNC(G50*I50*J50,2)</f>
        <v>0</v>
      </c>
    </row>
    <row r="51" spans="1:11" x14ac:dyDescent="0.25">
      <c r="A51" s="124" t="s">
        <v>1231</v>
      </c>
      <c r="B51" s="6" t="s">
        <v>1183</v>
      </c>
      <c r="C51" s="605"/>
      <c r="D51" s="606"/>
      <c r="E51" s="606"/>
      <c r="F51" s="607"/>
      <c r="G51" s="143">
        <v>2</v>
      </c>
      <c r="H51" s="140" t="s">
        <v>1140</v>
      </c>
      <c r="I51" s="150">
        <v>0.25</v>
      </c>
      <c r="J51" s="167">
        <f>Insumos!D83</f>
        <v>0</v>
      </c>
      <c r="K51" s="215">
        <f>TRUNC(G51*I51*J51,2)</f>
        <v>0</v>
      </c>
    </row>
    <row r="52" spans="1:11" x14ac:dyDescent="0.25">
      <c r="A52" s="152"/>
      <c r="B52" s="159"/>
      <c r="C52" s="159"/>
      <c r="D52" s="159"/>
      <c r="E52" s="159"/>
      <c r="F52" s="159"/>
      <c r="G52" s="159"/>
      <c r="H52" s="159"/>
      <c r="I52" s="159"/>
      <c r="J52" s="160" t="s">
        <v>1064</v>
      </c>
      <c r="K52" s="205">
        <f>SUM(K49:K51)</f>
        <v>0</v>
      </c>
    </row>
  </sheetData>
  <mergeCells count="55">
    <mergeCell ref="C49:F49"/>
    <mergeCell ref="C50:F50"/>
    <mergeCell ref="C51:F51"/>
    <mergeCell ref="K42:K43"/>
    <mergeCell ref="C44:F44"/>
    <mergeCell ref="I47:I48"/>
    <mergeCell ref="J47:J48"/>
    <mergeCell ref="K47:K48"/>
    <mergeCell ref="A47:A48"/>
    <mergeCell ref="B47:B48"/>
    <mergeCell ref="C47:F48"/>
    <mergeCell ref="G47:G48"/>
    <mergeCell ref="H47:H48"/>
    <mergeCell ref="J37:J38"/>
    <mergeCell ref="K37:K38"/>
    <mergeCell ref="C39:F39"/>
    <mergeCell ref="A42:A43"/>
    <mergeCell ref="B42:B43"/>
    <mergeCell ref="C42:F43"/>
    <mergeCell ref="G42:G43"/>
    <mergeCell ref="H42:H43"/>
    <mergeCell ref="I42:I43"/>
    <mergeCell ref="J42:J43"/>
    <mergeCell ref="A37:A38"/>
    <mergeCell ref="B37:B38"/>
    <mergeCell ref="C37:F38"/>
    <mergeCell ref="G37:G38"/>
    <mergeCell ref="H37:H38"/>
    <mergeCell ref="I37:I38"/>
    <mergeCell ref="J12:J13"/>
    <mergeCell ref="K12:K13"/>
    <mergeCell ref="A22:A23"/>
    <mergeCell ref="B22:B23"/>
    <mergeCell ref="C22:F23"/>
    <mergeCell ref="G22:G23"/>
    <mergeCell ref="H22:H23"/>
    <mergeCell ref="I22:I23"/>
    <mergeCell ref="J22:J23"/>
    <mergeCell ref="K22:K23"/>
    <mergeCell ref="A12:A13"/>
    <mergeCell ref="B12:B13"/>
    <mergeCell ref="C12:F12"/>
    <mergeCell ref="G12:G13"/>
    <mergeCell ref="H12:H13"/>
    <mergeCell ref="I12:I13"/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</mergeCells>
  <pageMargins left="0.511811024" right="0.511811024" top="0.78740157499999996" bottom="0.78740157499999996" header="0.31496062000000002" footer="0.3149606200000000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view="pageBreakPreview" topLeftCell="A9" zoomScale="80" zoomScaleNormal="100" zoomScaleSheetLayoutView="80" workbookViewId="0">
      <selection activeCell="B3" sqref="B3:F3"/>
    </sheetView>
  </sheetViews>
  <sheetFormatPr defaultRowHeight="15" x14ac:dyDescent="0.25"/>
  <cols>
    <col min="1" max="1" width="11.7109375" customWidth="1"/>
    <col min="2" max="2" width="54" customWidth="1"/>
    <col min="3" max="4" width="8.42578125" customWidth="1"/>
    <col min="5" max="5" width="7.7109375" customWidth="1"/>
    <col min="6" max="7" width="10.85546875" customWidth="1"/>
    <col min="8" max="8" width="10" bestFit="1" customWidth="1"/>
    <col min="9" max="9" width="9.42578125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31</v>
      </c>
      <c r="B2" s="184" t="s">
        <v>1437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1815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1323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13" t="s">
        <v>1276</v>
      </c>
      <c r="C6" s="243">
        <v>1</v>
      </c>
      <c r="D6" s="243">
        <v>1</v>
      </c>
      <c r="E6" s="243"/>
      <c r="F6" s="385">
        <f>D6*C6</f>
        <v>1</v>
      </c>
      <c r="G6" s="243">
        <f>SUM(F6:F6)</f>
        <v>1</v>
      </c>
      <c r="H6" s="244" t="s">
        <v>1089</v>
      </c>
      <c r="I6" s="266">
        <v>0.6</v>
      </c>
      <c r="J6" s="254">
        <f>Insumos!D7</f>
        <v>0</v>
      </c>
      <c r="K6" s="263">
        <f>TRUNC(G6*I6*J6,2)</f>
        <v>0</v>
      </c>
    </row>
    <row r="7" spans="1:11" s="247" customFormat="1" x14ac:dyDescent="0.25">
      <c r="A7" s="394"/>
      <c r="B7" s="386"/>
      <c r="C7" s="382"/>
      <c r="D7" s="382"/>
      <c r="E7" s="382"/>
      <c r="F7" s="382"/>
      <c r="G7" s="382"/>
      <c r="H7" s="382"/>
      <c r="I7" s="382"/>
      <c r="J7" s="395" t="s">
        <v>1064</v>
      </c>
      <c r="K7" s="396">
        <f>SUM(K6)</f>
        <v>0</v>
      </c>
    </row>
    <row r="8" spans="1:11" s="247" customFormat="1" x14ac:dyDescent="0.25">
      <c r="A8" s="401" t="s">
        <v>1816</v>
      </c>
      <c r="B8" s="402" t="s">
        <v>1219</v>
      </c>
      <c r="C8" s="383"/>
      <c r="D8" s="383"/>
      <c r="E8" s="383"/>
      <c r="F8" s="383"/>
      <c r="G8" s="383"/>
      <c r="H8" s="383"/>
      <c r="I8" s="383"/>
      <c r="J8" s="403"/>
      <c r="K8" s="404"/>
    </row>
    <row r="9" spans="1:11" s="247" customFormat="1" x14ac:dyDescent="0.25">
      <c r="A9" s="643" t="s">
        <v>1196</v>
      </c>
      <c r="B9" s="612" t="s">
        <v>1067</v>
      </c>
      <c r="C9" s="637">
        <v>6.6</v>
      </c>
      <c r="D9" s="638"/>
      <c r="E9" s="638"/>
      <c r="F9" s="639"/>
      <c r="G9" s="674" t="s">
        <v>14</v>
      </c>
      <c r="H9" s="676" t="s">
        <v>1068</v>
      </c>
      <c r="I9" s="679" t="s">
        <v>35</v>
      </c>
      <c r="J9" s="673" t="s">
        <v>1069</v>
      </c>
      <c r="K9" s="673" t="s">
        <v>16</v>
      </c>
    </row>
    <row r="10" spans="1:11" s="247" customFormat="1" x14ac:dyDescent="0.25">
      <c r="A10" s="643"/>
      <c r="B10" s="612"/>
      <c r="C10" s="640"/>
      <c r="D10" s="641"/>
      <c r="E10" s="641"/>
      <c r="F10" s="642"/>
      <c r="G10" s="675"/>
      <c r="H10" s="676"/>
      <c r="I10" s="680"/>
      <c r="J10" s="673"/>
      <c r="K10" s="673"/>
    </row>
    <row r="11" spans="1:11" s="247" customFormat="1" x14ac:dyDescent="0.25">
      <c r="A11" s="34" t="s">
        <v>1203</v>
      </c>
      <c r="B11" s="251" t="s">
        <v>1147</v>
      </c>
      <c r="C11" s="243"/>
      <c r="D11" s="243"/>
      <c r="E11" s="243"/>
      <c r="F11" s="243"/>
      <c r="G11" s="243">
        <v>0.1</v>
      </c>
      <c r="H11" s="244" t="s">
        <v>1140</v>
      </c>
      <c r="I11" s="150">
        <f>G11/SUM($G$11:$G$12)</f>
        <v>0.5</v>
      </c>
      <c r="J11" s="409">
        <f>Insumos!D49</f>
        <v>0</v>
      </c>
      <c r="K11" s="263">
        <f>TRUNC(G11*I11*J11,2)</f>
        <v>0</v>
      </c>
    </row>
    <row r="12" spans="1:11" x14ac:dyDescent="0.25">
      <c r="A12" s="124" t="s">
        <v>1204</v>
      </c>
      <c r="B12" s="6" t="s">
        <v>1248</v>
      </c>
      <c r="C12" s="313"/>
      <c r="D12" s="313"/>
      <c r="E12" s="313"/>
      <c r="F12" s="313"/>
      <c r="G12" s="143">
        <v>0.1</v>
      </c>
      <c r="H12" s="140" t="s">
        <v>1154</v>
      </c>
      <c r="I12" s="150">
        <f>G12/SUM($G$11:$G$12)</f>
        <v>0.5</v>
      </c>
      <c r="J12" s="214">
        <f>Insumos!D54</f>
        <v>0</v>
      </c>
      <c r="K12" s="199">
        <f>TRUNC(G12*I12*J12,2)</f>
        <v>0</v>
      </c>
    </row>
    <row r="13" spans="1:11" x14ac:dyDescent="0.25">
      <c r="A13" s="152"/>
      <c r="B13" s="159"/>
      <c r="C13" s="387"/>
      <c r="D13" s="387"/>
      <c r="E13" s="387"/>
      <c r="F13" s="387"/>
      <c r="G13" s="154"/>
      <c r="H13" s="157"/>
      <c r="I13" s="157"/>
      <c r="J13" s="158" t="s">
        <v>1064</v>
      </c>
      <c r="K13" s="203">
        <f>SUM(K11:K12)</f>
        <v>0</v>
      </c>
    </row>
    <row r="14" spans="1:11" x14ac:dyDescent="0.25">
      <c r="A14" s="146" t="s">
        <v>1817</v>
      </c>
      <c r="B14" s="179" t="s">
        <v>1155</v>
      </c>
      <c r="C14" s="388"/>
      <c r="D14" s="388"/>
      <c r="E14" s="388"/>
      <c r="F14" s="388"/>
      <c r="G14" s="148"/>
      <c r="H14" s="148"/>
      <c r="I14" s="148"/>
      <c r="J14" s="156"/>
      <c r="K14" s="187"/>
    </row>
    <row r="15" spans="1:11" x14ac:dyDescent="0.25">
      <c r="A15" s="611" t="s">
        <v>1196</v>
      </c>
      <c r="B15" s="612" t="s">
        <v>1067</v>
      </c>
      <c r="C15" s="637" t="s">
        <v>1197</v>
      </c>
      <c r="D15" s="638"/>
      <c r="E15" s="638"/>
      <c r="F15" s="639"/>
      <c r="G15" s="619" t="s">
        <v>14</v>
      </c>
      <c r="H15" s="610" t="s">
        <v>1068</v>
      </c>
      <c r="I15" s="608" t="s">
        <v>35</v>
      </c>
      <c r="J15" s="630" t="s">
        <v>1249</v>
      </c>
      <c r="K15" s="630" t="s">
        <v>16</v>
      </c>
    </row>
    <row r="16" spans="1:11" x14ac:dyDescent="0.25">
      <c r="A16" s="611"/>
      <c r="B16" s="612"/>
      <c r="C16" s="640"/>
      <c r="D16" s="641"/>
      <c r="E16" s="641"/>
      <c r="F16" s="642"/>
      <c r="G16" s="620"/>
      <c r="H16" s="610"/>
      <c r="I16" s="609"/>
      <c r="J16" s="630"/>
      <c r="K16" s="630"/>
    </row>
    <row r="17" spans="1:11" x14ac:dyDescent="0.25">
      <c r="A17" s="124" t="s">
        <v>1205</v>
      </c>
      <c r="B17" s="104" t="s">
        <v>1171</v>
      </c>
      <c r="C17" s="313"/>
      <c r="D17" s="313"/>
      <c r="E17" s="313"/>
      <c r="F17" s="313"/>
      <c r="G17" s="143">
        <f>G6</f>
        <v>1</v>
      </c>
      <c r="H17" s="140" t="s">
        <v>1089</v>
      </c>
      <c r="I17" s="150">
        <f>G17/SUM($G$17:$G$23)</f>
        <v>0.19533369506239825</v>
      </c>
      <c r="J17" s="214">
        <f>Insumos!D69</f>
        <v>0</v>
      </c>
      <c r="K17" s="199">
        <f t="shared" ref="K17:K23" si="0">TRUNC(G17*I17*J17,2)</f>
        <v>0</v>
      </c>
    </row>
    <row r="18" spans="1:11" x14ac:dyDescent="0.25">
      <c r="A18" s="124" t="s">
        <v>1206</v>
      </c>
      <c r="B18" s="6" t="s">
        <v>1266</v>
      </c>
      <c r="C18" s="313"/>
      <c r="D18" s="313"/>
      <c r="E18" s="313"/>
      <c r="F18" s="313"/>
      <c r="G18" s="143">
        <f>G17*0.25/3.6</f>
        <v>6.9444444444444448E-2</v>
      </c>
      <c r="H18" s="140" t="s">
        <v>1261</v>
      </c>
      <c r="I18" s="150">
        <f t="shared" ref="I18:I23" si="1">G18/SUM($G$17:$G$23)</f>
        <v>1.3564839934888769E-2</v>
      </c>
      <c r="J18" s="214">
        <f>Insumos!D61</f>
        <v>0</v>
      </c>
      <c r="K18" s="199">
        <f t="shared" si="0"/>
        <v>0</v>
      </c>
    </row>
    <row r="19" spans="1:11" x14ac:dyDescent="0.25">
      <c r="A19" s="124" t="s">
        <v>1207</v>
      </c>
      <c r="B19" s="6" t="s">
        <v>1161</v>
      </c>
      <c r="C19" s="313"/>
      <c r="D19" s="313"/>
      <c r="E19" s="313"/>
      <c r="F19" s="313"/>
      <c r="G19" s="143">
        <f>G17*0.05</f>
        <v>0.05</v>
      </c>
      <c r="H19" s="140" t="s">
        <v>1162</v>
      </c>
      <c r="I19" s="150">
        <f t="shared" si="1"/>
        <v>9.7666847531199131E-3</v>
      </c>
      <c r="J19" s="214">
        <f>Insumos!D62</f>
        <v>0</v>
      </c>
      <c r="K19" s="199">
        <f t="shared" si="0"/>
        <v>0</v>
      </c>
    </row>
    <row r="20" spans="1:11" x14ac:dyDescent="0.25">
      <c r="A20" s="124" t="s">
        <v>1208</v>
      </c>
      <c r="B20" s="104" t="s">
        <v>1164</v>
      </c>
      <c r="C20" s="313"/>
      <c r="D20" s="313"/>
      <c r="E20" s="313"/>
      <c r="F20" s="313"/>
      <c r="G20" s="143">
        <v>1</v>
      </c>
      <c r="H20" s="140" t="s">
        <v>1068</v>
      </c>
      <c r="I20" s="150">
        <f t="shared" si="1"/>
        <v>0.19533369506239825</v>
      </c>
      <c r="J20" s="214">
        <f>Insumos!D64</f>
        <v>0</v>
      </c>
      <c r="K20" s="199">
        <f t="shared" si="0"/>
        <v>0</v>
      </c>
    </row>
    <row r="21" spans="1:11" x14ac:dyDescent="0.25">
      <c r="A21" s="124" t="s">
        <v>1209</v>
      </c>
      <c r="B21" s="6" t="s">
        <v>1268</v>
      </c>
      <c r="C21" s="313"/>
      <c r="D21" s="313"/>
      <c r="E21" s="313"/>
      <c r="F21" s="313"/>
      <c r="G21" s="143">
        <v>1</v>
      </c>
      <c r="H21" s="140" t="s">
        <v>1068</v>
      </c>
      <c r="I21" s="150">
        <f t="shared" si="1"/>
        <v>0.19533369506239825</v>
      </c>
      <c r="J21" s="214">
        <f>Insumos!D65</f>
        <v>0</v>
      </c>
      <c r="K21" s="199">
        <f t="shared" si="0"/>
        <v>0</v>
      </c>
    </row>
    <row r="22" spans="1:11" x14ac:dyDescent="0.25">
      <c r="A22" s="124" t="s">
        <v>1210</v>
      </c>
      <c r="B22" s="6" t="s">
        <v>1166</v>
      </c>
      <c r="C22" s="313"/>
      <c r="D22" s="313"/>
      <c r="E22" s="313"/>
      <c r="F22" s="313"/>
      <c r="G22" s="143">
        <v>1</v>
      </c>
      <c r="H22" s="140" t="s">
        <v>1096</v>
      </c>
      <c r="I22" s="150">
        <f t="shared" si="1"/>
        <v>0.19533369506239825</v>
      </c>
      <c r="J22" s="214">
        <f>Insumos!D66</f>
        <v>0</v>
      </c>
      <c r="K22" s="199">
        <f t="shared" si="0"/>
        <v>0</v>
      </c>
    </row>
    <row r="23" spans="1:11" x14ac:dyDescent="0.25">
      <c r="A23" s="124" t="s">
        <v>1211</v>
      </c>
      <c r="B23" s="6" t="s">
        <v>1167</v>
      </c>
      <c r="C23" s="313"/>
      <c r="D23" s="313"/>
      <c r="E23" s="313"/>
      <c r="F23" s="313"/>
      <c r="G23" s="143">
        <v>1</v>
      </c>
      <c r="H23" s="140" t="s">
        <v>1168</v>
      </c>
      <c r="I23" s="150">
        <f t="shared" si="1"/>
        <v>0.19533369506239825</v>
      </c>
      <c r="J23" s="214">
        <f>Insumos!D67</f>
        <v>0</v>
      </c>
      <c r="K23" s="199">
        <f t="shared" si="0"/>
        <v>0</v>
      </c>
    </row>
    <row r="24" spans="1:11" x14ac:dyDescent="0.25">
      <c r="A24" s="152"/>
      <c r="B24" s="159"/>
      <c r="C24" s="391"/>
      <c r="D24" s="391"/>
      <c r="E24" s="391"/>
      <c r="F24" s="391"/>
      <c r="G24" s="159"/>
      <c r="H24" s="159"/>
      <c r="I24" s="159"/>
      <c r="J24" s="160" t="s">
        <v>1064</v>
      </c>
      <c r="K24" s="205">
        <f>SUM(K17:K23)</f>
        <v>0</v>
      </c>
    </row>
    <row r="25" spans="1:11" x14ac:dyDescent="0.25">
      <c r="A25" s="146" t="s">
        <v>1818</v>
      </c>
      <c r="B25" s="179" t="s">
        <v>1176</v>
      </c>
      <c r="C25" s="148"/>
      <c r="D25" s="148"/>
      <c r="E25" s="148"/>
      <c r="F25" s="148"/>
      <c r="G25" s="148"/>
      <c r="H25" s="148"/>
      <c r="I25" s="148"/>
      <c r="J25" s="156"/>
      <c r="K25" s="187"/>
    </row>
    <row r="26" spans="1:11" x14ac:dyDescent="0.25">
      <c r="A26" s="611" t="s">
        <v>1196</v>
      </c>
      <c r="B26" s="612" t="s">
        <v>1067</v>
      </c>
      <c r="C26" s="613" t="s">
        <v>1197</v>
      </c>
      <c r="D26" s="614"/>
      <c r="E26" s="614"/>
      <c r="F26" s="615"/>
      <c r="G26" s="619" t="s">
        <v>14</v>
      </c>
      <c r="H26" s="610" t="s">
        <v>1068</v>
      </c>
      <c r="I26" s="608" t="s">
        <v>35</v>
      </c>
      <c r="J26" s="630" t="s">
        <v>1249</v>
      </c>
      <c r="K26" s="630" t="s">
        <v>16</v>
      </c>
    </row>
    <row r="27" spans="1:11" x14ac:dyDescent="0.25">
      <c r="A27" s="611"/>
      <c r="B27" s="612"/>
      <c r="C27" s="616"/>
      <c r="D27" s="617"/>
      <c r="E27" s="617"/>
      <c r="F27" s="618"/>
      <c r="G27" s="620"/>
      <c r="H27" s="610"/>
      <c r="I27" s="609"/>
      <c r="J27" s="630"/>
      <c r="K27" s="630"/>
    </row>
    <row r="28" spans="1:11" x14ac:dyDescent="0.25">
      <c r="A28" s="124" t="s">
        <v>1212</v>
      </c>
      <c r="B28" s="6" t="s">
        <v>1242</v>
      </c>
      <c r="C28" s="605"/>
      <c r="D28" s="606"/>
      <c r="E28" s="606"/>
      <c r="F28" s="607"/>
      <c r="G28" s="143">
        <v>0.5</v>
      </c>
      <c r="H28" s="140" t="s">
        <v>1140</v>
      </c>
      <c r="I28" s="150">
        <v>1</v>
      </c>
      <c r="J28" s="214">
        <f>Insumos!D75</f>
        <v>0</v>
      </c>
      <c r="K28" s="199">
        <f>TRUNC(G28*I28*J28,2)</f>
        <v>0</v>
      </c>
    </row>
    <row r="29" spans="1:11" x14ac:dyDescent="0.25">
      <c r="A29" s="152"/>
      <c r="B29" s="159"/>
      <c r="C29" s="159"/>
      <c r="D29" s="159"/>
      <c r="E29" s="159"/>
      <c r="F29" s="159"/>
      <c r="G29" s="159"/>
      <c r="H29" s="159"/>
      <c r="I29" s="159"/>
      <c r="J29" s="160" t="s">
        <v>1064</v>
      </c>
      <c r="K29" s="205">
        <f>SUM(K28)</f>
        <v>0</v>
      </c>
    </row>
    <row r="30" spans="1:11" x14ac:dyDescent="0.25">
      <c r="A30" s="146" t="s">
        <v>1819</v>
      </c>
      <c r="B30" s="179" t="s">
        <v>1178</v>
      </c>
      <c r="C30" s="148"/>
      <c r="D30" s="148"/>
      <c r="E30" s="148"/>
      <c r="F30" s="148"/>
      <c r="G30" s="148"/>
      <c r="H30" s="148"/>
      <c r="I30" s="148"/>
      <c r="J30" s="156"/>
      <c r="K30" s="187"/>
    </row>
    <row r="31" spans="1:11" x14ac:dyDescent="0.25">
      <c r="A31" s="611" t="s">
        <v>1196</v>
      </c>
      <c r="B31" s="612" t="s">
        <v>1067</v>
      </c>
      <c r="C31" s="613" t="s">
        <v>1197</v>
      </c>
      <c r="D31" s="614"/>
      <c r="E31" s="614"/>
      <c r="F31" s="615"/>
      <c r="G31" s="619" t="s">
        <v>14</v>
      </c>
      <c r="H31" s="610" t="s">
        <v>1068</v>
      </c>
      <c r="I31" s="608" t="s">
        <v>35</v>
      </c>
      <c r="J31" s="630" t="s">
        <v>1249</v>
      </c>
      <c r="K31" s="630" t="s">
        <v>16</v>
      </c>
    </row>
    <row r="32" spans="1:11" x14ac:dyDescent="0.25">
      <c r="A32" s="611"/>
      <c r="B32" s="612"/>
      <c r="C32" s="616"/>
      <c r="D32" s="617"/>
      <c r="E32" s="617"/>
      <c r="F32" s="618"/>
      <c r="G32" s="620"/>
      <c r="H32" s="610"/>
      <c r="I32" s="609"/>
      <c r="J32" s="630"/>
      <c r="K32" s="630"/>
    </row>
    <row r="33" spans="1:11" x14ac:dyDescent="0.25">
      <c r="A33" s="124" t="s">
        <v>1213</v>
      </c>
      <c r="B33" s="104" t="s">
        <v>1179</v>
      </c>
      <c r="C33" s="605"/>
      <c r="D33" s="606"/>
      <c r="E33" s="606"/>
      <c r="F33" s="607"/>
      <c r="G33" s="143">
        <v>0.5</v>
      </c>
      <c r="H33" s="140" t="s">
        <v>1140</v>
      </c>
      <c r="I33" s="150">
        <v>1</v>
      </c>
      <c r="J33" s="214">
        <f>Insumos!D78</f>
        <v>0</v>
      </c>
      <c r="K33" s="199">
        <f>TRUNC(G33*I33*J33,2)</f>
        <v>0</v>
      </c>
    </row>
    <row r="34" spans="1:11" x14ac:dyDescent="0.25">
      <c r="A34" s="152"/>
      <c r="B34" s="159"/>
      <c r="C34" s="159"/>
      <c r="D34" s="159"/>
      <c r="E34" s="159"/>
      <c r="F34" s="159"/>
      <c r="G34" s="159"/>
      <c r="H34" s="159"/>
      <c r="I34" s="159"/>
      <c r="J34" s="160" t="s">
        <v>1064</v>
      </c>
      <c r="K34" s="205">
        <f>K33</f>
        <v>0</v>
      </c>
    </row>
    <row r="35" spans="1:11" x14ac:dyDescent="0.25">
      <c r="A35" s="146" t="s">
        <v>1820</v>
      </c>
      <c r="B35" s="179" t="s">
        <v>1180</v>
      </c>
      <c r="C35" s="148"/>
      <c r="D35" s="148"/>
      <c r="E35" s="148"/>
      <c r="F35" s="148"/>
      <c r="G35" s="148"/>
      <c r="H35" s="148"/>
      <c r="I35" s="148"/>
      <c r="J35" s="156"/>
      <c r="K35" s="187"/>
    </row>
    <row r="36" spans="1:11" x14ac:dyDescent="0.25">
      <c r="A36" s="611" t="s">
        <v>1196</v>
      </c>
      <c r="B36" s="612" t="s">
        <v>1067</v>
      </c>
      <c r="C36" s="613" t="s">
        <v>1197</v>
      </c>
      <c r="D36" s="614"/>
      <c r="E36" s="614"/>
      <c r="F36" s="615"/>
      <c r="G36" s="619" t="s">
        <v>14</v>
      </c>
      <c r="H36" s="610" t="s">
        <v>1068</v>
      </c>
      <c r="I36" s="608" t="s">
        <v>35</v>
      </c>
      <c r="J36" s="630" t="s">
        <v>1249</v>
      </c>
      <c r="K36" s="630" t="s">
        <v>16</v>
      </c>
    </row>
    <row r="37" spans="1:11" x14ac:dyDescent="0.25">
      <c r="A37" s="611"/>
      <c r="B37" s="612"/>
      <c r="C37" s="616"/>
      <c r="D37" s="617"/>
      <c r="E37" s="617"/>
      <c r="F37" s="618"/>
      <c r="G37" s="620"/>
      <c r="H37" s="610"/>
      <c r="I37" s="609"/>
      <c r="J37" s="630"/>
      <c r="K37" s="630"/>
    </row>
    <row r="38" spans="1:11" x14ac:dyDescent="0.25">
      <c r="A38" s="124" t="s">
        <v>1214</v>
      </c>
      <c r="B38" s="6" t="s">
        <v>1181</v>
      </c>
      <c r="C38" s="605"/>
      <c r="D38" s="606"/>
      <c r="E38" s="606"/>
      <c r="F38" s="607"/>
      <c r="G38" s="143">
        <v>0.01</v>
      </c>
      <c r="H38" s="140" t="s">
        <v>1140</v>
      </c>
      <c r="I38" s="150">
        <f>G38/SUM($G$38:$G$40)</f>
        <v>0.33333333333333337</v>
      </c>
      <c r="J38" s="214">
        <f>Insumos!D81</f>
        <v>0</v>
      </c>
      <c r="K38" s="199">
        <f>TRUNC(G38*I38*J38,2)</f>
        <v>0</v>
      </c>
    </row>
    <row r="39" spans="1:11" x14ac:dyDescent="0.25">
      <c r="A39" s="124" t="s">
        <v>1215</v>
      </c>
      <c r="B39" s="6" t="s">
        <v>1182</v>
      </c>
      <c r="C39" s="605"/>
      <c r="D39" s="606"/>
      <c r="E39" s="606"/>
      <c r="F39" s="607"/>
      <c r="G39" s="143">
        <v>0.01</v>
      </c>
      <c r="H39" s="140" t="s">
        <v>1140</v>
      </c>
      <c r="I39" s="150">
        <f t="shared" ref="I39:I40" si="2">G39/SUM($G$38:$G$40)</f>
        <v>0.33333333333333337</v>
      </c>
      <c r="J39" s="214">
        <f>Insumos!D82</f>
        <v>0</v>
      </c>
      <c r="K39" s="199">
        <f>TRUNC(G39*I39*J39,2)</f>
        <v>0</v>
      </c>
    </row>
    <row r="40" spans="1:11" x14ac:dyDescent="0.25">
      <c r="A40" s="124" t="s">
        <v>1216</v>
      </c>
      <c r="B40" s="6" t="s">
        <v>1183</v>
      </c>
      <c r="C40" s="605"/>
      <c r="D40" s="606"/>
      <c r="E40" s="606"/>
      <c r="F40" s="607"/>
      <c r="G40" s="143">
        <v>0.01</v>
      </c>
      <c r="H40" s="140" t="s">
        <v>1140</v>
      </c>
      <c r="I40" s="150">
        <f t="shared" si="2"/>
        <v>0.33333333333333337</v>
      </c>
      <c r="J40" s="214">
        <f>Insumos!D83</f>
        <v>0</v>
      </c>
      <c r="K40" s="199">
        <f>TRUNC(G40*I40*J40,2)</f>
        <v>0</v>
      </c>
    </row>
    <row r="41" spans="1:11" x14ac:dyDescent="0.25">
      <c r="A41" s="152"/>
      <c r="B41" s="159"/>
      <c r="C41" s="159"/>
      <c r="D41" s="159"/>
      <c r="E41" s="159"/>
      <c r="F41" s="159"/>
      <c r="G41" s="159"/>
      <c r="H41" s="159"/>
      <c r="I41" s="159"/>
      <c r="J41" s="160" t="s">
        <v>1064</v>
      </c>
      <c r="K41" s="205">
        <f>SUM(K38:K40)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9:J10"/>
    <mergeCell ref="K9:K10"/>
    <mergeCell ref="A15:A16"/>
    <mergeCell ref="B15:B16"/>
    <mergeCell ref="C15:F16"/>
    <mergeCell ref="G15:G16"/>
    <mergeCell ref="H15:H16"/>
    <mergeCell ref="I15:I16"/>
    <mergeCell ref="J15:J16"/>
    <mergeCell ref="K15:K16"/>
    <mergeCell ref="A9:A10"/>
    <mergeCell ref="B9:B10"/>
    <mergeCell ref="C9:F10"/>
    <mergeCell ref="G9:G10"/>
    <mergeCell ref="H9:H10"/>
    <mergeCell ref="I9:I10"/>
    <mergeCell ref="J26:J27"/>
    <mergeCell ref="K26:K27"/>
    <mergeCell ref="C28:F28"/>
    <mergeCell ref="A31:A32"/>
    <mergeCell ref="B31:B32"/>
    <mergeCell ref="C31:F32"/>
    <mergeCell ref="G31:G32"/>
    <mergeCell ref="H31:H32"/>
    <mergeCell ref="I31:I32"/>
    <mergeCell ref="J31:J32"/>
    <mergeCell ref="A26:A27"/>
    <mergeCell ref="B26:B27"/>
    <mergeCell ref="C26:F27"/>
    <mergeCell ref="G26:G27"/>
    <mergeCell ref="H26:H27"/>
    <mergeCell ref="I26:I27"/>
    <mergeCell ref="A36:A37"/>
    <mergeCell ref="B36:B37"/>
    <mergeCell ref="C36:F37"/>
    <mergeCell ref="G36:G37"/>
    <mergeCell ref="H36:H37"/>
    <mergeCell ref="C38:F38"/>
    <mergeCell ref="C39:F39"/>
    <mergeCell ref="C40:F40"/>
    <mergeCell ref="K31:K32"/>
    <mergeCell ref="C33:F33"/>
    <mergeCell ref="I36:I37"/>
    <mergeCell ref="J36:J37"/>
    <mergeCell ref="K36:K37"/>
  </mergeCells>
  <pageMargins left="0.511811024" right="0.511811024" top="0.78740157499999996" bottom="0.78740157499999996" header="0.31496062000000002" footer="0.31496062000000002"/>
  <pageSetup paperSize="9" scale="56" fitToHeight="0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view="pageBreakPreview" topLeftCell="A21" zoomScale="80" zoomScaleNormal="100" zoomScaleSheetLayoutView="80" workbookViewId="0">
      <selection activeCell="B3" sqref="B3:F3"/>
    </sheetView>
  </sheetViews>
  <sheetFormatPr defaultRowHeight="15" x14ac:dyDescent="0.25"/>
  <cols>
    <col min="1" max="1" width="13.28515625" customWidth="1"/>
    <col min="2" max="2" width="62" customWidth="1"/>
    <col min="3" max="4" width="8.42578125" customWidth="1"/>
    <col min="5" max="5" width="7.7109375" customWidth="1"/>
    <col min="6" max="7" width="10.85546875" customWidth="1"/>
    <col min="8" max="8" width="10.7109375" customWidth="1"/>
    <col min="9" max="9" width="9.5703125" bestFit="1" customWidth="1"/>
    <col min="10" max="10" width="15.28515625" customWidth="1"/>
    <col min="11" max="11" width="15.8554687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32</v>
      </c>
      <c r="B2" s="184" t="s">
        <v>1980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207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1273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1959</v>
      </c>
      <c r="C6" s="243">
        <v>10</v>
      </c>
      <c r="D6" s="243">
        <v>10</v>
      </c>
      <c r="E6" s="243"/>
      <c r="F6" s="243">
        <f>D6*C6</f>
        <v>100</v>
      </c>
      <c r="G6" s="243">
        <f>F6</f>
        <v>100</v>
      </c>
      <c r="H6" s="244" t="s">
        <v>1076</v>
      </c>
      <c r="I6" s="253">
        <v>0.6</v>
      </c>
      <c r="J6" s="254">
        <f>Insumos!D21</f>
        <v>0</v>
      </c>
      <c r="K6" s="246">
        <f>TRUNC(G6*I6*J6,2)</f>
        <v>0</v>
      </c>
    </row>
    <row r="7" spans="1:11" s="247" customFormat="1" ht="30" x14ac:dyDescent="0.25">
      <c r="A7" s="34" t="s">
        <v>1203</v>
      </c>
      <c r="B7" s="255" t="s">
        <v>1126</v>
      </c>
      <c r="C7" s="243">
        <f>C6</f>
        <v>10</v>
      </c>
      <c r="D7" s="243">
        <f>D6</f>
        <v>10</v>
      </c>
      <c r="E7" s="243"/>
      <c r="F7" s="243">
        <f>D7*C7</f>
        <v>100</v>
      </c>
      <c r="G7" s="243">
        <f>F7</f>
        <v>100</v>
      </c>
      <c r="H7" s="244" t="s">
        <v>1076</v>
      </c>
      <c r="I7" s="253">
        <v>0.6</v>
      </c>
      <c r="J7" s="254">
        <f>Insumos!D27</f>
        <v>0</v>
      </c>
      <c r="K7" s="246">
        <f>TRUNC(G7*I7*J7,2)</f>
        <v>0</v>
      </c>
    </row>
    <row r="8" spans="1:11" s="247" customFormat="1" x14ac:dyDescent="0.25">
      <c r="A8" s="394"/>
      <c r="B8" s="386"/>
      <c r="C8" s="382"/>
      <c r="D8" s="382"/>
      <c r="E8" s="382"/>
      <c r="F8" s="382"/>
      <c r="G8" s="382"/>
      <c r="H8" s="382"/>
      <c r="I8" s="382"/>
      <c r="J8" s="399" t="s">
        <v>1064</v>
      </c>
      <c r="K8" s="400">
        <f>SUM(K6:K7)</f>
        <v>0</v>
      </c>
    </row>
    <row r="9" spans="1:11" s="247" customFormat="1" x14ac:dyDescent="0.25">
      <c r="A9" s="401" t="s">
        <v>208</v>
      </c>
      <c r="B9" s="402" t="s">
        <v>1219</v>
      </c>
      <c r="C9" s="383"/>
      <c r="D9" s="383"/>
      <c r="E9" s="383"/>
      <c r="F9" s="383"/>
      <c r="G9" s="383"/>
      <c r="H9" s="383"/>
      <c r="I9" s="383"/>
      <c r="J9" s="383"/>
      <c r="K9" s="408"/>
    </row>
    <row r="10" spans="1:11" s="247" customFormat="1" x14ac:dyDescent="0.25">
      <c r="A10" s="611" t="s">
        <v>1196</v>
      </c>
      <c r="B10" s="612" t="s">
        <v>1067</v>
      </c>
      <c r="C10" s="643" t="s">
        <v>1197</v>
      </c>
      <c r="D10" s="643"/>
      <c r="E10" s="643"/>
      <c r="F10" s="643"/>
      <c r="G10" s="619" t="s">
        <v>14</v>
      </c>
      <c r="H10" s="610" t="s">
        <v>1068</v>
      </c>
      <c r="I10" s="608" t="s">
        <v>35</v>
      </c>
      <c r="J10" s="610" t="s">
        <v>1069</v>
      </c>
      <c r="K10" s="610" t="s">
        <v>16</v>
      </c>
    </row>
    <row r="11" spans="1:11" s="247" customFormat="1" x14ac:dyDescent="0.25">
      <c r="A11" s="611"/>
      <c r="B11" s="612"/>
      <c r="C11" s="384"/>
      <c r="D11" s="384"/>
      <c r="E11" s="384"/>
      <c r="F11" s="384"/>
      <c r="G11" s="664"/>
      <c r="H11" s="610"/>
      <c r="I11" s="660"/>
      <c r="J11" s="610"/>
      <c r="K11" s="610"/>
    </row>
    <row r="12" spans="1:11" s="247" customFormat="1" x14ac:dyDescent="0.25">
      <c r="A12" s="611"/>
      <c r="B12" s="612"/>
      <c r="C12" s="384"/>
      <c r="D12" s="384"/>
      <c r="E12" s="384"/>
      <c r="F12" s="384"/>
      <c r="G12" s="620"/>
      <c r="H12" s="610"/>
      <c r="I12" s="609"/>
      <c r="J12" s="610"/>
      <c r="K12" s="610"/>
    </row>
    <row r="13" spans="1:11" x14ac:dyDescent="0.25">
      <c r="A13" s="124" t="s">
        <v>1204</v>
      </c>
      <c r="B13" s="6" t="s">
        <v>1147</v>
      </c>
      <c r="C13" s="313"/>
      <c r="D13" s="313"/>
      <c r="E13" s="313"/>
      <c r="F13" s="313"/>
      <c r="G13" s="143">
        <v>1</v>
      </c>
      <c r="H13" s="140" t="s">
        <v>1140</v>
      </c>
      <c r="I13" s="150">
        <f>G13/SUM($G$14:$G$18)</f>
        <v>4.3478260869565216E-2</v>
      </c>
      <c r="J13" s="167">
        <f>Insumos!D49</f>
        <v>0</v>
      </c>
      <c r="K13" s="215">
        <f t="shared" ref="K13:K18" si="0">TRUNC(G13*I13*J13,2)</f>
        <v>0</v>
      </c>
    </row>
    <row r="14" spans="1:11" x14ac:dyDescent="0.25">
      <c r="A14" s="124" t="s">
        <v>1205</v>
      </c>
      <c r="B14" s="6" t="s">
        <v>1148</v>
      </c>
      <c r="C14" s="313"/>
      <c r="D14" s="313"/>
      <c r="E14" s="313"/>
      <c r="F14" s="313"/>
      <c r="G14" s="143">
        <v>1</v>
      </c>
      <c r="H14" s="140" t="s">
        <v>1140</v>
      </c>
      <c r="I14" s="150">
        <f t="shared" ref="I14:I18" si="1">G14/SUM($G$14:$G$18)</f>
        <v>4.3478260869565216E-2</v>
      </c>
      <c r="J14" s="167">
        <f>Insumos!D50</f>
        <v>0</v>
      </c>
      <c r="K14" s="215">
        <f t="shared" si="0"/>
        <v>0</v>
      </c>
    </row>
    <row r="15" spans="1:11" x14ac:dyDescent="0.25">
      <c r="A15" s="124" t="s">
        <v>1206</v>
      </c>
      <c r="B15" s="6" t="s">
        <v>1149</v>
      </c>
      <c r="C15" s="313"/>
      <c r="D15" s="313"/>
      <c r="E15" s="313"/>
      <c r="F15" s="313"/>
      <c r="G15" s="143">
        <v>1</v>
      </c>
      <c r="H15" s="140" t="s">
        <v>1140</v>
      </c>
      <c r="I15" s="150">
        <f t="shared" si="1"/>
        <v>4.3478260869565216E-2</v>
      </c>
      <c r="J15" s="167">
        <f>Insumos!D51</f>
        <v>0</v>
      </c>
      <c r="K15" s="215">
        <f t="shared" si="0"/>
        <v>0</v>
      </c>
    </row>
    <row r="16" spans="1:11" x14ac:dyDescent="0.25">
      <c r="A16" s="124" t="s">
        <v>1207</v>
      </c>
      <c r="B16" s="6" t="s">
        <v>1150</v>
      </c>
      <c r="C16" s="313"/>
      <c r="D16" s="313"/>
      <c r="E16" s="313"/>
      <c r="F16" s="313"/>
      <c r="G16" s="143">
        <v>10</v>
      </c>
      <c r="H16" s="140" t="s">
        <v>1151</v>
      </c>
      <c r="I16" s="150">
        <f t="shared" si="1"/>
        <v>0.43478260869565216</v>
      </c>
      <c r="J16" s="167">
        <f>Insumos!D52</f>
        <v>0</v>
      </c>
      <c r="K16" s="215">
        <f t="shared" si="0"/>
        <v>0</v>
      </c>
    </row>
    <row r="17" spans="1:11" x14ac:dyDescent="0.25">
      <c r="A17" s="124" t="s">
        <v>1208</v>
      </c>
      <c r="B17" s="6" t="s">
        <v>1152</v>
      </c>
      <c r="C17" s="313"/>
      <c r="D17" s="313"/>
      <c r="E17" s="313"/>
      <c r="F17" s="313"/>
      <c r="G17" s="143">
        <v>1</v>
      </c>
      <c r="H17" s="140" t="s">
        <v>1124</v>
      </c>
      <c r="I17" s="150">
        <f t="shared" si="1"/>
        <v>4.3478260869565216E-2</v>
      </c>
      <c r="J17" s="167">
        <f>Insumos!D53</f>
        <v>0</v>
      </c>
      <c r="K17" s="215">
        <f t="shared" si="0"/>
        <v>0</v>
      </c>
    </row>
    <row r="18" spans="1:11" x14ac:dyDescent="0.25">
      <c r="A18" s="124" t="s">
        <v>1209</v>
      </c>
      <c r="B18" s="6" t="s">
        <v>1248</v>
      </c>
      <c r="C18" s="313"/>
      <c r="D18" s="313"/>
      <c r="E18" s="313"/>
      <c r="F18" s="313"/>
      <c r="G18" s="143">
        <v>10</v>
      </c>
      <c r="H18" s="140" t="s">
        <v>1154</v>
      </c>
      <c r="I18" s="150">
        <f t="shared" si="1"/>
        <v>0.43478260869565216</v>
      </c>
      <c r="J18" s="167">
        <f>Insumos!D54</f>
        <v>0</v>
      </c>
      <c r="K18" s="215">
        <f t="shared" si="0"/>
        <v>0</v>
      </c>
    </row>
    <row r="19" spans="1:11" x14ac:dyDescent="0.25">
      <c r="A19" s="152"/>
      <c r="B19" s="159"/>
      <c r="C19" s="387"/>
      <c r="D19" s="387"/>
      <c r="E19" s="387"/>
      <c r="F19" s="387"/>
      <c r="G19" s="154"/>
      <c r="H19" s="157"/>
      <c r="I19" s="157"/>
      <c r="J19" s="192" t="s">
        <v>1064</v>
      </c>
      <c r="K19" s="217">
        <f>SUM(K13:K18)</f>
        <v>0</v>
      </c>
    </row>
    <row r="20" spans="1:11" x14ac:dyDescent="0.25">
      <c r="A20" s="146" t="s">
        <v>209</v>
      </c>
      <c r="B20" s="179" t="s">
        <v>1155</v>
      </c>
      <c r="C20" s="388"/>
      <c r="D20" s="388"/>
      <c r="E20" s="388"/>
      <c r="F20" s="388"/>
      <c r="G20" s="148"/>
      <c r="H20" s="148"/>
      <c r="I20" s="148"/>
      <c r="J20" s="148"/>
      <c r="K20" s="188"/>
    </row>
    <row r="21" spans="1:11" x14ac:dyDescent="0.25">
      <c r="A21" s="611" t="s">
        <v>1196</v>
      </c>
      <c r="B21" s="612" t="s">
        <v>1067</v>
      </c>
      <c r="C21" s="637" t="s">
        <v>1197</v>
      </c>
      <c r="D21" s="638"/>
      <c r="E21" s="638"/>
      <c r="F21" s="639"/>
      <c r="G21" s="619" t="s">
        <v>14</v>
      </c>
      <c r="H21" s="610" t="s">
        <v>1068</v>
      </c>
      <c r="I21" s="608" t="s">
        <v>35</v>
      </c>
      <c r="J21" s="610" t="s">
        <v>1249</v>
      </c>
      <c r="K21" s="610" t="s">
        <v>16</v>
      </c>
    </row>
    <row r="22" spans="1:11" x14ac:dyDescent="0.25">
      <c r="A22" s="611"/>
      <c r="B22" s="612"/>
      <c r="C22" s="640"/>
      <c r="D22" s="641"/>
      <c r="E22" s="641"/>
      <c r="F22" s="642"/>
      <c r="G22" s="620"/>
      <c r="H22" s="610"/>
      <c r="I22" s="609"/>
      <c r="J22" s="610"/>
      <c r="K22" s="610"/>
    </row>
    <row r="23" spans="1:11" x14ac:dyDescent="0.25">
      <c r="A23" s="124" t="s">
        <v>1210</v>
      </c>
      <c r="B23" s="104" t="s">
        <v>1156</v>
      </c>
      <c r="C23" s="313"/>
      <c r="D23" s="313"/>
      <c r="E23" s="313"/>
      <c r="F23" s="313"/>
      <c r="G23" s="143">
        <v>1</v>
      </c>
      <c r="H23" s="140" t="s">
        <v>1228</v>
      </c>
      <c r="I23" s="150">
        <f>G23/SUM($G$23:$G$31)</f>
        <v>0.11750881316098705</v>
      </c>
      <c r="J23" s="167">
        <f>Insumos!D58</f>
        <v>0</v>
      </c>
      <c r="K23" s="215">
        <f t="shared" ref="K23:K31" si="2">TRUNC(G23*I23*J23,2)</f>
        <v>0</v>
      </c>
    </row>
    <row r="24" spans="1:11" x14ac:dyDescent="0.25">
      <c r="A24" s="124" t="s">
        <v>1211</v>
      </c>
      <c r="B24" s="104" t="s">
        <v>1160</v>
      </c>
      <c r="C24" s="313"/>
      <c r="D24" s="313"/>
      <c r="E24" s="313"/>
      <c r="F24" s="313"/>
      <c r="G24" s="143">
        <v>0.5</v>
      </c>
      <c r="H24" s="140" t="s">
        <v>1261</v>
      </c>
      <c r="I24" s="150">
        <f t="shared" ref="I24:I31" si="3">G24/SUM($G$23:$G$31)</f>
        <v>5.8754406580493523E-2</v>
      </c>
      <c r="J24" s="167">
        <f>Insumos!D61</f>
        <v>0</v>
      </c>
      <c r="K24" s="215">
        <f t="shared" si="2"/>
        <v>0</v>
      </c>
    </row>
    <row r="25" spans="1:11" x14ac:dyDescent="0.25">
      <c r="A25" s="124" t="s">
        <v>1212</v>
      </c>
      <c r="B25" s="104" t="s">
        <v>1161</v>
      </c>
      <c r="C25" s="313"/>
      <c r="D25" s="313"/>
      <c r="E25" s="313"/>
      <c r="F25" s="313"/>
      <c r="G25" s="143">
        <v>0.15</v>
      </c>
      <c r="H25" s="140" t="s">
        <v>1162</v>
      </c>
      <c r="I25" s="150">
        <f t="shared" si="3"/>
        <v>1.7626321974148058E-2</v>
      </c>
      <c r="J25" s="167">
        <f>Insumos!D62</f>
        <v>0</v>
      </c>
      <c r="K25" s="215">
        <f t="shared" si="2"/>
        <v>0</v>
      </c>
    </row>
    <row r="26" spans="1:11" x14ac:dyDescent="0.25">
      <c r="A26" s="124" t="s">
        <v>1213</v>
      </c>
      <c r="B26" s="104" t="s">
        <v>1163</v>
      </c>
      <c r="C26" s="143"/>
      <c r="D26" s="143"/>
      <c r="E26" s="143"/>
      <c r="F26" s="143"/>
      <c r="G26" s="195">
        <v>1</v>
      </c>
      <c r="H26" s="140" t="s">
        <v>1068</v>
      </c>
      <c r="I26" s="150">
        <f t="shared" si="3"/>
        <v>0.11750881316098705</v>
      </c>
      <c r="J26" s="167">
        <f>Insumos!D63</f>
        <v>0</v>
      </c>
      <c r="K26" s="215">
        <f t="shared" si="2"/>
        <v>0</v>
      </c>
    </row>
    <row r="27" spans="1:11" x14ac:dyDescent="0.25">
      <c r="A27" s="124" t="s">
        <v>1214</v>
      </c>
      <c r="B27" s="104" t="s">
        <v>1164</v>
      </c>
      <c r="C27" s="143"/>
      <c r="D27" s="143"/>
      <c r="E27" s="143"/>
      <c r="F27" s="143"/>
      <c r="G27" s="143">
        <v>1</v>
      </c>
      <c r="H27" s="140" t="s">
        <v>1068</v>
      </c>
      <c r="I27" s="150">
        <f t="shared" si="3"/>
        <v>0.11750881316098705</v>
      </c>
      <c r="J27" s="167">
        <f>Insumos!D64</f>
        <v>0</v>
      </c>
      <c r="K27" s="215">
        <f t="shared" si="2"/>
        <v>0</v>
      </c>
    </row>
    <row r="28" spans="1:11" x14ac:dyDescent="0.25">
      <c r="A28" s="124" t="s">
        <v>1215</v>
      </c>
      <c r="B28" s="104" t="s">
        <v>1165</v>
      </c>
      <c r="C28" s="143"/>
      <c r="D28" s="143"/>
      <c r="E28" s="143"/>
      <c r="F28" s="143"/>
      <c r="G28" s="143">
        <v>1</v>
      </c>
      <c r="H28" s="140" t="s">
        <v>1068</v>
      </c>
      <c r="I28" s="150">
        <f t="shared" si="3"/>
        <v>0.11750881316098705</v>
      </c>
      <c r="J28" s="167">
        <f>Insumos!D65</f>
        <v>0</v>
      </c>
      <c r="K28" s="215">
        <f t="shared" si="2"/>
        <v>0</v>
      </c>
    </row>
    <row r="29" spans="1:11" x14ac:dyDescent="0.25">
      <c r="A29" s="124" t="s">
        <v>1216</v>
      </c>
      <c r="B29" s="104" t="s">
        <v>1166</v>
      </c>
      <c r="C29" s="143"/>
      <c r="D29" s="143"/>
      <c r="E29" s="143"/>
      <c r="F29" s="143"/>
      <c r="G29" s="143">
        <v>0.86</v>
      </c>
      <c r="H29" s="140" t="s">
        <v>1228</v>
      </c>
      <c r="I29" s="150">
        <f t="shared" si="3"/>
        <v>0.10105757931844886</v>
      </c>
      <c r="J29" s="167">
        <f>Insumos!D66</f>
        <v>0</v>
      </c>
      <c r="K29" s="215">
        <f t="shared" si="2"/>
        <v>0</v>
      </c>
    </row>
    <row r="30" spans="1:11" x14ac:dyDescent="0.25">
      <c r="A30" s="124" t="s">
        <v>1217</v>
      </c>
      <c r="B30" s="104" t="s">
        <v>1167</v>
      </c>
      <c r="C30" s="143"/>
      <c r="D30" s="143"/>
      <c r="E30" s="143"/>
      <c r="F30" s="143"/>
      <c r="G30" s="143">
        <v>1</v>
      </c>
      <c r="H30" s="140" t="s">
        <v>1168</v>
      </c>
      <c r="I30" s="150">
        <f t="shared" si="3"/>
        <v>0.11750881316098705</v>
      </c>
      <c r="J30" s="167">
        <f>Insumos!D67</f>
        <v>0</v>
      </c>
      <c r="K30" s="215">
        <f t="shared" si="2"/>
        <v>0</v>
      </c>
    </row>
    <row r="31" spans="1:11" x14ac:dyDescent="0.25">
      <c r="A31" s="124" t="s">
        <v>1220</v>
      </c>
      <c r="B31" s="104" t="s">
        <v>1169</v>
      </c>
      <c r="C31" s="143"/>
      <c r="D31" s="143"/>
      <c r="E31" s="143"/>
      <c r="F31" s="143"/>
      <c r="G31" s="143">
        <v>2</v>
      </c>
      <c r="H31" s="140" t="s">
        <v>1170</v>
      </c>
      <c r="I31" s="150">
        <f t="shared" si="3"/>
        <v>0.23501762632197409</v>
      </c>
      <c r="J31" s="167">
        <f>Insumos!D68</f>
        <v>0</v>
      </c>
      <c r="K31" s="215">
        <f t="shared" si="2"/>
        <v>0</v>
      </c>
    </row>
    <row r="32" spans="1:11" x14ac:dyDescent="0.25">
      <c r="A32" s="152"/>
      <c r="B32" s="159"/>
      <c r="C32" s="159"/>
      <c r="D32" s="159"/>
      <c r="E32" s="159"/>
      <c r="F32" s="159"/>
      <c r="G32" s="159"/>
      <c r="H32" s="159"/>
      <c r="I32" s="159"/>
      <c r="J32" s="170" t="s">
        <v>1064</v>
      </c>
      <c r="K32" s="218">
        <f>SUM(K23:K31)</f>
        <v>0</v>
      </c>
    </row>
    <row r="33" spans="1:11" x14ac:dyDescent="0.25">
      <c r="A33" s="146" t="s">
        <v>210</v>
      </c>
      <c r="B33" s="179" t="s">
        <v>1176</v>
      </c>
      <c r="C33" s="148"/>
      <c r="D33" s="148"/>
      <c r="E33" s="148"/>
      <c r="F33" s="148"/>
      <c r="G33" s="148"/>
      <c r="H33" s="148"/>
      <c r="I33" s="148"/>
      <c r="J33" s="148"/>
      <c r="K33" s="188"/>
    </row>
    <row r="34" spans="1:11" x14ac:dyDescent="0.25">
      <c r="A34" s="611" t="s">
        <v>1196</v>
      </c>
      <c r="B34" s="612" t="s">
        <v>1067</v>
      </c>
      <c r="C34" s="613" t="s">
        <v>1197</v>
      </c>
      <c r="D34" s="614"/>
      <c r="E34" s="614"/>
      <c r="F34" s="615"/>
      <c r="G34" s="619" t="s">
        <v>14</v>
      </c>
      <c r="H34" s="610" t="s">
        <v>1068</v>
      </c>
      <c r="I34" s="608" t="s">
        <v>35</v>
      </c>
      <c r="J34" s="610" t="s">
        <v>1249</v>
      </c>
      <c r="K34" s="610" t="s">
        <v>16</v>
      </c>
    </row>
    <row r="35" spans="1:11" x14ac:dyDescent="0.25">
      <c r="A35" s="611"/>
      <c r="B35" s="612"/>
      <c r="C35" s="616"/>
      <c r="D35" s="617"/>
      <c r="E35" s="617"/>
      <c r="F35" s="618"/>
      <c r="G35" s="620"/>
      <c r="H35" s="610"/>
      <c r="I35" s="609"/>
      <c r="J35" s="610"/>
      <c r="K35" s="610"/>
    </row>
    <row r="36" spans="1:11" x14ac:dyDescent="0.25">
      <c r="A36" s="124" t="s">
        <v>1222</v>
      </c>
      <c r="B36" s="6" t="s">
        <v>1242</v>
      </c>
      <c r="C36" s="605"/>
      <c r="D36" s="606"/>
      <c r="E36" s="606"/>
      <c r="F36" s="607"/>
      <c r="G36" s="143">
        <v>2</v>
      </c>
      <c r="H36" s="140" t="s">
        <v>1140</v>
      </c>
      <c r="I36" s="150">
        <v>1</v>
      </c>
      <c r="J36" s="167">
        <f>Insumos!D75</f>
        <v>0</v>
      </c>
      <c r="K36" s="215">
        <f>TRUNC(G36*I36*J36,2)</f>
        <v>0</v>
      </c>
    </row>
    <row r="37" spans="1:11" x14ac:dyDescent="0.25">
      <c r="A37" s="152"/>
      <c r="B37" s="159"/>
      <c r="C37" s="159"/>
      <c r="D37" s="159"/>
      <c r="E37" s="159"/>
      <c r="F37" s="159"/>
      <c r="G37" s="159"/>
      <c r="H37" s="159"/>
      <c r="I37" s="159"/>
      <c r="J37" s="170" t="s">
        <v>1064</v>
      </c>
      <c r="K37" s="218">
        <f>SUM(K36)</f>
        <v>0</v>
      </c>
    </row>
    <row r="38" spans="1:11" x14ac:dyDescent="0.25">
      <c r="A38" s="146" t="s">
        <v>211</v>
      </c>
      <c r="B38" s="179" t="s">
        <v>1178</v>
      </c>
      <c r="C38" s="148"/>
      <c r="D38" s="148"/>
      <c r="E38" s="148"/>
      <c r="F38" s="148"/>
      <c r="G38" s="148"/>
      <c r="H38" s="148"/>
      <c r="I38" s="148"/>
      <c r="J38" s="148"/>
      <c r="K38" s="188"/>
    </row>
    <row r="39" spans="1:11" x14ac:dyDescent="0.25">
      <c r="A39" s="611" t="s">
        <v>1196</v>
      </c>
      <c r="B39" s="612" t="s">
        <v>1067</v>
      </c>
      <c r="C39" s="613" t="s">
        <v>1197</v>
      </c>
      <c r="D39" s="614"/>
      <c r="E39" s="614"/>
      <c r="F39" s="615"/>
      <c r="G39" s="619" t="s">
        <v>14</v>
      </c>
      <c r="H39" s="610" t="s">
        <v>1068</v>
      </c>
      <c r="I39" s="608" t="s">
        <v>35</v>
      </c>
      <c r="J39" s="610" t="s">
        <v>1249</v>
      </c>
      <c r="K39" s="610" t="s">
        <v>16</v>
      </c>
    </row>
    <row r="40" spans="1:11" x14ac:dyDescent="0.25">
      <c r="A40" s="611"/>
      <c r="B40" s="612"/>
      <c r="C40" s="616"/>
      <c r="D40" s="617"/>
      <c r="E40" s="617"/>
      <c r="F40" s="618"/>
      <c r="G40" s="620"/>
      <c r="H40" s="610"/>
      <c r="I40" s="609"/>
      <c r="J40" s="610"/>
      <c r="K40" s="610"/>
    </row>
    <row r="41" spans="1:11" x14ac:dyDescent="0.25">
      <c r="A41" s="124" t="s">
        <v>1223</v>
      </c>
      <c r="B41" s="104" t="s">
        <v>1179</v>
      </c>
      <c r="C41" s="605"/>
      <c r="D41" s="606"/>
      <c r="E41" s="606"/>
      <c r="F41" s="607"/>
      <c r="G41" s="143">
        <v>2</v>
      </c>
      <c r="H41" s="140" t="s">
        <v>1140</v>
      </c>
      <c r="I41" s="150">
        <v>1</v>
      </c>
      <c r="J41" s="167">
        <f>Insumos!D78</f>
        <v>0</v>
      </c>
      <c r="K41" s="215">
        <f>TRUNC(G41*I41*J41,2)</f>
        <v>0</v>
      </c>
    </row>
    <row r="42" spans="1:11" x14ac:dyDescent="0.25">
      <c r="A42" s="152"/>
      <c r="B42" s="159"/>
      <c r="C42" s="159"/>
      <c r="D42" s="159"/>
      <c r="E42" s="159"/>
      <c r="F42" s="159"/>
      <c r="G42" s="159"/>
      <c r="H42" s="159"/>
      <c r="I42" s="159"/>
      <c r="J42" s="170" t="s">
        <v>1064</v>
      </c>
      <c r="K42" s="218">
        <f>K41</f>
        <v>0</v>
      </c>
    </row>
    <row r="43" spans="1:11" x14ac:dyDescent="0.25">
      <c r="A43" s="146" t="s">
        <v>212</v>
      </c>
      <c r="B43" s="179" t="s">
        <v>1180</v>
      </c>
      <c r="C43" s="148"/>
      <c r="D43" s="148"/>
      <c r="E43" s="148"/>
      <c r="F43" s="148"/>
      <c r="G43" s="148"/>
      <c r="H43" s="148"/>
      <c r="I43" s="148"/>
      <c r="J43" s="148"/>
      <c r="K43" s="188"/>
    </row>
    <row r="44" spans="1:11" x14ac:dyDescent="0.25">
      <c r="A44" s="611" t="s">
        <v>1196</v>
      </c>
      <c r="B44" s="612" t="s">
        <v>1067</v>
      </c>
      <c r="C44" s="613" t="s">
        <v>1197</v>
      </c>
      <c r="D44" s="614"/>
      <c r="E44" s="614"/>
      <c r="F44" s="615"/>
      <c r="G44" s="619" t="s">
        <v>14</v>
      </c>
      <c r="H44" s="610" t="s">
        <v>1068</v>
      </c>
      <c r="I44" s="608" t="s">
        <v>35</v>
      </c>
      <c r="J44" s="610" t="s">
        <v>1249</v>
      </c>
      <c r="K44" s="610" t="s">
        <v>16</v>
      </c>
    </row>
    <row r="45" spans="1:11" x14ac:dyDescent="0.25">
      <c r="A45" s="611"/>
      <c r="B45" s="612"/>
      <c r="C45" s="616"/>
      <c r="D45" s="617"/>
      <c r="E45" s="617"/>
      <c r="F45" s="618"/>
      <c r="G45" s="620"/>
      <c r="H45" s="610"/>
      <c r="I45" s="609"/>
      <c r="J45" s="610"/>
      <c r="K45" s="610"/>
    </row>
    <row r="46" spans="1:11" x14ac:dyDescent="0.25">
      <c r="A46" s="124" t="s">
        <v>1224</v>
      </c>
      <c r="B46" s="6" t="s">
        <v>1181</v>
      </c>
      <c r="C46" s="605"/>
      <c r="D46" s="606"/>
      <c r="E46" s="606"/>
      <c r="F46" s="607"/>
      <c r="G46" s="143">
        <v>0.1</v>
      </c>
      <c r="H46" s="140" t="s">
        <v>1140</v>
      </c>
      <c r="I46" s="150">
        <f>G46/SUM($G$46:$G$48)</f>
        <v>0.33333333333333331</v>
      </c>
      <c r="J46" s="167">
        <f>Insumos!D81</f>
        <v>0</v>
      </c>
      <c r="K46" s="215">
        <f>TRUNC(G46*I46*J46,2)</f>
        <v>0</v>
      </c>
    </row>
    <row r="47" spans="1:11" x14ac:dyDescent="0.25">
      <c r="A47" s="124" t="s">
        <v>1225</v>
      </c>
      <c r="B47" s="6" t="s">
        <v>1182</v>
      </c>
      <c r="C47" s="605"/>
      <c r="D47" s="606"/>
      <c r="E47" s="606"/>
      <c r="F47" s="607"/>
      <c r="G47" s="143">
        <v>0.1</v>
      </c>
      <c r="H47" s="140" t="s">
        <v>1140</v>
      </c>
      <c r="I47" s="150">
        <f t="shared" ref="I47:I48" si="4">G47/SUM($G$46:$G$48)</f>
        <v>0.33333333333333331</v>
      </c>
      <c r="J47" s="167">
        <f>Insumos!D82</f>
        <v>0</v>
      </c>
      <c r="K47" s="215">
        <f>TRUNC(G47*I47*J47,2)</f>
        <v>0</v>
      </c>
    </row>
    <row r="48" spans="1:11" x14ac:dyDescent="0.25">
      <c r="A48" s="124" t="s">
        <v>1226</v>
      </c>
      <c r="B48" s="6" t="s">
        <v>1183</v>
      </c>
      <c r="C48" s="605"/>
      <c r="D48" s="606"/>
      <c r="E48" s="606"/>
      <c r="F48" s="607"/>
      <c r="G48" s="143">
        <v>0.1</v>
      </c>
      <c r="H48" s="140" t="s">
        <v>1140</v>
      </c>
      <c r="I48" s="150">
        <f t="shared" si="4"/>
        <v>0.33333333333333331</v>
      </c>
      <c r="J48" s="167">
        <f>Insumos!D83</f>
        <v>0</v>
      </c>
      <c r="K48" s="215">
        <f>TRUNC(G48*I48*J48,2)</f>
        <v>0</v>
      </c>
    </row>
    <row r="49" spans="1:11" x14ac:dyDescent="0.25">
      <c r="A49" s="152"/>
      <c r="B49" s="159"/>
      <c r="C49" s="159"/>
      <c r="D49" s="159"/>
      <c r="E49" s="159"/>
      <c r="F49" s="159"/>
      <c r="G49" s="159"/>
      <c r="H49" s="159"/>
      <c r="I49" s="159"/>
      <c r="J49" s="170" t="s">
        <v>1064</v>
      </c>
      <c r="K49" s="218">
        <f>SUM(K46:K48)</f>
        <v>0</v>
      </c>
    </row>
  </sheetData>
  <mergeCells count="55">
    <mergeCell ref="C46:F46"/>
    <mergeCell ref="C47:F47"/>
    <mergeCell ref="C48:F48"/>
    <mergeCell ref="K39:K40"/>
    <mergeCell ref="C41:F41"/>
    <mergeCell ref="I44:I45"/>
    <mergeCell ref="J44:J45"/>
    <mergeCell ref="K44:K45"/>
    <mergeCell ref="A44:A45"/>
    <mergeCell ref="B44:B45"/>
    <mergeCell ref="C44:F45"/>
    <mergeCell ref="G44:G45"/>
    <mergeCell ref="H44:H45"/>
    <mergeCell ref="J34:J35"/>
    <mergeCell ref="K34:K35"/>
    <mergeCell ref="C36:F36"/>
    <mergeCell ref="A39:A40"/>
    <mergeCell ref="B39:B40"/>
    <mergeCell ref="C39:F40"/>
    <mergeCell ref="G39:G40"/>
    <mergeCell ref="H39:H40"/>
    <mergeCell ref="I39:I40"/>
    <mergeCell ref="J39:J40"/>
    <mergeCell ref="A34:A35"/>
    <mergeCell ref="B34:B35"/>
    <mergeCell ref="C34:F35"/>
    <mergeCell ref="G34:G35"/>
    <mergeCell ref="H34:H35"/>
    <mergeCell ref="I34:I35"/>
    <mergeCell ref="J10:J12"/>
    <mergeCell ref="K10:K12"/>
    <mergeCell ref="A21:A22"/>
    <mergeCell ref="B21:B22"/>
    <mergeCell ref="C21:F22"/>
    <mergeCell ref="G21:G22"/>
    <mergeCell ref="H21:H22"/>
    <mergeCell ref="I21:I22"/>
    <mergeCell ref="J21:J22"/>
    <mergeCell ref="K21:K22"/>
    <mergeCell ref="A10:A12"/>
    <mergeCell ref="B10:B12"/>
    <mergeCell ref="C10:F10"/>
    <mergeCell ref="G10:G12"/>
    <mergeCell ref="H10:H12"/>
    <mergeCell ref="I10:I12"/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</mergeCells>
  <pageMargins left="0.511811024" right="0.511811024" top="0.78740157499999996" bottom="0.78740157499999996" header="0.31496062000000002" footer="0.31496062000000002"/>
  <pageSetup paperSize="9" scale="53" fitToHeight="0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view="pageBreakPreview" topLeftCell="A19" zoomScale="80" zoomScaleNormal="100" zoomScaleSheetLayoutView="80" workbookViewId="0">
      <selection activeCell="B3" sqref="B3:F3"/>
    </sheetView>
  </sheetViews>
  <sheetFormatPr defaultRowHeight="15" x14ac:dyDescent="0.25"/>
  <cols>
    <col min="1" max="1" width="13.28515625" customWidth="1"/>
    <col min="2" max="2" width="62" customWidth="1"/>
    <col min="3" max="4" width="8.42578125" customWidth="1"/>
    <col min="5" max="5" width="7.7109375" customWidth="1"/>
    <col min="6" max="7" width="10.85546875" customWidth="1"/>
    <col min="8" max="8" width="10.7109375" customWidth="1"/>
    <col min="9" max="9" width="9.5703125" bestFit="1" customWidth="1"/>
    <col min="10" max="10" width="15.28515625" customWidth="1"/>
    <col min="11" max="11" width="15.8554687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33</v>
      </c>
      <c r="B2" s="184" t="s">
        <v>1441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1821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1273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1" t="s">
        <v>1958</v>
      </c>
      <c r="C6" s="243">
        <v>5</v>
      </c>
      <c r="D6" s="243">
        <v>5</v>
      </c>
      <c r="E6" s="243"/>
      <c r="F6" s="243">
        <f>D6*C6</f>
        <v>25</v>
      </c>
      <c r="G6" s="243">
        <f>F6</f>
        <v>25</v>
      </c>
      <c r="H6" s="244" t="s">
        <v>1076</v>
      </c>
      <c r="I6" s="253">
        <v>0.9</v>
      </c>
      <c r="J6" s="254">
        <f>Insumos!D21</f>
        <v>0</v>
      </c>
      <c r="K6" s="246">
        <f>TRUNC(G6*I6*J6,2)</f>
        <v>0</v>
      </c>
    </row>
    <row r="7" spans="1:11" s="247" customFormat="1" ht="30" x14ac:dyDescent="0.25">
      <c r="A7" s="34" t="s">
        <v>1203</v>
      </c>
      <c r="B7" s="255" t="s">
        <v>1126</v>
      </c>
      <c r="C7" s="243">
        <f>C6</f>
        <v>5</v>
      </c>
      <c r="D7" s="243">
        <f>D6</f>
        <v>5</v>
      </c>
      <c r="E7" s="243"/>
      <c r="F7" s="243">
        <f>D7*C7</f>
        <v>25</v>
      </c>
      <c r="G7" s="243">
        <f>F7</f>
        <v>25</v>
      </c>
      <c r="H7" s="244" t="s">
        <v>1076</v>
      </c>
      <c r="I7" s="253">
        <v>0.9</v>
      </c>
      <c r="J7" s="254">
        <f>Insumos!D27</f>
        <v>0</v>
      </c>
      <c r="K7" s="246">
        <f>TRUNC(G7*I7*J7,2)</f>
        <v>0</v>
      </c>
    </row>
    <row r="8" spans="1:11" s="247" customFormat="1" x14ac:dyDescent="0.25">
      <c r="A8" s="394"/>
      <c r="B8" s="386"/>
      <c r="C8" s="382"/>
      <c r="D8" s="382"/>
      <c r="E8" s="382"/>
      <c r="F8" s="382"/>
      <c r="G8" s="382"/>
      <c r="H8" s="382"/>
      <c r="I8" s="382"/>
      <c r="J8" s="399" t="s">
        <v>1064</v>
      </c>
      <c r="K8" s="400">
        <f>SUM(K6:K7)</f>
        <v>0</v>
      </c>
    </row>
    <row r="9" spans="1:11" s="247" customFormat="1" x14ac:dyDescent="0.25">
      <c r="A9" s="401" t="s">
        <v>1822</v>
      </c>
      <c r="B9" s="402" t="s">
        <v>1219</v>
      </c>
      <c r="C9" s="383"/>
      <c r="D9" s="383"/>
      <c r="E9" s="383"/>
      <c r="F9" s="383"/>
      <c r="G9" s="383"/>
      <c r="H9" s="383"/>
      <c r="I9" s="383"/>
      <c r="J9" s="383"/>
      <c r="K9" s="408"/>
    </row>
    <row r="10" spans="1:11" s="247" customFormat="1" x14ac:dyDescent="0.25">
      <c r="A10" s="611" t="s">
        <v>1196</v>
      </c>
      <c r="B10" s="612" t="s">
        <v>1067</v>
      </c>
      <c r="C10" s="643" t="s">
        <v>1197</v>
      </c>
      <c r="D10" s="643"/>
      <c r="E10" s="643"/>
      <c r="F10" s="643"/>
      <c r="G10" s="619" t="s">
        <v>14</v>
      </c>
      <c r="H10" s="610" t="s">
        <v>1068</v>
      </c>
      <c r="I10" s="608" t="s">
        <v>35</v>
      </c>
      <c r="J10" s="608" t="s">
        <v>1069</v>
      </c>
      <c r="K10" s="610" t="s">
        <v>16</v>
      </c>
    </row>
    <row r="11" spans="1:11" s="247" customFormat="1" x14ac:dyDescent="0.25">
      <c r="A11" s="611"/>
      <c r="B11" s="612"/>
      <c r="C11" s="384"/>
      <c r="D11" s="384"/>
      <c r="E11" s="384"/>
      <c r="F11" s="384"/>
      <c r="G11" s="664"/>
      <c r="H11" s="610"/>
      <c r="I11" s="660"/>
      <c r="J11" s="660"/>
      <c r="K11" s="610"/>
    </row>
    <row r="12" spans="1:11" s="247" customFormat="1" x14ac:dyDescent="0.25">
      <c r="A12" s="611"/>
      <c r="B12" s="612"/>
      <c r="C12" s="384"/>
      <c r="D12" s="384"/>
      <c r="E12" s="384"/>
      <c r="F12" s="384"/>
      <c r="G12" s="620"/>
      <c r="H12" s="610"/>
      <c r="I12" s="609"/>
      <c r="J12" s="609"/>
      <c r="K12" s="610"/>
    </row>
    <row r="13" spans="1:11" x14ac:dyDescent="0.25">
      <c r="A13" s="124" t="s">
        <v>1204</v>
      </c>
      <c r="B13" s="6" t="s">
        <v>1147</v>
      </c>
      <c r="C13" s="313"/>
      <c r="D13" s="313"/>
      <c r="E13" s="313"/>
      <c r="F13" s="313"/>
      <c r="G13" s="143">
        <v>0.5</v>
      </c>
      <c r="H13" s="140" t="s">
        <v>1140</v>
      </c>
      <c r="I13" s="150">
        <f>G13/SUM($G$14:$G$18)</f>
        <v>3.0303030303030304E-2</v>
      </c>
      <c r="J13" s="167">
        <f>Insumos!D49</f>
        <v>0</v>
      </c>
      <c r="K13" s="215">
        <f t="shared" ref="K13:K18" si="0">TRUNC(G13*I13*J13,2)</f>
        <v>0</v>
      </c>
    </row>
    <row r="14" spans="1:11" x14ac:dyDescent="0.25">
      <c r="A14" s="124" t="s">
        <v>1205</v>
      </c>
      <c r="B14" s="6" t="s">
        <v>1148</v>
      </c>
      <c r="C14" s="313"/>
      <c r="D14" s="313"/>
      <c r="E14" s="313"/>
      <c r="F14" s="313"/>
      <c r="G14" s="143">
        <v>0.5</v>
      </c>
      <c r="H14" s="140" t="s">
        <v>1140</v>
      </c>
      <c r="I14" s="150">
        <f t="shared" ref="I14:I18" si="1">G14/SUM($G$14:$G$18)</f>
        <v>3.0303030303030304E-2</v>
      </c>
      <c r="J14" s="167">
        <f>Insumos!D50</f>
        <v>0</v>
      </c>
      <c r="K14" s="215">
        <f t="shared" si="0"/>
        <v>0</v>
      </c>
    </row>
    <row r="15" spans="1:11" x14ac:dyDescent="0.25">
      <c r="A15" s="124" t="s">
        <v>1206</v>
      </c>
      <c r="B15" s="6" t="s">
        <v>1149</v>
      </c>
      <c r="C15" s="313"/>
      <c r="D15" s="313"/>
      <c r="E15" s="313"/>
      <c r="F15" s="313"/>
      <c r="G15" s="143">
        <v>0.5</v>
      </c>
      <c r="H15" s="140" t="s">
        <v>1140</v>
      </c>
      <c r="I15" s="150">
        <f t="shared" si="1"/>
        <v>3.0303030303030304E-2</v>
      </c>
      <c r="J15" s="167">
        <f>Insumos!D51</f>
        <v>0</v>
      </c>
      <c r="K15" s="215">
        <f t="shared" si="0"/>
        <v>0</v>
      </c>
    </row>
    <row r="16" spans="1:11" x14ac:dyDescent="0.25">
      <c r="A16" s="124" t="s">
        <v>1207</v>
      </c>
      <c r="B16" s="6" t="s">
        <v>1150</v>
      </c>
      <c r="C16" s="313"/>
      <c r="D16" s="313"/>
      <c r="E16" s="313"/>
      <c r="F16" s="313"/>
      <c r="G16" s="143">
        <v>10</v>
      </c>
      <c r="H16" s="140" t="s">
        <v>1151</v>
      </c>
      <c r="I16" s="150">
        <f t="shared" si="1"/>
        <v>0.60606060606060608</v>
      </c>
      <c r="J16" s="167">
        <f>Insumos!D52</f>
        <v>0</v>
      </c>
      <c r="K16" s="215">
        <f t="shared" si="0"/>
        <v>0</v>
      </c>
    </row>
    <row r="17" spans="1:11" x14ac:dyDescent="0.25">
      <c r="A17" s="124" t="s">
        <v>1208</v>
      </c>
      <c r="B17" s="6" t="s">
        <v>1152</v>
      </c>
      <c r="C17" s="313"/>
      <c r="D17" s="313"/>
      <c r="E17" s="313"/>
      <c r="F17" s="313"/>
      <c r="G17" s="143">
        <v>0.5</v>
      </c>
      <c r="H17" s="140" t="s">
        <v>1124</v>
      </c>
      <c r="I17" s="150">
        <f t="shared" si="1"/>
        <v>3.0303030303030304E-2</v>
      </c>
      <c r="J17" s="167">
        <f>Insumos!D53</f>
        <v>0</v>
      </c>
      <c r="K17" s="215">
        <f t="shared" si="0"/>
        <v>0</v>
      </c>
    </row>
    <row r="18" spans="1:11" x14ac:dyDescent="0.25">
      <c r="A18" s="124" t="s">
        <v>1209</v>
      </c>
      <c r="B18" s="6" t="s">
        <v>1248</v>
      </c>
      <c r="C18" s="313"/>
      <c r="D18" s="313"/>
      <c r="E18" s="313"/>
      <c r="F18" s="313"/>
      <c r="G18" s="143">
        <v>5</v>
      </c>
      <c r="H18" s="140" t="s">
        <v>1154</v>
      </c>
      <c r="I18" s="150">
        <f t="shared" si="1"/>
        <v>0.30303030303030304</v>
      </c>
      <c r="J18" s="167">
        <f>Insumos!D54</f>
        <v>0</v>
      </c>
      <c r="K18" s="215">
        <f t="shared" si="0"/>
        <v>0</v>
      </c>
    </row>
    <row r="19" spans="1:11" x14ac:dyDescent="0.25">
      <c r="A19" s="152"/>
      <c r="B19" s="159"/>
      <c r="C19" s="387"/>
      <c r="D19" s="387"/>
      <c r="E19" s="387"/>
      <c r="F19" s="387"/>
      <c r="G19" s="154"/>
      <c r="H19" s="157"/>
      <c r="I19" s="157"/>
      <c r="J19" s="192" t="s">
        <v>1064</v>
      </c>
      <c r="K19" s="217">
        <f>SUM(K13:K18)</f>
        <v>0</v>
      </c>
    </row>
    <row r="20" spans="1:11" x14ac:dyDescent="0.25">
      <c r="A20" s="146" t="s">
        <v>1823</v>
      </c>
      <c r="B20" s="179" t="s">
        <v>1155</v>
      </c>
      <c r="C20" s="388"/>
      <c r="D20" s="388"/>
      <c r="E20" s="388"/>
      <c r="F20" s="388"/>
      <c r="G20" s="148"/>
      <c r="H20" s="148"/>
      <c r="I20" s="148"/>
      <c r="J20" s="148"/>
      <c r="K20" s="188"/>
    </row>
    <row r="21" spans="1:11" x14ac:dyDescent="0.25">
      <c r="A21" s="611" t="s">
        <v>1196</v>
      </c>
      <c r="B21" s="612" t="s">
        <v>1067</v>
      </c>
      <c r="C21" s="637" t="s">
        <v>1197</v>
      </c>
      <c r="D21" s="638"/>
      <c r="E21" s="638"/>
      <c r="F21" s="639"/>
      <c r="G21" s="619" t="s">
        <v>14</v>
      </c>
      <c r="H21" s="610" t="s">
        <v>1068</v>
      </c>
      <c r="I21" s="608" t="s">
        <v>35</v>
      </c>
      <c r="J21" s="610" t="s">
        <v>1249</v>
      </c>
      <c r="K21" s="610" t="s">
        <v>16</v>
      </c>
    </row>
    <row r="22" spans="1:11" x14ac:dyDescent="0.25">
      <c r="A22" s="611"/>
      <c r="B22" s="612"/>
      <c r="C22" s="640"/>
      <c r="D22" s="641"/>
      <c r="E22" s="641"/>
      <c r="F22" s="642"/>
      <c r="G22" s="620"/>
      <c r="H22" s="610"/>
      <c r="I22" s="609"/>
      <c r="J22" s="610"/>
      <c r="K22" s="610"/>
    </row>
    <row r="23" spans="1:11" x14ac:dyDescent="0.25">
      <c r="A23" s="124" t="s">
        <v>1210</v>
      </c>
      <c r="B23" s="104" t="s">
        <v>1156</v>
      </c>
      <c r="C23" s="313"/>
      <c r="D23" s="313"/>
      <c r="E23" s="313"/>
      <c r="F23" s="313"/>
      <c r="G23" s="143">
        <v>0.5</v>
      </c>
      <c r="H23" s="140" t="s">
        <v>1228</v>
      </c>
      <c r="I23" s="150">
        <f>G23/SUM($G$23:$G$31)</f>
        <v>9.9800399201596807E-2</v>
      </c>
      <c r="J23" s="167">
        <f>Insumos!D58</f>
        <v>0</v>
      </c>
      <c r="K23" s="215">
        <f t="shared" ref="K23:K31" si="2">TRUNC(G23*I23*J23,2)</f>
        <v>0</v>
      </c>
    </row>
    <row r="24" spans="1:11" x14ac:dyDescent="0.25">
      <c r="A24" s="124" t="s">
        <v>1211</v>
      </c>
      <c r="B24" s="104" t="s">
        <v>1160</v>
      </c>
      <c r="C24" s="313"/>
      <c r="D24" s="313"/>
      <c r="E24" s="313"/>
      <c r="F24" s="313"/>
      <c r="G24" s="143">
        <v>0.5</v>
      </c>
      <c r="H24" s="140" t="s">
        <v>1261</v>
      </c>
      <c r="I24" s="150">
        <f t="shared" ref="I24:I31" si="3">G24/SUM($G$23:$G$31)</f>
        <v>9.9800399201596807E-2</v>
      </c>
      <c r="J24" s="167">
        <f>Insumos!D61</f>
        <v>0</v>
      </c>
      <c r="K24" s="215">
        <f t="shared" si="2"/>
        <v>0</v>
      </c>
    </row>
    <row r="25" spans="1:11" x14ac:dyDescent="0.25">
      <c r="A25" s="124" t="s">
        <v>1212</v>
      </c>
      <c r="B25" s="104" t="s">
        <v>1161</v>
      </c>
      <c r="C25" s="313"/>
      <c r="D25" s="313"/>
      <c r="E25" s="313"/>
      <c r="F25" s="313"/>
      <c r="G25" s="143">
        <v>0.15</v>
      </c>
      <c r="H25" s="140" t="s">
        <v>1162</v>
      </c>
      <c r="I25" s="150">
        <f t="shared" si="3"/>
        <v>2.9940119760479042E-2</v>
      </c>
      <c r="J25" s="167">
        <f>Insumos!D62</f>
        <v>0</v>
      </c>
      <c r="K25" s="215">
        <f t="shared" si="2"/>
        <v>0</v>
      </c>
    </row>
    <row r="26" spans="1:11" x14ac:dyDescent="0.25">
      <c r="A26" s="124" t="s">
        <v>1213</v>
      </c>
      <c r="B26" s="104" t="s">
        <v>1163</v>
      </c>
      <c r="C26" s="143"/>
      <c r="D26" s="143"/>
      <c r="E26" s="143"/>
      <c r="F26" s="143"/>
      <c r="G26" s="195">
        <v>0.5</v>
      </c>
      <c r="H26" s="140" t="s">
        <v>1068</v>
      </c>
      <c r="I26" s="150">
        <f t="shared" si="3"/>
        <v>9.9800399201596807E-2</v>
      </c>
      <c r="J26" s="167">
        <f>Insumos!D63</f>
        <v>0</v>
      </c>
      <c r="K26" s="215">
        <f t="shared" si="2"/>
        <v>0</v>
      </c>
    </row>
    <row r="27" spans="1:11" x14ac:dyDescent="0.25">
      <c r="A27" s="124" t="s">
        <v>1214</v>
      </c>
      <c r="B27" s="104" t="s">
        <v>1164</v>
      </c>
      <c r="C27" s="143"/>
      <c r="D27" s="143"/>
      <c r="E27" s="143"/>
      <c r="F27" s="143"/>
      <c r="G27" s="143">
        <v>0.5</v>
      </c>
      <c r="H27" s="140" t="s">
        <v>1068</v>
      </c>
      <c r="I27" s="150">
        <f t="shared" si="3"/>
        <v>9.9800399201596807E-2</v>
      </c>
      <c r="J27" s="167">
        <f>Insumos!D64</f>
        <v>0</v>
      </c>
      <c r="K27" s="215">
        <f t="shared" si="2"/>
        <v>0</v>
      </c>
    </row>
    <row r="28" spans="1:11" x14ac:dyDescent="0.25">
      <c r="A28" s="124" t="s">
        <v>1215</v>
      </c>
      <c r="B28" s="104" t="s">
        <v>1165</v>
      </c>
      <c r="C28" s="143"/>
      <c r="D28" s="143"/>
      <c r="E28" s="143"/>
      <c r="F28" s="143"/>
      <c r="G28" s="143">
        <v>0.5</v>
      </c>
      <c r="H28" s="140" t="s">
        <v>1068</v>
      </c>
      <c r="I28" s="150">
        <f t="shared" si="3"/>
        <v>9.9800399201596807E-2</v>
      </c>
      <c r="J28" s="167">
        <f>Insumos!D65</f>
        <v>0</v>
      </c>
      <c r="K28" s="215">
        <f t="shared" si="2"/>
        <v>0</v>
      </c>
    </row>
    <row r="29" spans="1:11" x14ac:dyDescent="0.25">
      <c r="A29" s="124" t="s">
        <v>1216</v>
      </c>
      <c r="B29" s="104" t="s">
        <v>1166</v>
      </c>
      <c r="C29" s="143"/>
      <c r="D29" s="143"/>
      <c r="E29" s="143"/>
      <c r="F29" s="143"/>
      <c r="G29" s="143">
        <v>0.86</v>
      </c>
      <c r="H29" s="140" t="s">
        <v>1228</v>
      </c>
      <c r="I29" s="150">
        <f t="shared" si="3"/>
        <v>0.17165668662674652</v>
      </c>
      <c r="J29" s="167">
        <f>Insumos!D66</f>
        <v>0</v>
      </c>
      <c r="K29" s="215">
        <f t="shared" si="2"/>
        <v>0</v>
      </c>
    </row>
    <row r="30" spans="1:11" x14ac:dyDescent="0.25">
      <c r="A30" s="124" t="s">
        <v>1217</v>
      </c>
      <c r="B30" s="104" t="s">
        <v>1167</v>
      </c>
      <c r="C30" s="143"/>
      <c r="D30" s="143"/>
      <c r="E30" s="143"/>
      <c r="F30" s="143"/>
      <c r="G30" s="143">
        <v>0.5</v>
      </c>
      <c r="H30" s="140" t="s">
        <v>1168</v>
      </c>
      <c r="I30" s="150">
        <f t="shared" si="3"/>
        <v>9.9800399201596807E-2</v>
      </c>
      <c r="J30" s="167">
        <f>Insumos!D67</f>
        <v>0</v>
      </c>
      <c r="K30" s="215">
        <f t="shared" si="2"/>
        <v>0</v>
      </c>
    </row>
    <row r="31" spans="1:11" x14ac:dyDescent="0.25">
      <c r="A31" s="124" t="s">
        <v>1220</v>
      </c>
      <c r="B31" s="104" t="s">
        <v>1169</v>
      </c>
      <c r="C31" s="143"/>
      <c r="D31" s="143"/>
      <c r="E31" s="143"/>
      <c r="F31" s="143"/>
      <c r="G31" s="143">
        <v>1</v>
      </c>
      <c r="H31" s="140" t="s">
        <v>1170</v>
      </c>
      <c r="I31" s="150">
        <f t="shared" si="3"/>
        <v>0.19960079840319361</v>
      </c>
      <c r="J31" s="167">
        <f>Insumos!D68</f>
        <v>0</v>
      </c>
      <c r="K31" s="215">
        <f t="shared" si="2"/>
        <v>0</v>
      </c>
    </row>
    <row r="32" spans="1:11" x14ac:dyDescent="0.25">
      <c r="A32" s="152"/>
      <c r="B32" s="159"/>
      <c r="C32" s="159"/>
      <c r="D32" s="159"/>
      <c r="E32" s="159"/>
      <c r="F32" s="159"/>
      <c r="G32" s="159"/>
      <c r="H32" s="159"/>
      <c r="I32" s="159"/>
      <c r="J32" s="170" t="s">
        <v>1064</v>
      </c>
      <c r="K32" s="218">
        <f>SUM(K23:K31)</f>
        <v>0</v>
      </c>
    </row>
    <row r="33" spans="1:11" x14ac:dyDescent="0.25">
      <c r="A33" s="146" t="s">
        <v>1824</v>
      </c>
      <c r="B33" s="179" t="s">
        <v>1176</v>
      </c>
      <c r="C33" s="148"/>
      <c r="D33" s="148"/>
      <c r="E33" s="148"/>
      <c r="F33" s="148"/>
      <c r="G33" s="148"/>
      <c r="H33" s="148"/>
      <c r="I33" s="148"/>
      <c r="J33" s="148"/>
      <c r="K33" s="188"/>
    </row>
    <row r="34" spans="1:11" x14ac:dyDescent="0.25">
      <c r="A34" s="611" t="s">
        <v>1196</v>
      </c>
      <c r="B34" s="612" t="s">
        <v>1067</v>
      </c>
      <c r="C34" s="613" t="s">
        <v>1197</v>
      </c>
      <c r="D34" s="614"/>
      <c r="E34" s="614"/>
      <c r="F34" s="615"/>
      <c r="G34" s="619" t="s">
        <v>14</v>
      </c>
      <c r="H34" s="610" t="s">
        <v>1068</v>
      </c>
      <c r="I34" s="608" t="s">
        <v>35</v>
      </c>
      <c r="J34" s="610" t="s">
        <v>1249</v>
      </c>
      <c r="K34" s="610" t="s">
        <v>16</v>
      </c>
    </row>
    <row r="35" spans="1:11" x14ac:dyDescent="0.25">
      <c r="A35" s="611"/>
      <c r="B35" s="612"/>
      <c r="C35" s="616"/>
      <c r="D35" s="617"/>
      <c r="E35" s="617"/>
      <c r="F35" s="618"/>
      <c r="G35" s="620"/>
      <c r="H35" s="610"/>
      <c r="I35" s="609"/>
      <c r="J35" s="610"/>
      <c r="K35" s="610"/>
    </row>
    <row r="36" spans="1:11" x14ac:dyDescent="0.25">
      <c r="A36" s="124" t="s">
        <v>1222</v>
      </c>
      <c r="B36" s="6" t="s">
        <v>1242</v>
      </c>
      <c r="C36" s="605"/>
      <c r="D36" s="606"/>
      <c r="E36" s="606"/>
      <c r="F36" s="607"/>
      <c r="G36" s="143">
        <v>1</v>
      </c>
      <c r="H36" s="140" t="s">
        <v>1140</v>
      </c>
      <c r="I36" s="150">
        <v>1</v>
      </c>
      <c r="J36" s="167">
        <f>Insumos!D75</f>
        <v>0</v>
      </c>
      <c r="K36" s="215">
        <f>TRUNC(G36*I36*J36,2)</f>
        <v>0</v>
      </c>
    </row>
    <row r="37" spans="1:11" x14ac:dyDescent="0.25">
      <c r="A37" s="152"/>
      <c r="B37" s="159"/>
      <c r="C37" s="159"/>
      <c r="D37" s="159"/>
      <c r="E37" s="159"/>
      <c r="F37" s="159"/>
      <c r="G37" s="159"/>
      <c r="H37" s="159"/>
      <c r="I37" s="159"/>
      <c r="J37" s="170" t="s">
        <v>1064</v>
      </c>
      <c r="K37" s="218">
        <f>SUM(K36)</f>
        <v>0</v>
      </c>
    </row>
    <row r="38" spans="1:11" x14ac:dyDescent="0.25">
      <c r="A38" s="146" t="s">
        <v>1825</v>
      </c>
      <c r="B38" s="179" t="s">
        <v>1178</v>
      </c>
      <c r="C38" s="148"/>
      <c r="D38" s="148"/>
      <c r="E38" s="148"/>
      <c r="F38" s="148"/>
      <c r="G38" s="148"/>
      <c r="H38" s="148"/>
      <c r="I38" s="148"/>
      <c r="J38" s="148"/>
      <c r="K38" s="188"/>
    </row>
    <row r="39" spans="1:11" x14ac:dyDescent="0.25">
      <c r="A39" s="611" t="s">
        <v>1196</v>
      </c>
      <c r="B39" s="612" t="s">
        <v>1067</v>
      </c>
      <c r="C39" s="613" t="s">
        <v>1197</v>
      </c>
      <c r="D39" s="614"/>
      <c r="E39" s="614"/>
      <c r="F39" s="615"/>
      <c r="G39" s="619" t="s">
        <v>14</v>
      </c>
      <c r="H39" s="610" t="s">
        <v>1068</v>
      </c>
      <c r="I39" s="608" t="s">
        <v>35</v>
      </c>
      <c r="J39" s="610" t="s">
        <v>1249</v>
      </c>
      <c r="K39" s="610" t="s">
        <v>16</v>
      </c>
    </row>
    <row r="40" spans="1:11" x14ac:dyDescent="0.25">
      <c r="A40" s="611"/>
      <c r="B40" s="612"/>
      <c r="C40" s="616"/>
      <c r="D40" s="617"/>
      <c r="E40" s="617"/>
      <c r="F40" s="618"/>
      <c r="G40" s="620"/>
      <c r="H40" s="610"/>
      <c r="I40" s="609"/>
      <c r="J40" s="610"/>
      <c r="K40" s="610"/>
    </row>
    <row r="41" spans="1:11" x14ac:dyDescent="0.25">
      <c r="A41" s="124" t="s">
        <v>1223</v>
      </c>
      <c r="B41" s="104" t="s">
        <v>1179</v>
      </c>
      <c r="C41" s="605"/>
      <c r="D41" s="606"/>
      <c r="E41" s="606"/>
      <c r="F41" s="607"/>
      <c r="G41" s="143">
        <v>1</v>
      </c>
      <c r="H41" s="140" t="s">
        <v>1140</v>
      </c>
      <c r="I41" s="150">
        <v>1</v>
      </c>
      <c r="J41" s="167">
        <f>Insumos!D78</f>
        <v>0</v>
      </c>
      <c r="K41" s="215">
        <f>TRUNC(G41*I41*J41,2)</f>
        <v>0</v>
      </c>
    </row>
    <row r="42" spans="1:11" x14ac:dyDescent="0.25">
      <c r="A42" s="152"/>
      <c r="B42" s="159"/>
      <c r="C42" s="159"/>
      <c r="D42" s="159"/>
      <c r="E42" s="159"/>
      <c r="F42" s="159"/>
      <c r="G42" s="159"/>
      <c r="H42" s="159"/>
      <c r="I42" s="159"/>
      <c r="J42" s="170" t="s">
        <v>1064</v>
      </c>
      <c r="K42" s="218">
        <f>K41</f>
        <v>0</v>
      </c>
    </row>
    <row r="43" spans="1:11" x14ac:dyDescent="0.25">
      <c r="A43" s="146" t="s">
        <v>1826</v>
      </c>
      <c r="B43" s="179" t="s">
        <v>1180</v>
      </c>
      <c r="C43" s="148"/>
      <c r="D43" s="148"/>
      <c r="E43" s="148"/>
      <c r="F43" s="148"/>
      <c r="G43" s="148"/>
      <c r="H43" s="148"/>
      <c r="I43" s="148"/>
      <c r="J43" s="148"/>
      <c r="K43" s="188"/>
    </row>
    <row r="44" spans="1:11" x14ac:dyDescent="0.25">
      <c r="A44" s="611" t="s">
        <v>1196</v>
      </c>
      <c r="B44" s="612" t="s">
        <v>1067</v>
      </c>
      <c r="C44" s="613" t="s">
        <v>1197</v>
      </c>
      <c r="D44" s="614"/>
      <c r="E44" s="614"/>
      <c r="F44" s="615"/>
      <c r="G44" s="619" t="s">
        <v>14</v>
      </c>
      <c r="H44" s="610" t="s">
        <v>1068</v>
      </c>
      <c r="I44" s="608" t="s">
        <v>35</v>
      </c>
      <c r="J44" s="610" t="s">
        <v>1249</v>
      </c>
      <c r="K44" s="610" t="s">
        <v>16</v>
      </c>
    </row>
    <row r="45" spans="1:11" x14ac:dyDescent="0.25">
      <c r="A45" s="611"/>
      <c r="B45" s="612"/>
      <c r="C45" s="616"/>
      <c r="D45" s="617"/>
      <c r="E45" s="617"/>
      <c r="F45" s="618"/>
      <c r="G45" s="620"/>
      <c r="H45" s="610"/>
      <c r="I45" s="609"/>
      <c r="J45" s="610"/>
      <c r="K45" s="610"/>
    </row>
    <row r="46" spans="1:11" x14ac:dyDescent="0.25">
      <c r="A46" s="124" t="s">
        <v>1224</v>
      </c>
      <c r="B46" s="6" t="s">
        <v>1181</v>
      </c>
      <c r="C46" s="605"/>
      <c r="D46" s="606"/>
      <c r="E46" s="606"/>
      <c r="F46" s="607"/>
      <c r="G46" s="143">
        <v>0.01</v>
      </c>
      <c r="H46" s="140" t="s">
        <v>1140</v>
      </c>
      <c r="I46" s="150">
        <f>G46/SUM($G$46:$G$48)</f>
        <v>0.33333333333333337</v>
      </c>
      <c r="J46" s="167">
        <f>Insumos!D81</f>
        <v>0</v>
      </c>
      <c r="K46" s="215">
        <f>TRUNC(G46*I46*J46,2)</f>
        <v>0</v>
      </c>
    </row>
    <row r="47" spans="1:11" x14ac:dyDescent="0.25">
      <c r="A47" s="124" t="s">
        <v>1225</v>
      </c>
      <c r="B47" s="6" t="s">
        <v>1182</v>
      </c>
      <c r="C47" s="605"/>
      <c r="D47" s="606"/>
      <c r="E47" s="606"/>
      <c r="F47" s="607"/>
      <c r="G47" s="143">
        <v>0.01</v>
      </c>
      <c r="H47" s="140" t="s">
        <v>1140</v>
      </c>
      <c r="I47" s="150">
        <f t="shared" ref="I47:I48" si="4">G47/SUM($G$46:$G$48)</f>
        <v>0.33333333333333337</v>
      </c>
      <c r="J47" s="167">
        <f>Insumos!D82</f>
        <v>0</v>
      </c>
      <c r="K47" s="215">
        <f>TRUNC(G47*I47*J47,2)</f>
        <v>0</v>
      </c>
    </row>
    <row r="48" spans="1:11" x14ac:dyDescent="0.25">
      <c r="A48" s="124" t="s">
        <v>1226</v>
      </c>
      <c r="B48" s="6" t="s">
        <v>1183</v>
      </c>
      <c r="C48" s="605"/>
      <c r="D48" s="606"/>
      <c r="E48" s="606"/>
      <c r="F48" s="607"/>
      <c r="G48" s="143">
        <v>0.01</v>
      </c>
      <c r="H48" s="140" t="s">
        <v>1140</v>
      </c>
      <c r="I48" s="150">
        <f t="shared" si="4"/>
        <v>0.33333333333333337</v>
      </c>
      <c r="J48" s="167">
        <f>Insumos!D83</f>
        <v>0</v>
      </c>
      <c r="K48" s="215">
        <f>TRUNC(G48*I48*J48,2)</f>
        <v>0</v>
      </c>
    </row>
    <row r="49" spans="1:11" x14ac:dyDescent="0.25">
      <c r="A49" s="152"/>
      <c r="B49" s="159"/>
      <c r="C49" s="159"/>
      <c r="D49" s="159"/>
      <c r="E49" s="159"/>
      <c r="F49" s="159"/>
      <c r="G49" s="159"/>
      <c r="H49" s="159"/>
      <c r="I49" s="159"/>
      <c r="J49" s="170" t="s">
        <v>1064</v>
      </c>
      <c r="K49" s="218">
        <f>SUM(K46:K48)</f>
        <v>0</v>
      </c>
    </row>
  </sheetData>
  <mergeCells count="55">
    <mergeCell ref="C46:F46"/>
    <mergeCell ref="C47:F47"/>
    <mergeCell ref="C48:F48"/>
    <mergeCell ref="K39:K40"/>
    <mergeCell ref="C41:F41"/>
    <mergeCell ref="I44:I45"/>
    <mergeCell ref="J44:J45"/>
    <mergeCell ref="K44:K45"/>
    <mergeCell ref="A44:A45"/>
    <mergeCell ref="B44:B45"/>
    <mergeCell ref="C44:F45"/>
    <mergeCell ref="G44:G45"/>
    <mergeCell ref="H44:H45"/>
    <mergeCell ref="J34:J35"/>
    <mergeCell ref="K34:K35"/>
    <mergeCell ref="C36:F36"/>
    <mergeCell ref="A39:A40"/>
    <mergeCell ref="B39:B40"/>
    <mergeCell ref="C39:F40"/>
    <mergeCell ref="G39:G40"/>
    <mergeCell ref="H39:H40"/>
    <mergeCell ref="I39:I40"/>
    <mergeCell ref="J39:J40"/>
    <mergeCell ref="A34:A35"/>
    <mergeCell ref="B34:B35"/>
    <mergeCell ref="C34:F35"/>
    <mergeCell ref="G34:G35"/>
    <mergeCell ref="H34:H35"/>
    <mergeCell ref="I34:I35"/>
    <mergeCell ref="J10:J12"/>
    <mergeCell ref="K10:K12"/>
    <mergeCell ref="A21:A22"/>
    <mergeCell ref="B21:B22"/>
    <mergeCell ref="C21:F22"/>
    <mergeCell ref="G21:G22"/>
    <mergeCell ref="H21:H22"/>
    <mergeCell ref="I21:I22"/>
    <mergeCell ref="J21:J22"/>
    <mergeCell ref="K21:K22"/>
    <mergeCell ref="A10:A12"/>
    <mergeCell ref="B10:B12"/>
    <mergeCell ref="C10:F10"/>
    <mergeCell ref="G10:G12"/>
    <mergeCell ref="H10:H12"/>
    <mergeCell ref="I10:I12"/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</mergeCells>
  <pageMargins left="0.511811024" right="0.511811024" top="0.78740157499999996" bottom="0.78740157499999996" header="0.31496062000000002" footer="0.31496062000000002"/>
  <pageSetup paperSize="9" scale="53" fitToHeight="0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view="pageBreakPreview" topLeftCell="A24" zoomScale="80" zoomScaleNormal="85" zoomScaleSheetLayoutView="80" workbookViewId="0">
      <selection activeCell="B3" sqref="B3:F3"/>
    </sheetView>
  </sheetViews>
  <sheetFormatPr defaultRowHeight="15" x14ac:dyDescent="0.25"/>
  <cols>
    <col min="1" max="1" width="11.7109375" customWidth="1"/>
    <col min="2" max="2" width="52.7109375" customWidth="1"/>
    <col min="3" max="4" width="8.42578125" customWidth="1"/>
    <col min="5" max="5" width="7.7109375" customWidth="1"/>
    <col min="6" max="6" width="11.5703125" customWidth="1"/>
    <col min="7" max="7" width="10.85546875" customWidth="1"/>
    <col min="8" max="8" width="9.28515625" customWidth="1"/>
    <col min="9" max="9" width="11" customWidth="1"/>
    <col min="10" max="11" width="15.28515625" customWidth="1"/>
  </cols>
  <sheetData>
    <row r="1" spans="1:11" ht="18.75" x14ac:dyDescent="0.25">
      <c r="A1" s="684" t="s">
        <v>1194</v>
      </c>
      <c r="B1" s="684"/>
      <c r="C1" s="684"/>
      <c r="D1" s="684"/>
      <c r="E1" s="684"/>
      <c r="F1" s="684"/>
      <c r="G1" s="684"/>
      <c r="H1" s="684"/>
      <c r="I1" s="684"/>
      <c r="J1" s="684"/>
      <c r="K1" s="684"/>
    </row>
    <row r="2" spans="1:11" ht="15.75" x14ac:dyDescent="0.25">
      <c r="A2" s="301">
        <v>34</v>
      </c>
      <c r="B2" s="219" t="s">
        <v>2118</v>
      </c>
      <c r="C2" s="220"/>
      <c r="D2" s="220"/>
      <c r="E2" s="220"/>
      <c r="F2" s="220"/>
      <c r="G2" s="220"/>
      <c r="H2" s="220"/>
      <c r="I2" s="220"/>
      <c r="J2" s="220"/>
      <c r="K2" s="221"/>
    </row>
    <row r="3" spans="1:11" x14ac:dyDescent="0.25">
      <c r="A3" s="222" t="s">
        <v>216</v>
      </c>
      <c r="B3" s="685" t="s">
        <v>1195</v>
      </c>
      <c r="C3" s="685"/>
      <c r="D3" s="685"/>
      <c r="E3" s="685"/>
      <c r="F3" s="685"/>
      <c r="G3" s="685"/>
      <c r="H3" s="685"/>
      <c r="I3" s="223"/>
      <c r="J3" s="224"/>
      <c r="K3" s="225"/>
    </row>
    <row r="4" spans="1:11" x14ac:dyDescent="0.25">
      <c r="A4" s="686" t="s">
        <v>1196</v>
      </c>
      <c r="B4" s="687" t="s">
        <v>1067</v>
      </c>
      <c r="C4" s="686" t="s">
        <v>1197</v>
      </c>
      <c r="D4" s="686"/>
      <c r="E4" s="686"/>
      <c r="F4" s="686"/>
      <c r="G4" s="688" t="s">
        <v>14</v>
      </c>
      <c r="H4" s="690" t="s">
        <v>1068</v>
      </c>
      <c r="I4" s="691" t="s">
        <v>35</v>
      </c>
      <c r="J4" s="690" t="s">
        <v>1069</v>
      </c>
      <c r="K4" s="690" t="s">
        <v>16</v>
      </c>
    </row>
    <row r="5" spans="1:11" x14ac:dyDescent="0.25">
      <c r="A5" s="686"/>
      <c r="B5" s="687"/>
      <c r="C5" s="226" t="s">
        <v>1198</v>
      </c>
      <c r="D5" s="226" t="s">
        <v>1199</v>
      </c>
      <c r="E5" s="226" t="s">
        <v>1200</v>
      </c>
      <c r="F5" s="226" t="s">
        <v>1201</v>
      </c>
      <c r="G5" s="689"/>
      <c r="H5" s="690"/>
      <c r="I5" s="692"/>
      <c r="J5" s="690"/>
      <c r="K5" s="690"/>
    </row>
    <row r="6" spans="1:11" s="247" customFormat="1" x14ac:dyDescent="0.25">
      <c r="A6" s="34" t="s">
        <v>1202</v>
      </c>
      <c r="B6" s="241" t="s">
        <v>1109</v>
      </c>
      <c r="C6" s="243">
        <f>12*4</f>
        <v>48</v>
      </c>
      <c r="D6" s="243">
        <v>12</v>
      </c>
      <c r="E6" s="243"/>
      <c r="F6" s="243">
        <f>D6*C6</f>
        <v>576</v>
      </c>
      <c r="G6" s="243">
        <f>F6</f>
        <v>576</v>
      </c>
      <c r="H6" s="244" t="s">
        <v>1076</v>
      </c>
      <c r="I6" s="245">
        <v>0.3</v>
      </c>
      <c r="J6" s="246">
        <f>Insumos!D19</f>
        <v>0</v>
      </c>
      <c r="K6" s="246">
        <f t="shared" ref="K6" si="0">TRUNC(G6*I6*J6,2)</f>
        <v>0</v>
      </c>
    </row>
    <row r="7" spans="1:11" s="247" customFormat="1" x14ac:dyDescent="0.25">
      <c r="A7" s="34" t="s">
        <v>1203</v>
      </c>
      <c r="B7" s="241" t="s">
        <v>1956</v>
      </c>
      <c r="C7" s="243">
        <v>44.3</v>
      </c>
      <c r="D7" s="243">
        <v>10.050000000000001</v>
      </c>
      <c r="E7" s="243"/>
      <c r="F7" s="243">
        <f>D7*C7</f>
        <v>445.21499999999997</v>
      </c>
      <c r="G7" s="243">
        <f>F7</f>
        <v>445.21499999999997</v>
      </c>
      <c r="H7" s="244" t="s">
        <v>1076</v>
      </c>
      <c r="I7" s="245">
        <v>0.3</v>
      </c>
      <c r="J7" s="246">
        <f>Insumos!D24</f>
        <v>0</v>
      </c>
      <c r="K7" s="246">
        <f t="shared" ref="K7:K10" si="1">TRUNC(G7*I7*J7,2)</f>
        <v>0</v>
      </c>
    </row>
    <row r="8" spans="1:11" s="247" customFormat="1" x14ac:dyDescent="0.25">
      <c r="A8" s="34" t="s">
        <v>1204</v>
      </c>
      <c r="B8" s="241" t="s">
        <v>1284</v>
      </c>
      <c r="C8" s="243"/>
      <c r="D8" s="243"/>
      <c r="E8" s="243"/>
      <c r="F8" s="243">
        <f>G7</f>
        <v>445.21499999999997</v>
      </c>
      <c r="G8" s="243">
        <f>F8</f>
        <v>445.21499999999997</v>
      </c>
      <c r="H8" s="244" t="s">
        <v>1076</v>
      </c>
      <c r="I8" s="245">
        <v>0.3</v>
      </c>
      <c r="J8" s="246">
        <f>Insumos!D7</f>
        <v>0</v>
      </c>
      <c r="K8" s="246">
        <f t="shared" si="1"/>
        <v>0</v>
      </c>
    </row>
    <row r="9" spans="1:11" s="247" customFormat="1" x14ac:dyDescent="0.25">
      <c r="A9" s="34" t="s">
        <v>1205</v>
      </c>
      <c r="B9" s="241" t="s">
        <v>1285</v>
      </c>
      <c r="C9" s="242"/>
      <c r="D9" s="242"/>
      <c r="E9" s="242"/>
      <c r="F9" s="243"/>
      <c r="G9" s="242">
        <v>13</v>
      </c>
      <c r="H9" s="244" t="s">
        <v>1068</v>
      </c>
      <c r="I9" s="245">
        <v>0.3</v>
      </c>
      <c r="J9" s="246">
        <f>Insumos!D34</f>
        <v>0</v>
      </c>
      <c r="K9" s="246">
        <f t="shared" si="1"/>
        <v>0</v>
      </c>
    </row>
    <row r="10" spans="1:11" s="247" customFormat="1" ht="30" x14ac:dyDescent="0.25">
      <c r="A10" s="34" t="s">
        <v>1206</v>
      </c>
      <c r="B10" s="255" t="s">
        <v>1126</v>
      </c>
      <c r="C10" s="243"/>
      <c r="D10" s="243"/>
      <c r="E10" s="243"/>
      <c r="F10" s="243">
        <f>F8</f>
        <v>445.21499999999997</v>
      </c>
      <c r="G10" s="243">
        <f>F10</f>
        <v>445.21499999999997</v>
      </c>
      <c r="H10" s="244" t="s">
        <v>1076</v>
      </c>
      <c r="I10" s="245">
        <v>0.3</v>
      </c>
      <c r="J10" s="246">
        <f>Insumos!D27</f>
        <v>0</v>
      </c>
      <c r="K10" s="246">
        <f t="shared" si="1"/>
        <v>0</v>
      </c>
    </row>
    <row r="11" spans="1:11" x14ac:dyDescent="0.25">
      <c r="A11" s="227"/>
      <c r="B11" s="227"/>
      <c r="C11" s="387"/>
      <c r="D11" s="387"/>
      <c r="E11" s="387"/>
      <c r="F11" s="387"/>
      <c r="G11" s="154"/>
      <c r="H11" s="154"/>
      <c r="I11" s="154"/>
      <c r="J11" s="229" t="s">
        <v>1064</v>
      </c>
      <c r="K11" s="216">
        <f>SUM(K6:K10)</f>
        <v>0</v>
      </c>
    </row>
    <row r="12" spans="1:11" x14ac:dyDescent="0.25">
      <c r="A12" s="222" t="s">
        <v>217</v>
      </c>
      <c r="B12" s="228" t="s">
        <v>1219</v>
      </c>
      <c r="C12" s="390"/>
      <c r="D12" s="390"/>
      <c r="E12" s="390"/>
      <c r="F12" s="390"/>
      <c r="G12" s="224"/>
      <c r="H12" s="224"/>
      <c r="I12" s="224"/>
      <c r="J12" s="224"/>
      <c r="K12" s="225"/>
    </row>
    <row r="13" spans="1:11" x14ac:dyDescent="0.25">
      <c r="A13" s="686" t="s">
        <v>1196</v>
      </c>
      <c r="B13" s="687" t="s">
        <v>1067</v>
      </c>
      <c r="C13" s="699" t="s">
        <v>1197</v>
      </c>
      <c r="D13" s="699"/>
      <c r="E13" s="699"/>
      <c r="F13" s="699"/>
      <c r="G13" s="688" t="s">
        <v>14</v>
      </c>
      <c r="H13" s="690" t="s">
        <v>1068</v>
      </c>
      <c r="I13" s="691" t="s">
        <v>35</v>
      </c>
      <c r="J13" s="690" t="s">
        <v>1069</v>
      </c>
      <c r="K13" s="690" t="s">
        <v>16</v>
      </c>
    </row>
    <row r="14" spans="1:11" x14ac:dyDescent="0.25">
      <c r="A14" s="686"/>
      <c r="B14" s="687"/>
      <c r="C14" s="411"/>
      <c r="D14" s="411"/>
      <c r="E14" s="411"/>
      <c r="F14" s="411"/>
      <c r="G14" s="689"/>
      <c r="H14" s="690"/>
      <c r="I14" s="692"/>
      <c r="J14" s="690"/>
      <c r="K14" s="690"/>
    </row>
    <row r="15" spans="1:11" x14ac:dyDescent="0.25">
      <c r="A15" s="124" t="s">
        <v>1207</v>
      </c>
      <c r="B15" s="129" t="s">
        <v>1147</v>
      </c>
      <c r="C15" s="243"/>
      <c r="D15" s="243"/>
      <c r="E15" s="243"/>
      <c r="F15" s="243"/>
      <c r="G15" s="143">
        <v>2</v>
      </c>
      <c r="H15" s="140" t="s">
        <v>1140</v>
      </c>
      <c r="I15" s="150">
        <f>G15/SUM($G$15:$G$20)</f>
        <v>6.6666666666666666E-2</v>
      </c>
      <c r="J15" s="167">
        <f>Insumos!D49</f>
        <v>0</v>
      </c>
      <c r="K15" s="215">
        <f t="shared" ref="K15:K20" si="2">TRUNC(G15*I15*J15,2)</f>
        <v>0</v>
      </c>
    </row>
    <row r="16" spans="1:11" x14ac:dyDescent="0.25">
      <c r="A16" s="124" t="s">
        <v>1208</v>
      </c>
      <c r="B16" s="129" t="s">
        <v>1148</v>
      </c>
      <c r="C16" s="243"/>
      <c r="D16" s="243"/>
      <c r="E16" s="243"/>
      <c r="F16" s="243"/>
      <c r="G16" s="143">
        <v>2</v>
      </c>
      <c r="H16" s="140" t="s">
        <v>1140</v>
      </c>
      <c r="I16" s="150">
        <f t="shared" ref="I16:I20" si="3">G16/SUM($G$15:$G$20)</f>
        <v>6.6666666666666666E-2</v>
      </c>
      <c r="J16" s="167">
        <f>Insumos!D50</f>
        <v>0</v>
      </c>
      <c r="K16" s="215">
        <f t="shared" si="2"/>
        <v>0</v>
      </c>
    </row>
    <row r="17" spans="1:11" x14ac:dyDescent="0.25">
      <c r="A17" s="124" t="s">
        <v>1209</v>
      </c>
      <c r="B17" s="129" t="s">
        <v>1149</v>
      </c>
      <c r="C17" s="243"/>
      <c r="D17" s="243"/>
      <c r="E17" s="243"/>
      <c r="F17" s="243"/>
      <c r="G17" s="143">
        <v>4</v>
      </c>
      <c r="H17" s="140" t="s">
        <v>1140</v>
      </c>
      <c r="I17" s="150">
        <f t="shared" si="3"/>
        <v>0.13333333333333333</v>
      </c>
      <c r="J17" s="167">
        <f>Insumos!D51</f>
        <v>0</v>
      </c>
      <c r="K17" s="215">
        <f t="shared" si="2"/>
        <v>0</v>
      </c>
    </row>
    <row r="18" spans="1:11" x14ac:dyDescent="0.25">
      <c r="A18" s="124" t="s">
        <v>1210</v>
      </c>
      <c r="B18" s="129" t="s">
        <v>1150</v>
      </c>
      <c r="C18" s="243"/>
      <c r="D18" s="243"/>
      <c r="E18" s="243"/>
      <c r="F18" s="243"/>
      <c r="G18" s="143">
        <v>10</v>
      </c>
      <c r="H18" s="140" t="s">
        <v>1151</v>
      </c>
      <c r="I18" s="150">
        <f t="shared" si="3"/>
        <v>0.33333333333333331</v>
      </c>
      <c r="J18" s="167">
        <f>Insumos!D52</f>
        <v>0</v>
      </c>
      <c r="K18" s="215">
        <f t="shared" si="2"/>
        <v>0</v>
      </c>
    </row>
    <row r="19" spans="1:11" x14ac:dyDescent="0.25">
      <c r="A19" s="124" t="s">
        <v>1211</v>
      </c>
      <c r="B19" s="129" t="s">
        <v>1152</v>
      </c>
      <c r="C19" s="243"/>
      <c r="D19" s="243"/>
      <c r="E19" s="243"/>
      <c r="F19" s="243"/>
      <c r="G19" s="143">
        <v>2</v>
      </c>
      <c r="H19" s="140" t="s">
        <v>1124</v>
      </c>
      <c r="I19" s="150">
        <f t="shared" si="3"/>
        <v>6.6666666666666666E-2</v>
      </c>
      <c r="J19" s="167">
        <f>Insumos!D53</f>
        <v>0</v>
      </c>
      <c r="K19" s="215">
        <f t="shared" si="2"/>
        <v>0</v>
      </c>
    </row>
    <row r="20" spans="1:11" x14ac:dyDescent="0.25">
      <c r="A20" s="124" t="s">
        <v>1212</v>
      </c>
      <c r="B20" s="129" t="s">
        <v>1248</v>
      </c>
      <c r="C20" s="243"/>
      <c r="D20" s="243"/>
      <c r="E20" s="243"/>
      <c r="F20" s="243"/>
      <c r="G20" s="143">
        <v>10</v>
      </c>
      <c r="H20" s="140" t="s">
        <v>1154</v>
      </c>
      <c r="I20" s="150">
        <f t="shared" si="3"/>
        <v>0.33333333333333331</v>
      </c>
      <c r="J20" s="167">
        <f>Insumos!D54</f>
        <v>0</v>
      </c>
      <c r="K20" s="215">
        <f t="shared" si="2"/>
        <v>0</v>
      </c>
    </row>
    <row r="21" spans="1:11" x14ac:dyDescent="0.25">
      <c r="A21" s="227"/>
      <c r="B21" s="227"/>
      <c r="C21" s="382"/>
      <c r="D21" s="382"/>
      <c r="E21" s="382"/>
      <c r="F21" s="382"/>
      <c r="G21" s="154"/>
      <c r="H21" s="157"/>
      <c r="I21" s="157"/>
      <c r="J21" s="230" t="s">
        <v>1064</v>
      </c>
      <c r="K21" s="217">
        <f>SUM(K15:K20)</f>
        <v>0</v>
      </c>
    </row>
    <row r="22" spans="1:11" x14ac:dyDescent="0.25">
      <c r="A22" s="222" t="s">
        <v>218</v>
      </c>
      <c r="B22" s="228" t="s">
        <v>1155</v>
      </c>
      <c r="C22" s="412"/>
      <c r="D22" s="412"/>
      <c r="E22" s="412"/>
      <c r="F22" s="412"/>
      <c r="G22" s="224"/>
      <c r="H22" s="224"/>
      <c r="I22" s="224"/>
      <c r="J22" s="224"/>
      <c r="K22" s="225"/>
    </row>
    <row r="23" spans="1:11" x14ac:dyDescent="0.25">
      <c r="A23" s="686" t="s">
        <v>1196</v>
      </c>
      <c r="B23" s="687" t="s">
        <v>1067</v>
      </c>
      <c r="C23" s="693" t="s">
        <v>1197</v>
      </c>
      <c r="D23" s="694"/>
      <c r="E23" s="694"/>
      <c r="F23" s="695"/>
      <c r="G23" s="688" t="s">
        <v>14</v>
      </c>
      <c r="H23" s="690" t="s">
        <v>1068</v>
      </c>
      <c r="I23" s="691" t="s">
        <v>35</v>
      </c>
      <c r="J23" s="690" t="s">
        <v>1249</v>
      </c>
      <c r="K23" s="690" t="s">
        <v>16</v>
      </c>
    </row>
    <row r="24" spans="1:11" x14ac:dyDescent="0.25">
      <c r="A24" s="686"/>
      <c r="B24" s="687"/>
      <c r="C24" s="696"/>
      <c r="D24" s="697"/>
      <c r="E24" s="697"/>
      <c r="F24" s="698"/>
      <c r="G24" s="689"/>
      <c r="H24" s="690"/>
      <c r="I24" s="692"/>
      <c r="J24" s="690"/>
      <c r="K24" s="690"/>
    </row>
    <row r="25" spans="1:11" ht="30" x14ac:dyDescent="0.25">
      <c r="A25" s="124" t="s">
        <v>1213</v>
      </c>
      <c r="B25" s="104" t="s">
        <v>1156</v>
      </c>
      <c r="C25" s="143"/>
      <c r="D25" s="143"/>
      <c r="E25" s="143"/>
      <c r="F25" s="143"/>
      <c r="G25" s="143">
        <f>G10/60</f>
        <v>7.4202499999999993</v>
      </c>
      <c r="H25" s="140" t="s">
        <v>1228</v>
      </c>
      <c r="I25" s="150">
        <f>G25/SUM($G$25:$G$33)</f>
        <v>1.5395417668899833E-2</v>
      </c>
      <c r="J25" s="167">
        <f>Insumos!D58</f>
        <v>0</v>
      </c>
      <c r="K25" s="215">
        <f t="shared" ref="K25:K33" si="4">TRUNC(G25*I25*J25,2)</f>
        <v>0</v>
      </c>
    </row>
    <row r="26" spans="1:11" x14ac:dyDescent="0.25">
      <c r="A26" s="124" t="s">
        <v>1214</v>
      </c>
      <c r="B26" s="104" t="s">
        <v>1171</v>
      </c>
      <c r="C26" s="143"/>
      <c r="D26" s="143"/>
      <c r="E26" s="143"/>
      <c r="F26" s="143"/>
      <c r="G26" s="143">
        <f>F8</f>
        <v>445.21499999999997</v>
      </c>
      <c r="H26" s="140" t="s">
        <v>1089</v>
      </c>
      <c r="I26" s="150">
        <f t="shared" ref="I26:I33" si="5">G26/SUM($G$25:$G$33)</f>
        <v>0.92372506013398992</v>
      </c>
      <c r="J26" s="167">
        <f>Insumos!D69</f>
        <v>0</v>
      </c>
      <c r="K26" s="215">
        <f t="shared" si="4"/>
        <v>0</v>
      </c>
    </row>
    <row r="27" spans="1:11" x14ac:dyDescent="0.25">
      <c r="A27" s="124" t="s">
        <v>1215</v>
      </c>
      <c r="B27" s="129" t="s">
        <v>1266</v>
      </c>
      <c r="C27" s="143"/>
      <c r="D27" s="143"/>
      <c r="E27" s="143"/>
      <c r="F27" s="143"/>
      <c r="G27" s="143">
        <f>G8*0.005</f>
        <v>2.2260749999999998</v>
      </c>
      <c r="H27" s="140" t="s">
        <v>1159</v>
      </c>
      <c r="I27" s="150">
        <f t="shared" si="5"/>
        <v>4.6186253006699493E-3</v>
      </c>
      <c r="J27" s="167">
        <f>Insumos!D61</f>
        <v>0</v>
      </c>
      <c r="K27" s="215">
        <f t="shared" si="4"/>
        <v>0</v>
      </c>
    </row>
    <row r="28" spans="1:11" x14ac:dyDescent="0.25">
      <c r="A28" s="124" t="s">
        <v>1216</v>
      </c>
      <c r="B28" s="129" t="s">
        <v>1161</v>
      </c>
      <c r="C28" s="143"/>
      <c r="D28" s="143"/>
      <c r="E28" s="143"/>
      <c r="F28" s="143"/>
      <c r="G28" s="143">
        <f>G27*1.4</f>
        <v>3.1165049999999996</v>
      </c>
      <c r="H28" s="140" t="s">
        <v>1162</v>
      </c>
      <c r="I28" s="150">
        <f t="shared" si="5"/>
        <v>6.4660754209379294E-3</v>
      </c>
      <c r="J28" s="167">
        <f>Insumos!D62</f>
        <v>0</v>
      </c>
      <c r="K28" s="215">
        <f t="shared" si="4"/>
        <v>0</v>
      </c>
    </row>
    <row r="29" spans="1:11" x14ac:dyDescent="0.25">
      <c r="A29" s="124" t="s">
        <v>1217</v>
      </c>
      <c r="B29" s="129" t="s">
        <v>1286</v>
      </c>
      <c r="C29" s="143"/>
      <c r="D29" s="143"/>
      <c r="E29" s="143"/>
      <c r="F29" s="143"/>
      <c r="G29" s="143">
        <v>6</v>
      </c>
      <c r="H29" s="140" t="s">
        <v>1068</v>
      </c>
      <c r="I29" s="150">
        <f t="shared" si="5"/>
        <v>1.2448705368875577E-2</v>
      </c>
      <c r="J29" s="167">
        <f>Insumos!D63</f>
        <v>0</v>
      </c>
      <c r="K29" s="215">
        <f t="shared" si="4"/>
        <v>0</v>
      </c>
    </row>
    <row r="30" spans="1:11" x14ac:dyDescent="0.25">
      <c r="A30" s="124" t="s">
        <v>1220</v>
      </c>
      <c r="B30" s="129" t="s">
        <v>1268</v>
      </c>
      <c r="C30" s="143"/>
      <c r="D30" s="143"/>
      <c r="E30" s="143"/>
      <c r="F30" s="143"/>
      <c r="G30" s="143">
        <v>4</v>
      </c>
      <c r="H30" s="140" t="s">
        <v>1068</v>
      </c>
      <c r="I30" s="150">
        <f t="shared" si="5"/>
        <v>8.2991369125837173E-3</v>
      </c>
      <c r="J30" s="167">
        <f>Insumos!D65</f>
        <v>0</v>
      </c>
      <c r="K30" s="215">
        <f t="shared" si="4"/>
        <v>0</v>
      </c>
    </row>
    <row r="31" spans="1:11" x14ac:dyDescent="0.25">
      <c r="A31" s="124" t="s">
        <v>1222</v>
      </c>
      <c r="B31" s="129" t="s">
        <v>1166</v>
      </c>
      <c r="C31" s="143"/>
      <c r="D31" s="143"/>
      <c r="E31" s="143"/>
      <c r="F31" s="143"/>
      <c r="G31" s="143">
        <v>3</v>
      </c>
      <c r="H31" s="140" t="s">
        <v>1096</v>
      </c>
      <c r="I31" s="150">
        <f t="shared" si="5"/>
        <v>6.2243526844377884E-3</v>
      </c>
      <c r="J31" s="167">
        <f>Insumos!D66</f>
        <v>0</v>
      </c>
      <c r="K31" s="215">
        <f t="shared" si="4"/>
        <v>0</v>
      </c>
    </row>
    <row r="32" spans="1:11" x14ac:dyDescent="0.25">
      <c r="A32" s="124" t="s">
        <v>1223</v>
      </c>
      <c r="B32" s="129" t="s">
        <v>1167</v>
      </c>
      <c r="C32" s="143"/>
      <c r="D32" s="143"/>
      <c r="E32" s="143"/>
      <c r="F32" s="143"/>
      <c r="G32" s="143">
        <v>1</v>
      </c>
      <c r="H32" s="140" t="s">
        <v>1168</v>
      </c>
      <c r="I32" s="150">
        <f t="shared" si="5"/>
        <v>2.0747842281459293E-3</v>
      </c>
      <c r="J32" s="167">
        <f>Insumos!D67</f>
        <v>0</v>
      </c>
      <c r="K32" s="215">
        <f t="shared" si="4"/>
        <v>0</v>
      </c>
    </row>
    <row r="33" spans="1:11" x14ac:dyDescent="0.25">
      <c r="A33" s="124" t="s">
        <v>1224</v>
      </c>
      <c r="B33" s="129" t="s">
        <v>1270</v>
      </c>
      <c r="C33" s="143"/>
      <c r="D33" s="143"/>
      <c r="E33" s="143"/>
      <c r="F33" s="143"/>
      <c r="G33" s="143">
        <v>10</v>
      </c>
      <c r="H33" s="140" t="s">
        <v>1170</v>
      </c>
      <c r="I33" s="150">
        <f t="shared" si="5"/>
        <v>2.0747842281459296E-2</v>
      </c>
      <c r="J33" s="167">
        <f>Insumos!D68</f>
        <v>0</v>
      </c>
      <c r="K33" s="215">
        <f t="shared" si="4"/>
        <v>0</v>
      </c>
    </row>
    <row r="34" spans="1:11" x14ac:dyDescent="0.25">
      <c r="A34" s="227"/>
      <c r="B34" s="227"/>
      <c r="C34" s="227"/>
      <c r="D34" s="227"/>
      <c r="E34" s="227"/>
      <c r="F34" s="227"/>
      <c r="G34" s="143"/>
      <c r="H34" s="140"/>
      <c r="I34" s="150"/>
      <c r="J34" s="231" t="s">
        <v>1064</v>
      </c>
      <c r="K34" s="218">
        <f>SUM(K25:K33)</f>
        <v>0</v>
      </c>
    </row>
    <row r="35" spans="1:11" x14ac:dyDescent="0.25">
      <c r="A35" s="222" t="s">
        <v>219</v>
      </c>
      <c r="B35" s="228" t="s">
        <v>1176</v>
      </c>
      <c r="C35" s="224"/>
      <c r="D35" s="224"/>
      <c r="E35" s="224"/>
      <c r="F35" s="224"/>
      <c r="G35" s="224"/>
      <c r="H35" s="224"/>
      <c r="I35" s="224"/>
      <c r="J35" s="224"/>
      <c r="K35" s="225"/>
    </row>
    <row r="36" spans="1:11" x14ac:dyDescent="0.25">
      <c r="A36" s="686" t="s">
        <v>1196</v>
      </c>
      <c r="B36" s="687" t="s">
        <v>1067</v>
      </c>
      <c r="C36" s="700" t="s">
        <v>1197</v>
      </c>
      <c r="D36" s="701"/>
      <c r="E36" s="701"/>
      <c r="F36" s="702"/>
      <c r="G36" s="688" t="s">
        <v>14</v>
      </c>
      <c r="H36" s="690" t="s">
        <v>1068</v>
      </c>
      <c r="I36" s="691" t="s">
        <v>35</v>
      </c>
      <c r="J36" s="690" t="s">
        <v>1249</v>
      </c>
      <c r="K36" s="690" t="s">
        <v>16</v>
      </c>
    </row>
    <row r="37" spans="1:11" x14ac:dyDescent="0.25">
      <c r="A37" s="686"/>
      <c r="B37" s="687"/>
      <c r="C37" s="703"/>
      <c r="D37" s="704"/>
      <c r="E37" s="704"/>
      <c r="F37" s="705"/>
      <c r="G37" s="689"/>
      <c r="H37" s="690"/>
      <c r="I37" s="692"/>
      <c r="J37" s="690"/>
      <c r="K37" s="690"/>
    </row>
    <row r="38" spans="1:11" x14ac:dyDescent="0.25">
      <c r="A38" s="124" t="s">
        <v>1225</v>
      </c>
      <c r="B38" s="129" t="s">
        <v>1242</v>
      </c>
      <c r="C38" s="605"/>
      <c r="D38" s="606"/>
      <c r="E38" s="606"/>
      <c r="F38" s="607"/>
      <c r="G38" s="143">
        <v>5</v>
      </c>
      <c r="H38" s="140" t="s">
        <v>1140</v>
      </c>
      <c r="I38" s="150">
        <v>5</v>
      </c>
      <c r="J38" s="167">
        <f>Insumos!D75</f>
        <v>0</v>
      </c>
      <c r="K38" s="215">
        <f>TRUNC(G38*I38*J38,2)</f>
        <v>0</v>
      </c>
    </row>
    <row r="39" spans="1:11" x14ac:dyDescent="0.25">
      <c r="A39" s="227"/>
      <c r="B39" s="227"/>
      <c r="C39" s="227"/>
      <c r="D39" s="227"/>
      <c r="E39" s="227"/>
      <c r="F39" s="227"/>
      <c r="G39" s="227"/>
      <c r="H39" s="227"/>
      <c r="I39" s="227"/>
      <c r="J39" s="231" t="s">
        <v>1064</v>
      </c>
      <c r="K39" s="218">
        <f>SUM(K38)</f>
        <v>0</v>
      </c>
    </row>
    <row r="40" spans="1:11" x14ac:dyDescent="0.25">
      <c r="A40" s="222" t="s">
        <v>220</v>
      </c>
      <c r="B40" s="228" t="s">
        <v>1178</v>
      </c>
      <c r="C40" s="224"/>
      <c r="D40" s="224"/>
      <c r="E40" s="224"/>
      <c r="F40" s="224"/>
      <c r="G40" s="224"/>
      <c r="H40" s="224"/>
      <c r="I40" s="224"/>
      <c r="J40" s="224"/>
      <c r="K40" s="225"/>
    </row>
    <row r="41" spans="1:11" x14ac:dyDescent="0.25">
      <c r="A41" s="686" t="s">
        <v>1196</v>
      </c>
      <c r="B41" s="687" t="s">
        <v>1067</v>
      </c>
      <c r="C41" s="700" t="s">
        <v>1197</v>
      </c>
      <c r="D41" s="701"/>
      <c r="E41" s="701"/>
      <c r="F41" s="702"/>
      <c r="G41" s="688" t="s">
        <v>14</v>
      </c>
      <c r="H41" s="690" t="s">
        <v>1068</v>
      </c>
      <c r="I41" s="691" t="s">
        <v>35</v>
      </c>
      <c r="J41" s="690" t="s">
        <v>1249</v>
      </c>
      <c r="K41" s="690" t="s">
        <v>16</v>
      </c>
    </row>
    <row r="42" spans="1:11" x14ac:dyDescent="0.25">
      <c r="A42" s="686"/>
      <c r="B42" s="687"/>
      <c r="C42" s="703"/>
      <c r="D42" s="704"/>
      <c r="E42" s="704"/>
      <c r="F42" s="705"/>
      <c r="G42" s="689"/>
      <c r="H42" s="690"/>
      <c r="I42" s="692"/>
      <c r="J42" s="690"/>
      <c r="K42" s="690"/>
    </row>
    <row r="43" spans="1:11" x14ac:dyDescent="0.25">
      <c r="A43" s="124" t="s">
        <v>1226</v>
      </c>
      <c r="B43" s="129" t="s">
        <v>42</v>
      </c>
      <c r="C43" s="605"/>
      <c r="D43" s="606"/>
      <c r="E43" s="606"/>
      <c r="F43" s="607"/>
      <c r="G43" s="143">
        <v>5</v>
      </c>
      <c r="H43" s="140" t="s">
        <v>1140</v>
      </c>
      <c r="I43" s="150">
        <v>5</v>
      </c>
      <c r="J43" s="167">
        <f>Insumos!D78</f>
        <v>0</v>
      </c>
      <c r="K43" s="215">
        <f>TRUNC(G43*I43*J43,2)</f>
        <v>0</v>
      </c>
    </row>
    <row r="44" spans="1:11" x14ac:dyDescent="0.25">
      <c r="A44" s="227"/>
      <c r="B44" s="227"/>
      <c r="C44" s="227"/>
      <c r="D44" s="227"/>
      <c r="E44" s="227"/>
      <c r="F44" s="227"/>
      <c r="G44" s="227"/>
      <c r="H44" s="227"/>
      <c r="I44" s="227"/>
      <c r="J44" s="231" t="s">
        <v>1064</v>
      </c>
      <c r="K44" s="218">
        <f>K43</f>
        <v>0</v>
      </c>
    </row>
    <row r="45" spans="1:11" x14ac:dyDescent="0.25">
      <c r="A45" s="222" t="s">
        <v>221</v>
      </c>
      <c r="B45" s="228" t="s">
        <v>1180</v>
      </c>
      <c r="C45" s="224"/>
      <c r="D45" s="224"/>
      <c r="E45" s="224"/>
      <c r="F45" s="224"/>
      <c r="G45" s="224"/>
      <c r="H45" s="224"/>
      <c r="I45" s="224"/>
      <c r="J45" s="224"/>
      <c r="K45" s="225"/>
    </row>
    <row r="46" spans="1:11" x14ac:dyDescent="0.25">
      <c r="A46" s="686" t="s">
        <v>1196</v>
      </c>
      <c r="B46" s="687" t="s">
        <v>1067</v>
      </c>
      <c r="C46" s="700" t="s">
        <v>1197</v>
      </c>
      <c r="D46" s="701"/>
      <c r="E46" s="701"/>
      <c r="F46" s="702"/>
      <c r="G46" s="688" t="s">
        <v>14</v>
      </c>
      <c r="H46" s="690" t="s">
        <v>1068</v>
      </c>
      <c r="I46" s="691" t="s">
        <v>35</v>
      </c>
      <c r="J46" s="690" t="s">
        <v>1249</v>
      </c>
      <c r="K46" s="690" t="s">
        <v>16</v>
      </c>
    </row>
    <row r="47" spans="1:11" x14ac:dyDescent="0.25">
      <c r="A47" s="686"/>
      <c r="B47" s="687"/>
      <c r="C47" s="703"/>
      <c r="D47" s="704"/>
      <c r="E47" s="704"/>
      <c r="F47" s="705"/>
      <c r="G47" s="689"/>
      <c r="H47" s="690"/>
      <c r="I47" s="692"/>
      <c r="J47" s="690"/>
      <c r="K47" s="690"/>
    </row>
    <row r="48" spans="1:11" x14ac:dyDescent="0.25">
      <c r="A48" s="124" t="s">
        <v>1227</v>
      </c>
      <c r="B48" s="129" t="s">
        <v>1181</v>
      </c>
      <c r="C48" s="605"/>
      <c r="D48" s="606"/>
      <c r="E48" s="606"/>
      <c r="F48" s="607"/>
      <c r="G48" s="143">
        <v>1</v>
      </c>
      <c r="H48" s="140" t="s">
        <v>1140</v>
      </c>
      <c r="I48" s="150">
        <f>G48/SUM($G$48:$G$50)</f>
        <v>0.33333333333333331</v>
      </c>
      <c r="J48" s="167">
        <f>Insumos!D81</f>
        <v>0</v>
      </c>
      <c r="K48" s="215">
        <f>TRUNC(G48*I48*J48,2)</f>
        <v>0</v>
      </c>
    </row>
    <row r="49" spans="1:11" x14ac:dyDescent="0.25">
      <c r="A49" s="124" t="s">
        <v>1229</v>
      </c>
      <c r="B49" s="129" t="s">
        <v>1182</v>
      </c>
      <c r="C49" s="605"/>
      <c r="D49" s="606"/>
      <c r="E49" s="606"/>
      <c r="F49" s="607"/>
      <c r="G49" s="143">
        <v>1</v>
      </c>
      <c r="H49" s="140" t="s">
        <v>1140</v>
      </c>
      <c r="I49" s="150">
        <f t="shared" ref="I49:I50" si="6">G49/SUM($G$48:$G$50)</f>
        <v>0.33333333333333331</v>
      </c>
      <c r="J49" s="167">
        <f>Insumos!D82</f>
        <v>0</v>
      </c>
      <c r="K49" s="215">
        <f>TRUNC(G49*I49*J49,2)</f>
        <v>0</v>
      </c>
    </row>
    <row r="50" spans="1:11" x14ac:dyDescent="0.25">
      <c r="A50" s="124" t="s">
        <v>1231</v>
      </c>
      <c r="B50" s="129" t="s">
        <v>1183</v>
      </c>
      <c r="C50" s="605"/>
      <c r="D50" s="606"/>
      <c r="E50" s="606"/>
      <c r="F50" s="607"/>
      <c r="G50" s="143">
        <v>1</v>
      </c>
      <c r="H50" s="140" t="s">
        <v>1140</v>
      </c>
      <c r="I50" s="150">
        <f t="shared" si="6"/>
        <v>0.33333333333333331</v>
      </c>
      <c r="J50" s="167">
        <f>Insumos!D83</f>
        <v>0</v>
      </c>
      <c r="K50" s="215">
        <f>TRUNC(G50*I50*J50,2)</f>
        <v>0</v>
      </c>
    </row>
    <row r="51" spans="1:11" x14ac:dyDescent="0.25">
      <c r="A51" s="227"/>
      <c r="B51" s="227"/>
      <c r="C51" s="227"/>
      <c r="D51" s="227"/>
      <c r="E51" s="227"/>
      <c r="F51" s="227"/>
      <c r="G51" s="227"/>
      <c r="H51" s="227"/>
      <c r="I51" s="227"/>
      <c r="J51" s="231" t="s">
        <v>1064</v>
      </c>
      <c r="K51" s="218">
        <f>SUM(K48:K50)</f>
        <v>0</v>
      </c>
    </row>
  </sheetData>
  <mergeCells count="55">
    <mergeCell ref="C48:F48"/>
    <mergeCell ref="C49:F49"/>
    <mergeCell ref="C50:F50"/>
    <mergeCell ref="K41:K42"/>
    <mergeCell ref="C43:F43"/>
    <mergeCell ref="I46:I47"/>
    <mergeCell ref="J46:J47"/>
    <mergeCell ref="K46:K47"/>
    <mergeCell ref="A46:A47"/>
    <mergeCell ref="B46:B47"/>
    <mergeCell ref="C46:F47"/>
    <mergeCell ref="G46:G47"/>
    <mergeCell ref="H46:H47"/>
    <mergeCell ref="J36:J37"/>
    <mergeCell ref="K36:K37"/>
    <mergeCell ref="C38:F38"/>
    <mergeCell ref="A41:A42"/>
    <mergeCell ref="B41:B42"/>
    <mergeCell ref="C41:F42"/>
    <mergeCell ref="G41:G42"/>
    <mergeCell ref="H41:H42"/>
    <mergeCell ref="I41:I42"/>
    <mergeCell ref="J41:J42"/>
    <mergeCell ref="A36:A37"/>
    <mergeCell ref="B36:B37"/>
    <mergeCell ref="C36:F37"/>
    <mergeCell ref="G36:G37"/>
    <mergeCell ref="H36:H37"/>
    <mergeCell ref="I36:I37"/>
    <mergeCell ref="J13:J14"/>
    <mergeCell ref="K13:K14"/>
    <mergeCell ref="A23:A24"/>
    <mergeCell ref="B23:B24"/>
    <mergeCell ref="C23:F24"/>
    <mergeCell ref="G23:G24"/>
    <mergeCell ref="H23:H24"/>
    <mergeCell ref="I23:I24"/>
    <mergeCell ref="J23:J24"/>
    <mergeCell ref="K23:K24"/>
    <mergeCell ref="A13:A14"/>
    <mergeCell ref="B13:B14"/>
    <mergeCell ref="C13:F13"/>
    <mergeCell ref="G13:G14"/>
    <mergeCell ref="H13:H14"/>
    <mergeCell ref="I13:I14"/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</mergeCells>
  <pageMargins left="0.511811024" right="0.511811024" top="0.78740157499999996" bottom="0.78740157499999996" header="0.31496062000000002" footer="0.31496062000000002"/>
  <pageSetup paperSize="9" scale="56" fitToHeight="0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88"/>
  <sheetViews>
    <sheetView view="pageBreakPreview" topLeftCell="A42" zoomScale="80" zoomScaleNormal="85" zoomScaleSheetLayoutView="80" workbookViewId="0">
      <selection activeCell="B3" sqref="B3:F3"/>
    </sheetView>
  </sheetViews>
  <sheetFormatPr defaultRowHeight="15" x14ac:dyDescent="0.25"/>
  <cols>
    <col min="1" max="1" width="11.85546875" customWidth="1"/>
    <col min="2" max="2" width="69.85546875" customWidth="1"/>
    <col min="6" max="6" width="10.85546875" customWidth="1"/>
    <col min="7" max="7" width="12.140625" customWidth="1"/>
    <col min="10" max="10" width="16" bestFit="1" customWidth="1"/>
    <col min="11" max="11" width="15.85546875" customWidth="1"/>
  </cols>
  <sheetData>
    <row r="1" spans="1:17" ht="18.75" x14ac:dyDescent="0.25">
      <c r="A1" s="706" t="s">
        <v>1194</v>
      </c>
      <c r="B1" s="706"/>
      <c r="C1" s="706"/>
      <c r="D1" s="706"/>
      <c r="E1" s="706"/>
      <c r="F1" s="706"/>
      <c r="G1" s="706"/>
      <c r="H1" s="706"/>
      <c r="I1" s="706"/>
      <c r="J1" s="706"/>
      <c r="K1" s="706"/>
      <c r="Q1" s="167"/>
    </row>
    <row r="2" spans="1:17" ht="15.75" x14ac:dyDescent="0.25">
      <c r="A2" s="145">
        <v>35</v>
      </c>
      <c r="B2" s="184" t="s">
        <v>55</v>
      </c>
      <c r="C2" s="185"/>
      <c r="D2" s="185"/>
      <c r="E2" s="185"/>
      <c r="F2" s="185"/>
      <c r="G2" s="185"/>
      <c r="H2" s="185"/>
      <c r="I2" s="185"/>
      <c r="J2" s="185"/>
      <c r="K2" s="186"/>
      <c r="Q2" s="167"/>
    </row>
    <row r="3" spans="1:17" x14ac:dyDescent="0.25">
      <c r="A3" s="146" t="s">
        <v>227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48"/>
      <c r="Q3" s="167"/>
    </row>
    <row r="4" spans="1:17" x14ac:dyDescent="0.25">
      <c r="A4" s="611" t="s">
        <v>1196</v>
      </c>
      <c r="B4" s="612" t="s">
        <v>1067</v>
      </c>
      <c r="C4" s="620" t="s">
        <v>1197</v>
      </c>
      <c r="D4" s="620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  <c r="Q4" s="167"/>
    </row>
    <row r="5" spans="1:17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  <c r="Q5" s="167"/>
    </row>
    <row r="6" spans="1:17" s="247" customFormat="1" x14ac:dyDescent="0.25">
      <c r="A6" s="34" t="s">
        <v>1202</v>
      </c>
      <c r="B6" s="251" t="s">
        <v>1109</v>
      </c>
      <c r="C6" s="243">
        <v>20</v>
      </c>
      <c r="D6" s="243">
        <v>50</v>
      </c>
      <c r="E6" s="243"/>
      <c r="F6" s="243">
        <f>C6*D6</f>
        <v>1000</v>
      </c>
      <c r="G6" s="243">
        <f>C6*D6</f>
        <v>1000</v>
      </c>
      <c r="H6" s="244" t="s">
        <v>1076</v>
      </c>
      <c r="I6" s="266">
        <v>0.5</v>
      </c>
      <c r="J6" s="254">
        <f>Insumos!D19</f>
        <v>0</v>
      </c>
      <c r="K6" s="125">
        <f t="shared" ref="K6:K14" si="0">TRUNC(G6*I6*J6,2)</f>
        <v>0</v>
      </c>
      <c r="Q6" s="254"/>
    </row>
    <row r="7" spans="1:17" s="247" customFormat="1" x14ac:dyDescent="0.25">
      <c r="A7" s="34" t="s">
        <v>1203</v>
      </c>
      <c r="B7" s="251" t="s">
        <v>1250</v>
      </c>
      <c r="C7" s="243">
        <v>20</v>
      </c>
      <c r="D7" s="243">
        <v>8.5</v>
      </c>
      <c r="E7" s="243">
        <v>5</v>
      </c>
      <c r="F7" s="243">
        <f>C7*D7*E7</f>
        <v>850</v>
      </c>
      <c r="G7" s="243">
        <f t="shared" ref="G7:G11" si="1">F7</f>
        <v>850</v>
      </c>
      <c r="H7" s="244" t="s">
        <v>1076</v>
      </c>
      <c r="I7" s="266">
        <v>0.5</v>
      </c>
      <c r="J7" s="254">
        <f>Insumos!D5*0.5</f>
        <v>0</v>
      </c>
      <c r="K7" s="125">
        <f t="shared" si="0"/>
        <v>0</v>
      </c>
      <c r="Q7" s="254"/>
    </row>
    <row r="8" spans="1:17" s="247" customFormat="1" x14ac:dyDescent="0.25">
      <c r="A8" s="34" t="s">
        <v>1204</v>
      </c>
      <c r="B8" s="251" t="s">
        <v>1085</v>
      </c>
      <c r="C8" s="242">
        <v>20</v>
      </c>
      <c r="D8" s="242">
        <v>8.5</v>
      </c>
      <c r="E8" s="242">
        <v>1.2</v>
      </c>
      <c r="F8" s="243">
        <f>C8*D8*E8</f>
        <v>204</v>
      </c>
      <c r="G8" s="243">
        <f t="shared" si="1"/>
        <v>204</v>
      </c>
      <c r="H8" s="244" t="s">
        <v>1076</v>
      </c>
      <c r="I8" s="266">
        <v>0.5</v>
      </c>
      <c r="J8" s="254">
        <f>Insumos!D7</f>
        <v>0</v>
      </c>
      <c r="K8" s="125">
        <f>TRUNC(G8*I8*J8,2)</f>
        <v>0</v>
      </c>
    </row>
    <row r="9" spans="1:17" s="247" customFormat="1" x14ac:dyDescent="0.25">
      <c r="A9" s="34" t="s">
        <v>1205</v>
      </c>
      <c r="B9" s="251" t="s">
        <v>1094</v>
      </c>
      <c r="C9" s="242">
        <v>3</v>
      </c>
      <c r="D9" s="242">
        <v>4</v>
      </c>
      <c r="E9" s="242">
        <v>2</v>
      </c>
      <c r="F9" s="243">
        <f>C9*D9*E9</f>
        <v>24</v>
      </c>
      <c r="G9" s="243">
        <f t="shared" si="1"/>
        <v>24</v>
      </c>
      <c r="H9" s="244" t="s">
        <v>1076</v>
      </c>
      <c r="I9" s="266">
        <v>0.5</v>
      </c>
      <c r="J9" s="254">
        <f>Insumos!D11</f>
        <v>0</v>
      </c>
      <c r="K9" s="125">
        <f t="shared" ref="K9:K10" si="2">TRUNC(G9*I9*J9,2)</f>
        <v>0</v>
      </c>
      <c r="Q9" s="254"/>
    </row>
    <row r="10" spans="1:17" s="247" customFormat="1" x14ac:dyDescent="0.25">
      <c r="A10" s="34" t="s">
        <v>1206</v>
      </c>
      <c r="B10" s="251" t="s">
        <v>1125</v>
      </c>
      <c r="C10" s="242"/>
      <c r="D10" s="242">
        <v>78</v>
      </c>
      <c r="E10" s="242"/>
      <c r="F10" s="243">
        <f>D10</f>
        <v>78</v>
      </c>
      <c r="G10" s="243">
        <f t="shared" si="1"/>
        <v>78</v>
      </c>
      <c r="H10" s="244" t="s">
        <v>1076</v>
      </c>
      <c r="I10" s="266">
        <v>0.5</v>
      </c>
      <c r="J10" s="254">
        <f>Insumos!D26</f>
        <v>0</v>
      </c>
      <c r="K10" s="125">
        <f t="shared" si="2"/>
        <v>0</v>
      </c>
      <c r="Q10" s="254"/>
    </row>
    <row r="11" spans="1:17" s="247" customFormat="1" x14ac:dyDescent="0.25">
      <c r="A11" s="34" t="s">
        <v>1207</v>
      </c>
      <c r="B11" s="255" t="s">
        <v>1107</v>
      </c>
      <c r="C11" s="242">
        <v>20</v>
      </c>
      <c r="D11" s="242">
        <v>10</v>
      </c>
      <c r="E11" s="242"/>
      <c r="F11" s="243">
        <f>D11*C11</f>
        <v>200</v>
      </c>
      <c r="G11" s="243">
        <f t="shared" si="1"/>
        <v>200</v>
      </c>
      <c r="H11" s="244" t="s">
        <v>1076</v>
      </c>
      <c r="I11" s="266">
        <v>0.5</v>
      </c>
      <c r="J11" s="254">
        <f>Insumos!D17</f>
        <v>0</v>
      </c>
      <c r="K11" s="125">
        <f t="shared" si="0"/>
        <v>0</v>
      </c>
      <c r="Q11" s="254"/>
    </row>
    <row r="12" spans="1:17" s="247" customFormat="1" x14ac:dyDescent="0.25">
      <c r="A12" s="34" t="s">
        <v>1208</v>
      </c>
      <c r="B12" s="251" t="s">
        <v>1133</v>
      </c>
      <c r="C12" s="372"/>
      <c r="D12" s="372"/>
      <c r="E12" s="372"/>
      <c r="F12" s="313"/>
      <c r="G12" s="243">
        <v>6</v>
      </c>
      <c r="H12" s="244" t="s">
        <v>1124</v>
      </c>
      <c r="I12" s="266">
        <v>0.5</v>
      </c>
      <c r="J12" s="254">
        <f>Insumos!D34</f>
        <v>0</v>
      </c>
      <c r="K12" s="125">
        <f t="shared" si="0"/>
        <v>0</v>
      </c>
      <c r="Q12" s="254"/>
    </row>
    <row r="13" spans="1:17" s="247" customFormat="1" x14ac:dyDescent="0.25">
      <c r="A13" s="34" t="s">
        <v>1209</v>
      </c>
      <c r="B13" s="251" t="s">
        <v>1108</v>
      </c>
      <c r="C13" s="242">
        <v>6</v>
      </c>
      <c r="D13" s="242">
        <v>4</v>
      </c>
      <c r="E13" s="242"/>
      <c r="F13" s="243">
        <f>D13*C13</f>
        <v>24</v>
      </c>
      <c r="G13" s="243">
        <f>F13</f>
        <v>24</v>
      </c>
      <c r="H13" s="244" t="s">
        <v>1076</v>
      </c>
      <c r="I13" s="266">
        <v>0.5</v>
      </c>
      <c r="J13" s="254">
        <f>Insumos!D18</f>
        <v>0</v>
      </c>
      <c r="K13" s="125">
        <f t="shared" si="0"/>
        <v>0</v>
      </c>
      <c r="Q13" s="254"/>
    </row>
    <row r="14" spans="1:17" s="247" customFormat="1" x14ac:dyDescent="0.25">
      <c r="A14" s="34" t="s">
        <v>1210</v>
      </c>
      <c r="B14" s="251" t="s">
        <v>1464</v>
      </c>
      <c r="C14" s="242">
        <v>20</v>
      </c>
      <c r="D14" s="242">
        <v>20</v>
      </c>
      <c r="E14" s="242"/>
      <c r="F14" s="243">
        <f>D14*C14</f>
        <v>400</v>
      </c>
      <c r="G14" s="243">
        <f>D14*C14</f>
        <v>400</v>
      </c>
      <c r="H14" s="244" t="s">
        <v>1076</v>
      </c>
      <c r="I14" s="266">
        <v>0.5</v>
      </c>
      <c r="J14" s="254">
        <f>Insumos!D19</f>
        <v>0</v>
      </c>
      <c r="K14" s="125">
        <f t="shared" si="0"/>
        <v>0</v>
      </c>
    </row>
    <row r="15" spans="1:17" s="247" customFormat="1" x14ac:dyDescent="0.25">
      <c r="A15" s="34" t="s">
        <v>1211</v>
      </c>
      <c r="B15" s="251" t="s">
        <v>1465</v>
      </c>
      <c r="C15" s="242">
        <v>10</v>
      </c>
      <c r="D15" s="242">
        <v>15</v>
      </c>
      <c r="E15" s="242"/>
      <c r="F15" s="243">
        <f t="shared" ref="F15:F22" si="3">(C15*D15)</f>
        <v>150</v>
      </c>
      <c r="G15" s="243">
        <f t="shared" ref="G15:G25" si="4">F15</f>
        <v>150</v>
      </c>
      <c r="H15" s="244" t="s">
        <v>1076</v>
      </c>
      <c r="I15" s="266">
        <v>0.5</v>
      </c>
      <c r="J15" s="254">
        <f>Insumos!D19</f>
        <v>0</v>
      </c>
      <c r="K15" s="125">
        <f t="shared" ref="K15" si="5">TRUNC(G15*I15*J15,2)</f>
        <v>0</v>
      </c>
    </row>
    <row r="16" spans="1:17" s="247" customFormat="1" x14ac:dyDescent="0.25">
      <c r="A16" s="34" t="s">
        <v>1212</v>
      </c>
      <c r="B16" s="251" t="s">
        <v>1467</v>
      </c>
      <c r="C16" s="242">
        <v>15</v>
      </c>
      <c r="D16" s="242">
        <v>25</v>
      </c>
      <c r="E16" s="242"/>
      <c r="F16" s="243">
        <f t="shared" si="3"/>
        <v>375</v>
      </c>
      <c r="G16" s="243">
        <f t="shared" si="4"/>
        <v>375</v>
      </c>
      <c r="H16" s="244" t="s">
        <v>1076</v>
      </c>
      <c r="I16" s="266">
        <v>0.5</v>
      </c>
      <c r="J16" s="254">
        <f>Insumos!D19</f>
        <v>0</v>
      </c>
      <c r="K16" s="125">
        <f t="shared" ref="K16:K17" si="6">TRUNC(G16*I16*J16,2)</f>
        <v>0</v>
      </c>
    </row>
    <row r="17" spans="1:11" s="247" customFormat="1" x14ac:dyDescent="0.25">
      <c r="A17" s="34" t="s">
        <v>1213</v>
      </c>
      <c r="B17" s="251" t="s">
        <v>1082</v>
      </c>
      <c r="C17" s="242">
        <v>15</v>
      </c>
      <c r="D17" s="242">
        <v>3</v>
      </c>
      <c r="E17" s="242">
        <v>2</v>
      </c>
      <c r="F17" s="243">
        <f>(C17*D17)*E17</f>
        <v>90</v>
      </c>
      <c r="G17" s="243">
        <f t="shared" ref="G17" si="7">F17</f>
        <v>90</v>
      </c>
      <c r="H17" s="244" t="s">
        <v>1076</v>
      </c>
      <c r="I17" s="266">
        <v>0.5</v>
      </c>
      <c r="J17" s="254">
        <f>Insumos!D6</f>
        <v>0</v>
      </c>
      <c r="K17" s="125">
        <f t="shared" si="6"/>
        <v>0</v>
      </c>
    </row>
    <row r="18" spans="1:11" s="247" customFormat="1" x14ac:dyDescent="0.25">
      <c r="A18" s="34" t="s">
        <v>1214</v>
      </c>
      <c r="B18" s="251" t="s">
        <v>1466</v>
      </c>
      <c r="C18" s="242">
        <v>10</v>
      </c>
      <c r="D18" s="242">
        <v>5</v>
      </c>
      <c r="E18" s="242"/>
      <c r="F18" s="243">
        <f t="shared" si="3"/>
        <v>50</v>
      </c>
      <c r="G18" s="243">
        <f t="shared" si="4"/>
        <v>50</v>
      </c>
      <c r="H18" s="244" t="s">
        <v>1076</v>
      </c>
      <c r="I18" s="266">
        <v>0.5</v>
      </c>
      <c r="J18" s="254">
        <f>Insumos!D21</f>
        <v>0</v>
      </c>
      <c r="K18" s="125">
        <f t="shared" ref="K18:K25" si="8">TRUNC(G18*I18*J18,2)</f>
        <v>0</v>
      </c>
    </row>
    <row r="19" spans="1:11" s="247" customFormat="1" x14ac:dyDescent="0.25">
      <c r="A19" s="34" t="s">
        <v>1215</v>
      </c>
      <c r="B19" s="251" t="s">
        <v>2090</v>
      </c>
      <c r="C19" s="242">
        <v>20</v>
      </c>
      <c r="D19" s="242">
        <v>20</v>
      </c>
      <c r="E19" s="242"/>
      <c r="F19" s="243">
        <f t="shared" ref="F19" si="9">(C19*D19)</f>
        <v>400</v>
      </c>
      <c r="G19" s="243">
        <f t="shared" ref="G19" si="10">F19</f>
        <v>400</v>
      </c>
      <c r="H19" s="244" t="s">
        <v>1076</v>
      </c>
      <c r="I19" s="266">
        <v>0.5</v>
      </c>
      <c r="J19" s="254">
        <f>Insumos!D7</f>
        <v>0</v>
      </c>
      <c r="K19" s="125">
        <f t="shared" ref="K19" si="11">TRUNC(G19*I19*J19,2)</f>
        <v>0</v>
      </c>
    </row>
    <row r="20" spans="1:11" s="247" customFormat="1" x14ac:dyDescent="0.25">
      <c r="A20" s="34" t="s">
        <v>1216</v>
      </c>
      <c r="B20" s="251" t="s">
        <v>1468</v>
      </c>
      <c r="C20" s="242">
        <v>4</v>
      </c>
      <c r="D20" s="242">
        <v>4</v>
      </c>
      <c r="E20" s="242"/>
      <c r="F20" s="243">
        <f t="shared" si="3"/>
        <v>16</v>
      </c>
      <c r="G20" s="243">
        <f t="shared" si="4"/>
        <v>16</v>
      </c>
      <c r="H20" s="244" t="s">
        <v>1076</v>
      </c>
      <c r="I20" s="266">
        <v>0.5</v>
      </c>
      <c r="J20" s="254">
        <f>Insumos!D7</f>
        <v>0</v>
      </c>
      <c r="K20" s="125">
        <f t="shared" si="8"/>
        <v>0</v>
      </c>
    </row>
    <row r="21" spans="1:11" s="247" customFormat="1" x14ac:dyDescent="0.25">
      <c r="A21" s="34" t="s">
        <v>1217</v>
      </c>
      <c r="B21" s="251" t="s">
        <v>2086</v>
      </c>
      <c r="C21" s="242">
        <v>2</v>
      </c>
      <c r="D21" s="242">
        <v>6.9</v>
      </c>
      <c r="E21" s="242"/>
      <c r="F21" s="243">
        <f t="shared" ref="F21" si="12">(C21*D21)</f>
        <v>13.8</v>
      </c>
      <c r="G21" s="243">
        <f t="shared" ref="G21" si="13">F21</f>
        <v>13.8</v>
      </c>
      <c r="H21" s="244" t="s">
        <v>1076</v>
      </c>
      <c r="I21" s="266">
        <v>0.5</v>
      </c>
      <c r="J21" s="254">
        <f>Insumos!D10</f>
        <v>0</v>
      </c>
      <c r="K21" s="125">
        <f t="shared" si="8"/>
        <v>0</v>
      </c>
    </row>
    <row r="22" spans="1:11" s="247" customFormat="1" x14ac:dyDescent="0.25">
      <c r="A22" s="34" t="s">
        <v>1220</v>
      </c>
      <c r="B22" s="251" t="s">
        <v>2087</v>
      </c>
      <c r="C22" s="242">
        <v>1.5</v>
      </c>
      <c r="D22" s="242">
        <v>13.5</v>
      </c>
      <c r="E22" s="242"/>
      <c r="F22" s="243">
        <f t="shared" si="3"/>
        <v>20.25</v>
      </c>
      <c r="G22" s="243">
        <f t="shared" si="4"/>
        <v>20.25</v>
      </c>
      <c r="H22" s="244" t="s">
        <v>1076</v>
      </c>
      <c r="I22" s="266">
        <v>0.5</v>
      </c>
      <c r="J22" s="254">
        <f>Insumos!D10</f>
        <v>0</v>
      </c>
      <c r="K22" s="125">
        <f t="shared" ref="K22:K23" si="14">TRUNC(G22*I22*J22,2)</f>
        <v>0</v>
      </c>
    </row>
    <row r="23" spans="1:11" s="247" customFormat="1" x14ac:dyDescent="0.25">
      <c r="A23" s="34" t="s">
        <v>1222</v>
      </c>
      <c r="B23" s="251" t="s">
        <v>2088</v>
      </c>
      <c r="C23" s="242"/>
      <c r="D23" s="242">
        <f>21.5+5</f>
        <v>26.5</v>
      </c>
      <c r="E23" s="242">
        <v>1.1000000000000001</v>
      </c>
      <c r="F23" s="243">
        <f>D23*E23</f>
        <v>29.150000000000002</v>
      </c>
      <c r="G23" s="243">
        <f t="shared" ref="G23" si="15">F23</f>
        <v>29.150000000000002</v>
      </c>
      <c r="H23" s="244" t="s">
        <v>1076</v>
      </c>
      <c r="I23" s="266">
        <v>0.5</v>
      </c>
      <c r="J23" s="254">
        <f>Insumos!D16</f>
        <v>0</v>
      </c>
      <c r="K23" s="125">
        <f t="shared" si="14"/>
        <v>0</v>
      </c>
    </row>
    <row r="24" spans="1:11" s="247" customFormat="1" x14ac:dyDescent="0.25">
      <c r="A24" s="34" t="s">
        <v>1223</v>
      </c>
      <c r="B24" s="251" t="s">
        <v>2089</v>
      </c>
      <c r="C24" s="242"/>
      <c r="D24" s="242">
        <f>14.8+12</f>
        <v>26.8</v>
      </c>
      <c r="E24" s="242">
        <v>0.85</v>
      </c>
      <c r="F24" s="243">
        <f>D24*E24</f>
        <v>22.78</v>
      </c>
      <c r="G24" s="243">
        <f t="shared" si="4"/>
        <v>22.78</v>
      </c>
      <c r="H24" s="244" t="s">
        <v>1076</v>
      </c>
      <c r="I24" s="266">
        <v>0.5</v>
      </c>
      <c r="J24" s="254">
        <f>Insumos!D16</f>
        <v>0</v>
      </c>
      <c r="K24" s="125">
        <f t="shared" ref="K24" si="16">TRUNC(G24*I24*J24,2)</f>
        <v>0</v>
      </c>
    </row>
    <row r="25" spans="1:11" s="247" customFormat="1" x14ac:dyDescent="0.25">
      <c r="A25" s="34" t="s">
        <v>1224</v>
      </c>
      <c r="B25" s="255" t="s">
        <v>1218</v>
      </c>
      <c r="C25" s="243">
        <v>20</v>
      </c>
      <c r="D25" s="243">
        <v>61.13</v>
      </c>
      <c r="E25" s="243"/>
      <c r="F25" s="243">
        <f>D25*C25</f>
        <v>1222.6000000000001</v>
      </c>
      <c r="G25" s="243">
        <f t="shared" si="4"/>
        <v>1222.6000000000001</v>
      </c>
      <c r="H25" s="244" t="s">
        <v>1076</v>
      </c>
      <c r="I25" s="266">
        <v>0.5</v>
      </c>
      <c r="J25" s="254">
        <f>Insumos!D27</f>
        <v>0</v>
      </c>
      <c r="K25" s="125">
        <f t="shared" si="8"/>
        <v>0</v>
      </c>
    </row>
    <row r="26" spans="1:11" x14ac:dyDescent="0.25">
      <c r="A26" s="152"/>
      <c r="B26" s="159"/>
      <c r="C26" s="387"/>
      <c r="D26" s="387"/>
      <c r="E26" s="387"/>
      <c r="F26" s="387"/>
      <c r="G26" s="154"/>
      <c r="H26" s="154"/>
      <c r="I26" s="154"/>
      <c r="J26" s="155" t="s">
        <v>1064</v>
      </c>
      <c r="K26" s="178">
        <f>SUM(K6:K25)</f>
        <v>0</v>
      </c>
    </row>
    <row r="27" spans="1:11" x14ac:dyDescent="0.25">
      <c r="A27" s="146" t="s">
        <v>228</v>
      </c>
      <c r="B27" s="179" t="s">
        <v>1219</v>
      </c>
      <c r="C27" s="388"/>
      <c r="D27" s="388"/>
      <c r="E27" s="388"/>
      <c r="F27" s="388"/>
      <c r="G27" s="148"/>
      <c r="H27" s="148"/>
      <c r="I27" s="148"/>
      <c r="J27" s="156"/>
      <c r="K27" s="187"/>
    </row>
    <row r="28" spans="1:11" x14ac:dyDescent="0.25">
      <c r="A28" s="611" t="s">
        <v>1196</v>
      </c>
      <c r="B28" s="612" t="s">
        <v>1067</v>
      </c>
      <c r="C28" s="611" t="s">
        <v>1197</v>
      </c>
      <c r="D28" s="611"/>
      <c r="E28" s="611"/>
      <c r="F28" s="611"/>
      <c r="G28" s="619" t="s">
        <v>14</v>
      </c>
      <c r="H28" s="610" t="s">
        <v>1068</v>
      </c>
      <c r="I28" s="608" t="s">
        <v>35</v>
      </c>
      <c r="J28" s="630" t="s">
        <v>1069</v>
      </c>
      <c r="K28" s="630" t="s">
        <v>16</v>
      </c>
    </row>
    <row r="29" spans="1:11" x14ac:dyDescent="0.25">
      <c r="A29" s="611"/>
      <c r="B29" s="612"/>
      <c r="C29" s="161"/>
      <c r="D29" s="161"/>
      <c r="E29" s="161"/>
      <c r="F29" s="161"/>
      <c r="G29" s="620"/>
      <c r="H29" s="610"/>
      <c r="I29" s="609"/>
      <c r="J29" s="630"/>
      <c r="K29" s="630"/>
    </row>
    <row r="30" spans="1:11" x14ac:dyDescent="0.25">
      <c r="A30" s="124" t="s">
        <v>1225</v>
      </c>
      <c r="B30" s="6" t="s">
        <v>1147</v>
      </c>
      <c r="C30" s="143"/>
      <c r="D30" s="143"/>
      <c r="E30" s="143"/>
      <c r="F30" s="143"/>
      <c r="G30" s="143">
        <v>5</v>
      </c>
      <c r="H30" s="140" t="s">
        <v>1140</v>
      </c>
      <c r="I30" s="150">
        <f t="shared" ref="I30:I35" si="17">G30/SUM($G$30:$G$35)</f>
        <v>0.14285714285714285</v>
      </c>
      <c r="J30" s="167">
        <f>Insumos!D49</f>
        <v>0</v>
      </c>
      <c r="K30" s="151">
        <f t="shared" ref="K30:K35" si="18">TRUNC(G30*I30*J30,2)</f>
        <v>0</v>
      </c>
    </row>
    <row r="31" spans="1:11" x14ac:dyDescent="0.25">
      <c r="A31" s="124" t="s">
        <v>1226</v>
      </c>
      <c r="B31" s="6" t="s">
        <v>1148</v>
      </c>
      <c r="C31" s="143"/>
      <c r="D31" s="143"/>
      <c r="E31" s="143"/>
      <c r="F31" s="143"/>
      <c r="G31" s="143">
        <v>5</v>
      </c>
      <c r="H31" s="140" t="s">
        <v>1140</v>
      </c>
      <c r="I31" s="150">
        <f t="shared" si="17"/>
        <v>0.14285714285714285</v>
      </c>
      <c r="J31" s="167">
        <f>Insumos!D50</f>
        <v>0</v>
      </c>
      <c r="K31" s="151">
        <f t="shared" si="18"/>
        <v>0</v>
      </c>
    </row>
    <row r="32" spans="1:11" x14ac:dyDescent="0.25">
      <c r="A32" s="124" t="s">
        <v>1227</v>
      </c>
      <c r="B32" s="6" t="s">
        <v>1149</v>
      </c>
      <c r="C32" s="143"/>
      <c r="D32" s="143"/>
      <c r="E32" s="143"/>
      <c r="F32" s="143"/>
      <c r="G32" s="143">
        <v>5</v>
      </c>
      <c r="H32" s="140" t="s">
        <v>1140</v>
      </c>
      <c r="I32" s="150">
        <f t="shared" si="17"/>
        <v>0.14285714285714285</v>
      </c>
      <c r="J32" s="167">
        <f>Insumos!D51</f>
        <v>0</v>
      </c>
      <c r="K32" s="151">
        <f t="shared" si="18"/>
        <v>0</v>
      </c>
    </row>
    <row r="33" spans="1:11" x14ac:dyDescent="0.25">
      <c r="A33" s="124" t="s">
        <v>1229</v>
      </c>
      <c r="B33" s="6" t="s">
        <v>1150</v>
      </c>
      <c r="C33" s="143"/>
      <c r="D33" s="143"/>
      <c r="E33" s="143"/>
      <c r="F33" s="143"/>
      <c r="G33" s="143">
        <v>10</v>
      </c>
      <c r="H33" s="140" t="s">
        <v>1151</v>
      </c>
      <c r="I33" s="150">
        <f t="shared" si="17"/>
        <v>0.2857142857142857</v>
      </c>
      <c r="J33" s="167">
        <f>Insumos!D52</f>
        <v>0</v>
      </c>
      <c r="K33" s="151">
        <f t="shared" si="18"/>
        <v>0</v>
      </c>
    </row>
    <row r="34" spans="1:11" x14ac:dyDescent="0.25">
      <c r="A34" s="124" t="s">
        <v>1231</v>
      </c>
      <c r="B34" s="6" t="s">
        <v>1152</v>
      </c>
      <c r="C34" s="143"/>
      <c r="D34" s="143"/>
      <c r="E34" s="143"/>
      <c r="F34" s="143"/>
      <c r="G34" s="143">
        <v>5</v>
      </c>
      <c r="H34" s="140" t="s">
        <v>1124</v>
      </c>
      <c r="I34" s="150">
        <f t="shared" si="17"/>
        <v>0.14285714285714285</v>
      </c>
      <c r="J34" s="167">
        <f>Insumos!D53</f>
        <v>0</v>
      </c>
      <c r="K34" s="151">
        <f t="shared" si="18"/>
        <v>0</v>
      </c>
    </row>
    <row r="35" spans="1:11" x14ac:dyDescent="0.25">
      <c r="A35" s="124" t="s">
        <v>1232</v>
      </c>
      <c r="B35" s="6" t="s">
        <v>1248</v>
      </c>
      <c r="C35" s="143"/>
      <c r="D35" s="143"/>
      <c r="E35" s="143"/>
      <c r="F35" s="143"/>
      <c r="G35" s="143">
        <v>5</v>
      </c>
      <c r="H35" s="140" t="s">
        <v>1154</v>
      </c>
      <c r="I35" s="150">
        <f t="shared" si="17"/>
        <v>0.14285714285714285</v>
      </c>
      <c r="J35" s="167">
        <f>Insumos!D54</f>
        <v>0</v>
      </c>
      <c r="K35" s="151">
        <f t="shared" si="18"/>
        <v>0</v>
      </c>
    </row>
    <row r="36" spans="1:11" x14ac:dyDescent="0.25">
      <c r="A36" s="152"/>
      <c r="B36" s="159"/>
      <c r="C36" s="154"/>
      <c r="D36" s="154"/>
      <c r="E36" s="154"/>
      <c r="F36" s="154"/>
      <c r="G36" s="154"/>
      <c r="H36" s="157"/>
      <c r="I36" s="157"/>
      <c r="J36" s="158" t="s">
        <v>1064</v>
      </c>
      <c r="K36" s="180">
        <f>SUM(K30:K35)</f>
        <v>0</v>
      </c>
    </row>
    <row r="37" spans="1:11" x14ac:dyDescent="0.25">
      <c r="A37" s="146" t="s">
        <v>229</v>
      </c>
      <c r="B37" s="179" t="s">
        <v>1155</v>
      </c>
      <c r="C37" s="148"/>
      <c r="D37" s="148"/>
      <c r="E37" s="148"/>
      <c r="F37" s="148"/>
      <c r="G37" s="148"/>
      <c r="H37" s="148"/>
      <c r="I37" s="148"/>
      <c r="J37" s="156"/>
      <c r="K37" s="187"/>
    </row>
    <row r="38" spans="1:11" x14ac:dyDescent="0.25">
      <c r="A38" s="611" t="s">
        <v>1196</v>
      </c>
      <c r="B38" s="612" t="s">
        <v>1067</v>
      </c>
      <c r="C38" s="613" t="s">
        <v>1197</v>
      </c>
      <c r="D38" s="614"/>
      <c r="E38" s="614"/>
      <c r="F38" s="615"/>
      <c r="G38" s="619" t="s">
        <v>14</v>
      </c>
      <c r="H38" s="610" t="s">
        <v>1068</v>
      </c>
      <c r="I38" s="608" t="s">
        <v>35</v>
      </c>
      <c r="J38" s="630" t="s">
        <v>1249</v>
      </c>
      <c r="K38" s="630" t="s">
        <v>16</v>
      </c>
    </row>
    <row r="39" spans="1:11" x14ac:dyDescent="0.25">
      <c r="A39" s="611"/>
      <c r="B39" s="612"/>
      <c r="C39" s="616"/>
      <c r="D39" s="617"/>
      <c r="E39" s="617"/>
      <c r="F39" s="618"/>
      <c r="G39" s="620"/>
      <c r="H39" s="610"/>
      <c r="I39" s="609"/>
      <c r="J39" s="630"/>
      <c r="K39" s="630"/>
    </row>
    <row r="40" spans="1:11" x14ac:dyDescent="0.25">
      <c r="A40" s="124" t="s">
        <v>1233</v>
      </c>
      <c r="B40" s="104" t="s">
        <v>1156</v>
      </c>
      <c r="C40" s="143"/>
      <c r="D40" s="143"/>
      <c r="E40" s="143"/>
      <c r="F40" s="143"/>
      <c r="G40" s="143">
        <f>G25/60</f>
        <v>20.376666666666669</v>
      </c>
      <c r="H40" s="140" t="s">
        <v>1228</v>
      </c>
      <c r="I40" s="150">
        <f>G40/SUM($G$41:$G$51)</f>
        <v>4.1523374425537204E-2</v>
      </c>
      <c r="J40" s="167">
        <f>Insumos!D58</f>
        <v>0</v>
      </c>
      <c r="K40" s="151">
        <f t="shared" ref="K40:K51" si="19">TRUNC(G40*I40*J40,2)</f>
        <v>0</v>
      </c>
    </row>
    <row r="41" spans="1:11" x14ac:dyDescent="0.25">
      <c r="A41" s="124" t="s">
        <v>1234</v>
      </c>
      <c r="B41" s="6" t="s">
        <v>1171</v>
      </c>
      <c r="C41" s="143"/>
      <c r="D41" s="143"/>
      <c r="E41" s="143"/>
      <c r="F41" s="143"/>
      <c r="G41" s="143">
        <f>G8+G13+G20</f>
        <v>244</v>
      </c>
      <c r="H41" s="140" t="s">
        <v>1089</v>
      </c>
      <c r="I41" s="150">
        <f t="shared" ref="I41:I51" si="20">G41/SUM($G$41:$G$51)</f>
        <v>0.49722084213141227</v>
      </c>
      <c r="J41" s="167">
        <f>Insumos!D69</f>
        <v>0</v>
      </c>
      <c r="K41" s="151">
        <f t="shared" si="19"/>
        <v>0</v>
      </c>
    </row>
    <row r="42" spans="1:11" x14ac:dyDescent="0.25">
      <c r="A42" s="124" t="s">
        <v>1235</v>
      </c>
      <c r="B42" s="6" t="s">
        <v>1157</v>
      </c>
      <c r="C42" s="143"/>
      <c r="D42" s="143"/>
      <c r="E42" s="143"/>
      <c r="F42" s="143"/>
      <c r="G42" s="143">
        <f>C11*D11</f>
        <v>200</v>
      </c>
      <c r="H42" s="140" t="s">
        <v>1089</v>
      </c>
      <c r="I42" s="150">
        <f t="shared" si="20"/>
        <v>0.40755806732082972</v>
      </c>
      <c r="J42" s="167">
        <f>Insumos!D59</f>
        <v>0</v>
      </c>
      <c r="K42" s="151">
        <f t="shared" si="19"/>
        <v>0</v>
      </c>
    </row>
    <row r="43" spans="1:11" x14ac:dyDescent="0.25">
      <c r="A43" s="124" t="s">
        <v>1236</v>
      </c>
      <c r="B43" s="104" t="s">
        <v>1158</v>
      </c>
      <c r="C43" s="143"/>
      <c r="D43" s="143"/>
      <c r="E43" s="143"/>
      <c r="F43" s="143"/>
      <c r="G43" s="143">
        <f>((F6+F7+F11+F13)/5*0.06)/3.6</f>
        <v>6.9133333333333322</v>
      </c>
      <c r="H43" s="140" t="s">
        <v>1159</v>
      </c>
      <c r="I43" s="150">
        <f t="shared" si="20"/>
        <v>1.4087923860390011E-2</v>
      </c>
      <c r="J43" s="167">
        <f>Insumos!D60</f>
        <v>0</v>
      </c>
      <c r="K43" s="151">
        <f t="shared" si="19"/>
        <v>0</v>
      </c>
    </row>
    <row r="44" spans="1:11" x14ac:dyDescent="0.25">
      <c r="A44" s="124" t="s">
        <v>1237</v>
      </c>
      <c r="B44" s="104" t="s">
        <v>1160</v>
      </c>
      <c r="C44" s="143"/>
      <c r="D44" s="143"/>
      <c r="E44" s="143"/>
      <c r="F44" s="143"/>
      <c r="G44" s="143">
        <f>G43/1.4</f>
        <v>4.9380952380952374</v>
      </c>
      <c r="H44" s="140" t="s">
        <v>1159</v>
      </c>
      <c r="I44" s="150">
        <f t="shared" si="20"/>
        <v>1.0062802757421437E-2</v>
      </c>
      <c r="J44" s="167">
        <f>Insumos!D61</f>
        <v>0</v>
      </c>
      <c r="K44" s="151">
        <f t="shared" si="19"/>
        <v>0</v>
      </c>
    </row>
    <row r="45" spans="1:11" x14ac:dyDescent="0.25">
      <c r="A45" s="124" t="s">
        <v>1238</v>
      </c>
      <c r="B45" s="104" t="s">
        <v>1161</v>
      </c>
      <c r="C45" s="143"/>
      <c r="D45" s="143"/>
      <c r="E45" s="143"/>
      <c r="F45" s="143"/>
      <c r="G45" s="143">
        <f>G44*2</f>
        <v>9.8761904761904749</v>
      </c>
      <c r="H45" s="140" t="s">
        <v>1162</v>
      </c>
      <c r="I45" s="150">
        <f t="shared" si="20"/>
        <v>2.0125605514842874E-2</v>
      </c>
      <c r="J45" s="167">
        <f>Insumos!D62</f>
        <v>0</v>
      </c>
      <c r="K45" s="151">
        <f t="shared" si="19"/>
        <v>0</v>
      </c>
    </row>
    <row r="46" spans="1:11" x14ac:dyDescent="0.25">
      <c r="A46" s="124" t="s">
        <v>1239</v>
      </c>
      <c r="B46" s="104" t="s">
        <v>1163</v>
      </c>
      <c r="C46" s="143"/>
      <c r="D46" s="143"/>
      <c r="E46" s="143"/>
      <c r="F46" s="143"/>
      <c r="G46" s="143">
        <v>3</v>
      </c>
      <c r="H46" s="140" t="s">
        <v>1068</v>
      </c>
      <c r="I46" s="150">
        <f t="shared" si="20"/>
        <v>6.1133710098124454E-3</v>
      </c>
      <c r="J46" s="167">
        <f>Insumos!D63</f>
        <v>0</v>
      </c>
      <c r="K46" s="151">
        <f t="shared" si="19"/>
        <v>0</v>
      </c>
    </row>
    <row r="47" spans="1:11" x14ac:dyDescent="0.25">
      <c r="A47" s="124" t="s">
        <v>1241</v>
      </c>
      <c r="B47" s="104" t="s">
        <v>1164</v>
      </c>
      <c r="C47" s="143"/>
      <c r="D47" s="143"/>
      <c r="E47" s="143"/>
      <c r="F47" s="143"/>
      <c r="G47" s="143">
        <v>5</v>
      </c>
      <c r="H47" s="140" t="s">
        <v>1068</v>
      </c>
      <c r="I47" s="150">
        <f t="shared" si="20"/>
        <v>1.0188951683020742E-2</v>
      </c>
      <c r="J47" s="167">
        <f>Insumos!D64</f>
        <v>0</v>
      </c>
      <c r="K47" s="151">
        <f t="shared" si="19"/>
        <v>0</v>
      </c>
    </row>
    <row r="48" spans="1:11" x14ac:dyDescent="0.25">
      <c r="A48" s="124" t="s">
        <v>1243</v>
      </c>
      <c r="B48" s="104" t="s">
        <v>1165</v>
      </c>
      <c r="C48" s="143"/>
      <c r="D48" s="143"/>
      <c r="E48" s="143"/>
      <c r="F48" s="143"/>
      <c r="G48" s="143">
        <v>3</v>
      </c>
      <c r="H48" s="140" t="s">
        <v>1068</v>
      </c>
      <c r="I48" s="150">
        <f t="shared" si="20"/>
        <v>6.1133710098124454E-3</v>
      </c>
      <c r="J48" s="167">
        <f>Insumos!D65</f>
        <v>0</v>
      </c>
      <c r="K48" s="151">
        <f t="shared" si="19"/>
        <v>0</v>
      </c>
    </row>
    <row r="49" spans="1:11" x14ac:dyDescent="0.25">
      <c r="A49" s="124" t="s">
        <v>1245</v>
      </c>
      <c r="B49" s="104" t="s">
        <v>1166</v>
      </c>
      <c r="C49" s="143"/>
      <c r="D49" s="143"/>
      <c r="E49" s="143"/>
      <c r="F49" s="143"/>
      <c r="G49" s="143">
        <v>3</v>
      </c>
      <c r="H49" s="140" t="s">
        <v>1096</v>
      </c>
      <c r="I49" s="150">
        <f t="shared" si="20"/>
        <v>6.1133710098124454E-3</v>
      </c>
      <c r="J49" s="167">
        <f>Insumos!D66</f>
        <v>0</v>
      </c>
      <c r="K49" s="151">
        <f t="shared" si="19"/>
        <v>0</v>
      </c>
    </row>
    <row r="50" spans="1:11" x14ac:dyDescent="0.25">
      <c r="A50" s="124" t="s">
        <v>1246</v>
      </c>
      <c r="B50" s="104" t="s">
        <v>1167</v>
      </c>
      <c r="C50" s="143"/>
      <c r="D50" s="143"/>
      <c r="E50" s="143"/>
      <c r="F50" s="143"/>
      <c r="G50" s="143">
        <v>3</v>
      </c>
      <c r="H50" s="140" t="s">
        <v>1168</v>
      </c>
      <c r="I50" s="150">
        <f t="shared" si="20"/>
        <v>6.1133710098124454E-3</v>
      </c>
      <c r="J50" s="167">
        <f>Insumos!D67</f>
        <v>0</v>
      </c>
      <c r="K50" s="151">
        <f t="shared" si="19"/>
        <v>0</v>
      </c>
    </row>
    <row r="51" spans="1:11" x14ac:dyDescent="0.25">
      <c r="A51" s="124" t="s">
        <v>1247</v>
      </c>
      <c r="B51" s="104" t="s">
        <v>1169</v>
      </c>
      <c r="C51" s="143"/>
      <c r="D51" s="143"/>
      <c r="E51" s="143"/>
      <c r="F51" s="143"/>
      <c r="G51" s="143">
        <v>8</v>
      </c>
      <c r="H51" s="140" t="s">
        <v>1170</v>
      </c>
      <c r="I51" s="150">
        <f t="shared" si="20"/>
        <v>1.6302322692833188E-2</v>
      </c>
      <c r="J51" s="167">
        <f>Insumos!D68</f>
        <v>0</v>
      </c>
      <c r="K51" s="151">
        <f t="shared" si="19"/>
        <v>0</v>
      </c>
    </row>
    <row r="52" spans="1:11" x14ac:dyDescent="0.25">
      <c r="A52" s="124"/>
      <c r="B52" s="159"/>
      <c r="C52" s="159"/>
      <c r="D52" s="159"/>
      <c r="E52" s="159"/>
      <c r="F52" s="159"/>
      <c r="G52" s="159"/>
      <c r="H52" s="159"/>
      <c r="I52" s="159"/>
      <c r="J52" s="160" t="s">
        <v>1064</v>
      </c>
      <c r="K52" s="182">
        <f>SUM(K40:K51)</f>
        <v>0</v>
      </c>
    </row>
    <row r="53" spans="1:11" x14ac:dyDescent="0.25">
      <c r="A53" s="146" t="s">
        <v>230</v>
      </c>
      <c r="B53" s="179" t="s">
        <v>1176</v>
      </c>
      <c r="C53" s="148"/>
      <c r="D53" s="148"/>
      <c r="E53" s="148"/>
      <c r="F53" s="148"/>
      <c r="G53" s="148"/>
      <c r="H53" s="148"/>
      <c r="I53" s="148"/>
      <c r="J53" s="156"/>
      <c r="K53" s="187"/>
    </row>
    <row r="54" spans="1:11" x14ac:dyDescent="0.25">
      <c r="A54" s="611" t="s">
        <v>1196</v>
      </c>
      <c r="B54" s="612" t="s">
        <v>1067</v>
      </c>
      <c r="C54" s="613" t="s">
        <v>1197</v>
      </c>
      <c r="D54" s="614"/>
      <c r="E54" s="614"/>
      <c r="F54" s="615"/>
      <c r="G54" s="619" t="s">
        <v>14</v>
      </c>
      <c r="H54" s="610" t="s">
        <v>1068</v>
      </c>
      <c r="I54" s="608" t="s">
        <v>35</v>
      </c>
      <c r="J54" s="630" t="s">
        <v>1249</v>
      </c>
      <c r="K54" s="630" t="s">
        <v>16</v>
      </c>
    </row>
    <row r="55" spans="1:11" x14ac:dyDescent="0.25">
      <c r="A55" s="611"/>
      <c r="B55" s="612"/>
      <c r="C55" s="616"/>
      <c r="D55" s="617"/>
      <c r="E55" s="617"/>
      <c r="F55" s="618"/>
      <c r="G55" s="620"/>
      <c r="H55" s="610"/>
      <c r="I55" s="609"/>
      <c r="J55" s="630"/>
      <c r="K55" s="630"/>
    </row>
    <row r="56" spans="1:11" x14ac:dyDescent="0.25">
      <c r="A56" s="124" t="s">
        <v>1462</v>
      </c>
      <c r="B56" s="6" t="s">
        <v>1242</v>
      </c>
      <c r="C56" s="605"/>
      <c r="D56" s="606"/>
      <c r="E56" s="606"/>
      <c r="F56" s="607"/>
      <c r="G56" s="143">
        <v>10</v>
      </c>
      <c r="H56" s="140" t="s">
        <v>1140</v>
      </c>
      <c r="I56" s="150">
        <v>1</v>
      </c>
      <c r="J56" s="167">
        <f>Insumos!D75</f>
        <v>0</v>
      </c>
      <c r="K56" s="151">
        <f>TRUNC(G56*I56*J56,2)</f>
        <v>0</v>
      </c>
    </row>
    <row r="57" spans="1:11" x14ac:dyDescent="0.25">
      <c r="A57" s="152"/>
      <c r="B57" s="159"/>
      <c r="C57" s="159"/>
      <c r="D57" s="159"/>
      <c r="E57" s="159"/>
      <c r="F57" s="159"/>
      <c r="G57" s="159"/>
      <c r="H57" s="159"/>
      <c r="I57" s="159"/>
      <c r="J57" s="160" t="s">
        <v>1064</v>
      </c>
      <c r="K57" s="182">
        <f>SUM(K56)</f>
        <v>0</v>
      </c>
    </row>
    <row r="58" spans="1:11" x14ac:dyDescent="0.25">
      <c r="A58" s="146" t="s">
        <v>231</v>
      </c>
      <c r="B58" s="179" t="s">
        <v>1178</v>
      </c>
      <c r="C58" s="148"/>
      <c r="D58" s="148"/>
      <c r="E58" s="148"/>
      <c r="F58" s="148"/>
      <c r="G58" s="148"/>
      <c r="H58" s="148"/>
      <c r="I58" s="148"/>
      <c r="J58" s="156"/>
      <c r="K58" s="187"/>
    </row>
    <row r="59" spans="1:11" x14ac:dyDescent="0.25">
      <c r="A59" s="611" t="s">
        <v>1196</v>
      </c>
      <c r="B59" s="612" t="s">
        <v>1067</v>
      </c>
      <c r="C59" s="613" t="s">
        <v>1197</v>
      </c>
      <c r="D59" s="614"/>
      <c r="E59" s="614"/>
      <c r="F59" s="615"/>
      <c r="G59" s="619" t="s">
        <v>14</v>
      </c>
      <c r="H59" s="610" t="s">
        <v>1068</v>
      </c>
      <c r="I59" s="608" t="s">
        <v>35</v>
      </c>
      <c r="J59" s="630" t="s">
        <v>1249</v>
      </c>
      <c r="K59" s="630" t="s">
        <v>16</v>
      </c>
    </row>
    <row r="60" spans="1:11" x14ac:dyDescent="0.25">
      <c r="A60" s="611"/>
      <c r="B60" s="612"/>
      <c r="C60" s="616"/>
      <c r="D60" s="617"/>
      <c r="E60" s="617"/>
      <c r="F60" s="618"/>
      <c r="G60" s="620"/>
      <c r="H60" s="610"/>
      <c r="I60" s="609"/>
      <c r="J60" s="630"/>
      <c r="K60" s="630"/>
    </row>
    <row r="61" spans="1:11" x14ac:dyDescent="0.25">
      <c r="A61" s="124" t="s">
        <v>1463</v>
      </c>
      <c r="B61" s="6" t="s">
        <v>42</v>
      </c>
      <c r="C61" s="605"/>
      <c r="D61" s="606"/>
      <c r="E61" s="606"/>
      <c r="F61" s="607"/>
      <c r="G61" s="143">
        <v>10</v>
      </c>
      <c r="H61" s="140" t="s">
        <v>1140</v>
      </c>
      <c r="I61" s="150">
        <v>1</v>
      </c>
      <c r="J61" s="167">
        <f>Insumos!D78</f>
        <v>0</v>
      </c>
      <c r="K61" s="151">
        <f>TRUNC(G61*I61*J61,2)</f>
        <v>0</v>
      </c>
    </row>
    <row r="62" spans="1:11" x14ac:dyDescent="0.25">
      <c r="A62" s="152"/>
      <c r="B62" s="159"/>
      <c r="C62" s="159"/>
      <c r="D62" s="159"/>
      <c r="E62" s="159"/>
      <c r="F62" s="159"/>
      <c r="G62" s="159"/>
      <c r="H62" s="159"/>
      <c r="I62" s="159"/>
      <c r="J62" s="160" t="s">
        <v>1064</v>
      </c>
      <c r="K62" s="182">
        <f>K61</f>
        <v>0</v>
      </c>
    </row>
    <row r="63" spans="1:11" x14ac:dyDescent="0.25">
      <c r="A63" s="146" t="s">
        <v>232</v>
      </c>
      <c r="B63" s="179" t="s">
        <v>1180</v>
      </c>
      <c r="C63" s="148"/>
      <c r="D63" s="148"/>
      <c r="E63" s="148"/>
      <c r="F63" s="148"/>
      <c r="G63" s="148"/>
      <c r="H63" s="148"/>
      <c r="I63" s="148"/>
      <c r="J63" s="156"/>
      <c r="K63" s="187"/>
    </row>
    <row r="64" spans="1:11" x14ac:dyDescent="0.25">
      <c r="A64" s="611" t="s">
        <v>1196</v>
      </c>
      <c r="B64" s="612" t="s">
        <v>1067</v>
      </c>
      <c r="C64" s="613" t="s">
        <v>1197</v>
      </c>
      <c r="D64" s="614"/>
      <c r="E64" s="614"/>
      <c r="F64" s="615"/>
      <c r="G64" s="619" t="s">
        <v>14</v>
      </c>
      <c r="H64" s="610" t="s">
        <v>1068</v>
      </c>
      <c r="I64" s="608" t="s">
        <v>35</v>
      </c>
      <c r="J64" s="630" t="s">
        <v>1249</v>
      </c>
      <c r="K64" s="630" t="s">
        <v>16</v>
      </c>
    </row>
    <row r="65" spans="1:11" x14ac:dyDescent="0.25">
      <c r="A65" s="611"/>
      <c r="B65" s="612"/>
      <c r="C65" s="616"/>
      <c r="D65" s="617"/>
      <c r="E65" s="617"/>
      <c r="F65" s="618"/>
      <c r="G65" s="620"/>
      <c r="H65" s="610"/>
      <c r="I65" s="609"/>
      <c r="J65" s="630"/>
      <c r="K65" s="630"/>
    </row>
    <row r="66" spans="1:11" x14ac:dyDescent="0.25">
      <c r="A66" s="124" t="s">
        <v>1928</v>
      </c>
      <c r="B66" s="6" t="s">
        <v>1181</v>
      </c>
      <c r="C66" s="605"/>
      <c r="D66" s="606"/>
      <c r="E66" s="606"/>
      <c r="F66" s="607"/>
      <c r="G66" s="143">
        <v>2</v>
      </c>
      <c r="H66" s="140" t="s">
        <v>1140</v>
      </c>
      <c r="I66" s="150">
        <f>G66/SUM($G$66:$G$68)</f>
        <v>0.33333333333333331</v>
      </c>
      <c r="J66" s="167">
        <f>Insumos!D81</f>
        <v>0</v>
      </c>
      <c r="K66" s="151">
        <f>TRUNC(G66*I66*J66,2)</f>
        <v>0</v>
      </c>
    </row>
    <row r="67" spans="1:11" x14ac:dyDescent="0.25">
      <c r="A67" s="124" t="s">
        <v>1932</v>
      </c>
      <c r="B67" s="6" t="s">
        <v>1182</v>
      </c>
      <c r="C67" s="605"/>
      <c r="D67" s="606"/>
      <c r="E67" s="606"/>
      <c r="F67" s="607"/>
      <c r="G67" s="143">
        <v>2</v>
      </c>
      <c r="H67" s="140" t="s">
        <v>1140</v>
      </c>
      <c r="I67" s="150">
        <f>G67/SUM($G$66:$G$68)</f>
        <v>0.33333333333333331</v>
      </c>
      <c r="J67" s="167">
        <f>Insumos!D82</f>
        <v>0</v>
      </c>
      <c r="K67" s="151">
        <f>TRUNC(G67*I67*J67,2)</f>
        <v>0</v>
      </c>
    </row>
    <row r="68" spans="1:11" x14ac:dyDescent="0.25">
      <c r="A68" s="124" t="s">
        <v>1933</v>
      </c>
      <c r="B68" s="6" t="s">
        <v>1183</v>
      </c>
      <c r="C68" s="605"/>
      <c r="D68" s="606"/>
      <c r="E68" s="606"/>
      <c r="F68" s="607"/>
      <c r="G68" s="143">
        <v>2</v>
      </c>
      <c r="H68" s="140" t="s">
        <v>1140</v>
      </c>
      <c r="I68" s="150">
        <f>G68/SUM($G$66:$G$68)</f>
        <v>0.33333333333333331</v>
      </c>
      <c r="J68" s="167">
        <f>Insumos!D83</f>
        <v>0</v>
      </c>
      <c r="K68" s="151">
        <f>TRUNC(G68*I68*J68,2)</f>
        <v>0</v>
      </c>
    </row>
    <row r="69" spans="1:11" x14ac:dyDescent="0.25">
      <c r="A69" s="152"/>
      <c r="B69" s="159"/>
      <c r="C69" s="159"/>
      <c r="D69" s="159"/>
      <c r="E69" s="159"/>
      <c r="F69" s="159"/>
      <c r="G69" s="159"/>
      <c r="H69" s="159"/>
      <c r="I69" s="159"/>
      <c r="J69" s="170" t="s">
        <v>1064</v>
      </c>
      <c r="K69" s="175">
        <f>SUM(K66:K68)</f>
        <v>0</v>
      </c>
    </row>
    <row r="488" spans="2:9" x14ac:dyDescent="0.25">
      <c r="B488" s="298"/>
      <c r="C488" s="299"/>
      <c r="D488" s="299"/>
      <c r="E488" s="299"/>
      <c r="F488" s="299"/>
      <c r="G488" s="299"/>
      <c r="H488" s="299"/>
      <c r="I488" s="300"/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28:J29"/>
    <mergeCell ref="K28:K29"/>
    <mergeCell ref="A38:A39"/>
    <mergeCell ref="B38:B39"/>
    <mergeCell ref="C38:F39"/>
    <mergeCell ref="G38:G39"/>
    <mergeCell ref="H38:H39"/>
    <mergeCell ref="I38:I39"/>
    <mergeCell ref="J38:J39"/>
    <mergeCell ref="K38:K39"/>
    <mergeCell ref="A28:A29"/>
    <mergeCell ref="B28:B29"/>
    <mergeCell ref="C28:F28"/>
    <mergeCell ref="G28:G29"/>
    <mergeCell ref="H28:H29"/>
    <mergeCell ref="I28:I29"/>
    <mergeCell ref="J54:J55"/>
    <mergeCell ref="K54:K55"/>
    <mergeCell ref="C56:F56"/>
    <mergeCell ref="A59:A60"/>
    <mergeCell ref="B59:B60"/>
    <mergeCell ref="C59:F60"/>
    <mergeCell ref="G59:G60"/>
    <mergeCell ref="H59:H60"/>
    <mergeCell ref="I59:I60"/>
    <mergeCell ref="J59:J60"/>
    <mergeCell ref="A54:A55"/>
    <mergeCell ref="B54:B55"/>
    <mergeCell ref="C54:F55"/>
    <mergeCell ref="G54:G55"/>
    <mergeCell ref="H54:H55"/>
    <mergeCell ref="I54:I55"/>
    <mergeCell ref="A64:A65"/>
    <mergeCell ref="B64:B65"/>
    <mergeCell ref="C64:F65"/>
    <mergeCell ref="G64:G65"/>
    <mergeCell ref="H64:H65"/>
    <mergeCell ref="C66:F66"/>
    <mergeCell ref="C67:F67"/>
    <mergeCell ref="C68:F68"/>
    <mergeCell ref="K59:K60"/>
    <mergeCell ref="C61:F61"/>
    <mergeCell ref="I64:I65"/>
    <mergeCell ref="J64:J65"/>
    <mergeCell ref="K64:K65"/>
  </mergeCells>
  <pageMargins left="0.511811024" right="0.511811024" top="0.78740157499999996" bottom="0.78740157499999996" header="0.31496062000000002" footer="0.31496062000000002"/>
  <pageSetup paperSize="9" scale="50" fitToHeight="0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view="pageBreakPreview" topLeftCell="A15" zoomScale="80" zoomScaleNormal="100" zoomScaleSheetLayoutView="80" workbookViewId="0">
      <selection activeCell="B3" sqref="B3:F3"/>
    </sheetView>
  </sheetViews>
  <sheetFormatPr defaultRowHeight="15" x14ac:dyDescent="0.25"/>
  <cols>
    <col min="1" max="1" width="11.85546875" customWidth="1"/>
    <col min="2" max="2" width="58.85546875" customWidth="1"/>
    <col min="3" max="4" width="8.42578125" customWidth="1"/>
    <col min="5" max="5" width="7.7109375" customWidth="1"/>
    <col min="6" max="6" width="10.85546875" customWidth="1"/>
    <col min="7" max="8" width="9.7109375" customWidth="1"/>
    <col min="9" max="9" width="10" customWidth="1"/>
    <col min="10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>
        <v>36</v>
      </c>
      <c r="B2" s="184" t="s">
        <v>1469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234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s="247" customFormat="1" x14ac:dyDescent="0.25">
      <c r="A6" s="34" t="s">
        <v>1202</v>
      </c>
      <c r="B6" s="255" t="str">
        <f>[2]INSUMOS!A23</f>
        <v>Locação Estrutura Metálica - PÓRTICOS (base 0,30x2,30m)</v>
      </c>
      <c r="C6" s="243"/>
      <c r="D6" s="243">
        <v>13.5</v>
      </c>
      <c r="E6" s="243">
        <v>4.5999999999999996</v>
      </c>
      <c r="F6" s="243">
        <f>E6*D6</f>
        <v>62.099999999999994</v>
      </c>
      <c r="G6" s="243">
        <f>F6</f>
        <v>62.099999999999994</v>
      </c>
      <c r="H6" s="244" t="s">
        <v>1076</v>
      </c>
      <c r="I6" s="253">
        <v>0.5</v>
      </c>
      <c r="J6" s="254">
        <f>Insumos!D22</f>
        <v>0</v>
      </c>
      <c r="K6" s="263">
        <f>TRUNC(G6*I6*J6,2)</f>
        <v>0</v>
      </c>
    </row>
    <row r="7" spans="1:11" s="247" customFormat="1" ht="13.9" customHeight="1" x14ac:dyDescent="0.25">
      <c r="A7" s="34" t="s">
        <v>1203</v>
      </c>
      <c r="B7" s="255" t="s">
        <v>1118</v>
      </c>
      <c r="C7" s="243">
        <v>10</v>
      </c>
      <c r="D7" s="243">
        <v>5</v>
      </c>
      <c r="E7" s="243"/>
      <c r="F7" s="243">
        <f>D7*C7</f>
        <v>50</v>
      </c>
      <c r="G7" s="243">
        <f>F7</f>
        <v>50</v>
      </c>
      <c r="H7" s="244" t="s">
        <v>1076</v>
      </c>
      <c r="I7" s="253">
        <v>0.5</v>
      </c>
      <c r="J7" s="254">
        <f>Insumos!D21</f>
        <v>0</v>
      </c>
      <c r="K7" s="263">
        <f>TRUNC(G7*I7*J7,2)</f>
        <v>0</v>
      </c>
    </row>
    <row r="8" spans="1:11" s="247" customFormat="1" ht="13.9" customHeight="1" x14ac:dyDescent="0.25">
      <c r="A8" s="34" t="s">
        <v>1204</v>
      </c>
      <c r="B8" s="255" t="s">
        <v>1128</v>
      </c>
      <c r="C8" s="243">
        <v>10</v>
      </c>
      <c r="D8" s="243">
        <v>5</v>
      </c>
      <c r="E8" s="243"/>
      <c r="F8" s="243">
        <f>D8*C8</f>
        <v>50</v>
      </c>
      <c r="G8" s="243">
        <f>F8</f>
        <v>50</v>
      </c>
      <c r="H8" s="244" t="s">
        <v>1076</v>
      </c>
      <c r="I8" s="253">
        <v>0.5</v>
      </c>
      <c r="J8" s="254">
        <f>Insumos!D27</f>
        <v>0</v>
      </c>
      <c r="K8" s="263">
        <f>TRUNC(G8*I8*J8,2)</f>
        <v>0</v>
      </c>
    </row>
    <row r="9" spans="1:11" s="247" customFormat="1" x14ac:dyDescent="0.25">
      <c r="A9" s="394"/>
      <c r="B9" s="386"/>
      <c r="C9" s="382"/>
      <c r="D9" s="382"/>
      <c r="E9" s="382"/>
      <c r="F9" s="382"/>
      <c r="G9" s="382"/>
      <c r="H9" s="382"/>
      <c r="I9" s="382"/>
      <c r="J9" s="395" t="s">
        <v>1064</v>
      </c>
      <c r="K9" s="396">
        <f>SUM(K6:K8)</f>
        <v>0</v>
      </c>
    </row>
    <row r="10" spans="1:11" s="247" customFormat="1" x14ac:dyDescent="0.25">
      <c r="A10" s="401" t="s">
        <v>235</v>
      </c>
      <c r="B10" s="402" t="s">
        <v>1219</v>
      </c>
      <c r="C10" s="383"/>
      <c r="D10" s="383"/>
      <c r="E10" s="383"/>
      <c r="F10" s="383"/>
      <c r="G10" s="383"/>
      <c r="H10" s="383"/>
      <c r="I10" s="383"/>
      <c r="J10" s="403"/>
      <c r="K10" s="404"/>
    </row>
    <row r="11" spans="1:11" s="247" customFormat="1" x14ac:dyDescent="0.25">
      <c r="A11" s="611" t="s">
        <v>1196</v>
      </c>
      <c r="B11" s="612" t="s">
        <v>1067</v>
      </c>
      <c r="C11" s="643" t="s">
        <v>1197</v>
      </c>
      <c r="D11" s="643"/>
      <c r="E11" s="643"/>
      <c r="F11" s="643"/>
      <c r="G11" s="619" t="s">
        <v>14</v>
      </c>
      <c r="H11" s="610" t="s">
        <v>1068</v>
      </c>
      <c r="I11" s="608" t="s">
        <v>35</v>
      </c>
      <c r="J11" s="630" t="s">
        <v>1069</v>
      </c>
      <c r="K11" s="630" t="s">
        <v>16</v>
      </c>
    </row>
    <row r="12" spans="1:11" x14ac:dyDescent="0.25">
      <c r="A12" s="611"/>
      <c r="B12" s="612"/>
      <c r="C12" s="389"/>
      <c r="D12" s="389"/>
      <c r="E12" s="389"/>
      <c r="F12" s="389"/>
      <c r="G12" s="620"/>
      <c r="H12" s="610"/>
      <c r="I12" s="609"/>
      <c r="J12" s="630"/>
      <c r="K12" s="630"/>
    </row>
    <row r="13" spans="1:11" x14ac:dyDescent="0.25">
      <c r="A13" s="124" t="s">
        <v>1205</v>
      </c>
      <c r="B13" s="6" t="s">
        <v>1147</v>
      </c>
      <c r="C13" s="313"/>
      <c r="D13" s="313"/>
      <c r="E13" s="313"/>
      <c r="F13" s="313"/>
      <c r="G13" s="143">
        <v>1</v>
      </c>
      <c r="H13" s="140" t="s">
        <v>1140</v>
      </c>
      <c r="I13" s="150">
        <f>G13/SUM($G$13:$G$18)</f>
        <v>0.1111111111111111</v>
      </c>
      <c r="J13" s="167">
        <f>Insumos!D49</f>
        <v>0</v>
      </c>
      <c r="K13" s="199">
        <f t="shared" ref="K13:K18" si="0">TRUNC(G13*I13*J13,2)</f>
        <v>0</v>
      </c>
    </row>
    <row r="14" spans="1:11" x14ac:dyDescent="0.25">
      <c r="A14" s="124" t="s">
        <v>1206</v>
      </c>
      <c r="B14" s="6" t="s">
        <v>1148</v>
      </c>
      <c r="C14" s="313"/>
      <c r="D14" s="313"/>
      <c r="E14" s="313"/>
      <c r="F14" s="313"/>
      <c r="G14" s="143">
        <v>1</v>
      </c>
      <c r="H14" s="140" t="s">
        <v>1140</v>
      </c>
      <c r="I14" s="150">
        <f t="shared" ref="I14:I18" si="1">G14/SUM($G$13:$G$18)</f>
        <v>0.1111111111111111</v>
      </c>
      <c r="J14" s="167">
        <f>Insumos!D50</f>
        <v>0</v>
      </c>
      <c r="K14" s="199">
        <f t="shared" si="0"/>
        <v>0</v>
      </c>
    </row>
    <row r="15" spans="1:11" x14ac:dyDescent="0.25">
      <c r="A15" s="124" t="s">
        <v>1207</v>
      </c>
      <c r="B15" s="6" t="s">
        <v>1149</v>
      </c>
      <c r="C15" s="313"/>
      <c r="D15" s="313"/>
      <c r="E15" s="313"/>
      <c r="F15" s="313"/>
      <c r="G15" s="143">
        <v>1</v>
      </c>
      <c r="H15" s="140" t="s">
        <v>1140</v>
      </c>
      <c r="I15" s="150">
        <f t="shared" si="1"/>
        <v>0.1111111111111111</v>
      </c>
      <c r="J15" s="167">
        <f>Insumos!D51</f>
        <v>0</v>
      </c>
      <c r="K15" s="199">
        <f t="shared" si="0"/>
        <v>0</v>
      </c>
    </row>
    <row r="16" spans="1:11" x14ac:dyDescent="0.25">
      <c r="A16" s="124" t="s">
        <v>1208</v>
      </c>
      <c r="B16" s="6" t="s">
        <v>1150</v>
      </c>
      <c r="C16" s="313"/>
      <c r="D16" s="313"/>
      <c r="E16" s="313"/>
      <c r="F16" s="313"/>
      <c r="G16" s="143">
        <v>4</v>
      </c>
      <c r="H16" s="140" t="s">
        <v>1151</v>
      </c>
      <c r="I16" s="150">
        <f t="shared" si="1"/>
        <v>0.44444444444444442</v>
      </c>
      <c r="J16" s="167">
        <f>Insumos!D52</f>
        <v>0</v>
      </c>
      <c r="K16" s="199">
        <f t="shared" si="0"/>
        <v>0</v>
      </c>
    </row>
    <row r="17" spans="1:11" x14ac:dyDescent="0.25">
      <c r="A17" s="124" t="s">
        <v>1209</v>
      </c>
      <c r="B17" s="6" t="s">
        <v>1152</v>
      </c>
      <c r="C17" s="313"/>
      <c r="D17" s="313"/>
      <c r="E17" s="313"/>
      <c r="F17" s="313"/>
      <c r="G17" s="143">
        <v>1</v>
      </c>
      <c r="H17" s="140" t="s">
        <v>1124</v>
      </c>
      <c r="I17" s="150">
        <f t="shared" si="1"/>
        <v>0.1111111111111111</v>
      </c>
      <c r="J17" s="167">
        <f>Insumos!D53</f>
        <v>0</v>
      </c>
      <c r="K17" s="199">
        <f t="shared" si="0"/>
        <v>0</v>
      </c>
    </row>
    <row r="18" spans="1:11" x14ac:dyDescent="0.25">
      <c r="A18" s="124" t="s">
        <v>1210</v>
      </c>
      <c r="B18" s="6" t="s">
        <v>1248</v>
      </c>
      <c r="C18" s="313"/>
      <c r="D18" s="313"/>
      <c r="E18" s="313"/>
      <c r="F18" s="313"/>
      <c r="G18" s="143">
        <v>1</v>
      </c>
      <c r="H18" s="140" t="s">
        <v>1154</v>
      </c>
      <c r="I18" s="150">
        <f t="shared" si="1"/>
        <v>0.1111111111111111</v>
      </c>
      <c r="J18" s="167">
        <f>Insumos!D54</f>
        <v>0</v>
      </c>
      <c r="K18" s="199">
        <f t="shared" si="0"/>
        <v>0</v>
      </c>
    </row>
    <row r="19" spans="1:11" x14ac:dyDescent="0.25">
      <c r="A19" s="152"/>
      <c r="B19" s="159"/>
      <c r="C19" s="387"/>
      <c r="D19" s="387"/>
      <c r="E19" s="387"/>
      <c r="F19" s="387"/>
      <c r="G19" s="154"/>
      <c r="H19" s="157"/>
      <c r="I19" s="157"/>
      <c r="J19" s="158" t="s">
        <v>1064</v>
      </c>
      <c r="K19" s="203">
        <f>SUM(K13:K18)</f>
        <v>0</v>
      </c>
    </row>
    <row r="20" spans="1:11" x14ac:dyDescent="0.25">
      <c r="A20" s="146" t="s">
        <v>236</v>
      </c>
      <c r="B20" s="179" t="s">
        <v>1155</v>
      </c>
      <c r="C20" s="388"/>
      <c r="D20" s="388"/>
      <c r="E20" s="388"/>
      <c r="F20" s="388"/>
      <c r="G20" s="148"/>
      <c r="H20" s="148"/>
      <c r="I20" s="148"/>
      <c r="J20" s="156"/>
      <c r="K20" s="187"/>
    </row>
    <row r="21" spans="1:11" x14ac:dyDescent="0.25">
      <c r="A21" s="611"/>
      <c r="B21" s="612" t="s">
        <v>1067</v>
      </c>
      <c r="C21" s="637" t="s">
        <v>1197</v>
      </c>
      <c r="D21" s="638"/>
      <c r="E21" s="638"/>
      <c r="F21" s="639"/>
      <c r="G21" s="619" t="s">
        <v>14</v>
      </c>
      <c r="H21" s="610" t="s">
        <v>1068</v>
      </c>
      <c r="I21" s="608" t="s">
        <v>35</v>
      </c>
      <c r="J21" s="630" t="s">
        <v>1249</v>
      </c>
      <c r="K21" s="630" t="s">
        <v>16</v>
      </c>
    </row>
    <row r="22" spans="1:11" x14ac:dyDescent="0.25">
      <c r="A22" s="611"/>
      <c r="B22" s="612"/>
      <c r="C22" s="640"/>
      <c r="D22" s="641"/>
      <c r="E22" s="641"/>
      <c r="F22" s="642"/>
      <c r="G22" s="620"/>
      <c r="H22" s="610"/>
      <c r="I22" s="609"/>
      <c r="J22" s="630"/>
      <c r="K22" s="630"/>
    </row>
    <row r="23" spans="1:11" x14ac:dyDescent="0.25">
      <c r="A23" s="124" t="s">
        <v>1211</v>
      </c>
      <c r="B23" s="104" t="s">
        <v>1156</v>
      </c>
      <c r="C23" s="313"/>
      <c r="D23" s="313"/>
      <c r="E23" s="313"/>
      <c r="F23" s="313"/>
      <c r="G23" s="143">
        <v>10</v>
      </c>
      <c r="H23" s="140" t="s">
        <v>1228</v>
      </c>
      <c r="I23" s="150">
        <f>G23/SUM($G$23:$G$26)</f>
        <v>0.63694267515923575</v>
      </c>
      <c r="J23" s="167">
        <f>Insumos!D58</f>
        <v>0</v>
      </c>
      <c r="K23" s="199">
        <f>TRUNC(G23*I23*J23,2)</f>
        <v>0</v>
      </c>
    </row>
    <row r="24" spans="1:11" x14ac:dyDescent="0.25">
      <c r="A24" s="124" t="s">
        <v>1212</v>
      </c>
      <c r="B24" s="6" t="s">
        <v>1166</v>
      </c>
      <c r="C24" s="313"/>
      <c r="D24" s="313"/>
      <c r="E24" s="313"/>
      <c r="F24" s="313"/>
      <c r="G24" s="143">
        <v>5</v>
      </c>
      <c r="H24" s="140" t="s">
        <v>1096</v>
      </c>
      <c r="I24" s="150">
        <f t="shared" ref="I24:I26" si="2">G24/SUM($G$23:$G$26)</f>
        <v>0.31847133757961787</v>
      </c>
      <c r="J24" s="167">
        <f>Insumos!D66</f>
        <v>0</v>
      </c>
      <c r="K24" s="199">
        <f>TRUNC(G24*I24*J24,2)</f>
        <v>0</v>
      </c>
    </row>
    <row r="25" spans="1:11" x14ac:dyDescent="0.25">
      <c r="A25" s="124" t="s">
        <v>1213</v>
      </c>
      <c r="B25" s="6" t="s">
        <v>1167</v>
      </c>
      <c r="C25" s="143"/>
      <c r="D25" s="143"/>
      <c r="E25" s="143"/>
      <c r="F25" s="143"/>
      <c r="G25" s="143">
        <v>0.2</v>
      </c>
      <c r="H25" s="140" t="s">
        <v>1168</v>
      </c>
      <c r="I25" s="150">
        <f t="shared" si="2"/>
        <v>1.2738853503184714E-2</v>
      </c>
      <c r="J25" s="167">
        <f>Insumos!D67</f>
        <v>0</v>
      </c>
      <c r="K25" s="199">
        <f>TRUNC(G25*I25*J25,2)</f>
        <v>0</v>
      </c>
    </row>
    <row r="26" spans="1:11" x14ac:dyDescent="0.25">
      <c r="A26" s="124" t="s">
        <v>1214</v>
      </c>
      <c r="B26" s="6" t="s">
        <v>1270</v>
      </c>
      <c r="C26" s="143"/>
      <c r="D26" s="143"/>
      <c r="E26" s="143"/>
      <c r="F26" s="143"/>
      <c r="G26" s="143">
        <v>0.5</v>
      </c>
      <c r="H26" s="140" t="s">
        <v>1170</v>
      </c>
      <c r="I26" s="150">
        <f t="shared" si="2"/>
        <v>3.1847133757961783E-2</v>
      </c>
      <c r="J26" s="167">
        <f>Insumos!D68</f>
        <v>0</v>
      </c>
      <c r="K26" s="199">
        <f>TRUNC(G26*I26*J26,2)</f>
        <v>0</v>
      </c>
    </row>
    <row r="27" spans="1:11" x14ac:dyDescent="0.25">
      <c r="A27" s="152"/>
      <c r="B27" s="159"/>
      <c r="C27" s="159"/>
      <c r="D27" s="159"/>
      <c r="E27" s="159"/>
      <c r="F27" s="159"/>
      <c r="G27" s="159"/>
      <c r="H27" s="159"/>
      <c r="I27" s="159"/>
      <c r="J27" s="160" t="s">
        <v>1064</v>
      </c>
      <c r="K27" s="205">
        <f>SUM(K23:K26)</f>
        <v>0</v>
      </c>
    </row>
    <row r="28" spans="1:11" x14ac:dyDescent="0.25">
      <c r="A28" s="146" t="s">
        <v>237</v>
      </c>
      <c r="B28" s="179" t="s">
        <v>1176</v>
      </c>
      <c r="C28" s="148"/>
      <c r="D28" s="148"/>
      <c r="E28" s="148"/>
      <c r="F28" s="148"/>
      <c r="G28" s="148"/>
      <c r="H28" s="148"/>
      <c r="I28" s="148"/>
      <c r="J28" s="156"/>
      <c r="K28" s="187"/>
    </row>
    <row r="29" spans="1:11" x14ac:dyDescent="0.25">
      <c r="A29" s="611" t="s">
        <v>1196</v>
      </c>
      <c r="B29" s="612" t="s">
        <v>1067</v>
      </c>
      <c r="C29" s="613" t="s">
        <v>1197</v>
      </c>
      <c r="D29" s="614"/>
      <c r="E29" s="614"/>
      <c r="F29" s="615"/>
      <c r="G29" s="619" t="s">
        <v>14</v>
      </c>
      <c r="H29" s="610" t="s">
        <v>1068</v>
      </c>
      <c r="I29" s="608" t="s">
        <v>35</v>
      </c>
      <c r="J29" s="630" t="s">
        <v>1249</v>
      </c>
      <c r="K29" s="630" t="s">
        <v>16</v>
      </c>
    </row>
    <row r="30" spans="1:11" x14ac:dyDescent="0.25">
      <c r="A30" s="611"/>
      <c r="B30" s="612"/>
      <c r="C30" s="616"/>
      <c r="D30" s="617"/>
      <c r="E30" s="617"/>
      <c r="F30" s="618"/>
      <c r="G30" s="620"/>
      <c r="H30" s="610"/>
      <c r="I30" s="609"/>
      <c r="J30" s="630"/>
      <c r="K30" s="630"/>
    </row>
    <row r="31" spans="1:11" x14ac:dyDescent="0.25">
      <c r="A31" s="124" t="s">
        <v>1215</v>
      </c>
      <c r="B31" s="6" t="s">
        <v>1242</v>
      </c>
      <c r="C31" s="605"/>
      <c r="D31" s="606"/>
      <c r="E31" s="606"/>
      <c r="F31" s="607"/>
      <c r="G31" s="143">
        <v>1</v>
      </c>
      <c r="H31" s="140" t="s">
        <v>1140</v>
      </c>
      <c r="I31" s="150">
        <v>2</v>
      </c>
      <c r="J31" s="167">
        <f>Insumos!D75</f>
        <v>0</v>
      </c>
      <c r="K31" s="199">
        <f>TRUNC(G31*I31*J31,2)</f>
        <v>0</v>
      </c>
    </row>
    <row r="32" spans="1:11" x14ac:dyDescent="0.25">
      <c r="A32" s="152"/>
      <c r="B32" s="159"/>
      <c r="C32" s="159"/>
      <c r="D32" s="159"/>
      <c r="E32" s="159"/>
      <c r="F32" s="159"/>
      <c r="G32" s="159"/>
      <c r="H32" s="159"/>
      <c r="I32" s="159"/>
      <c r="J32" s="160" t="s">
        <v>1064</v>
      </c>
      <c r="K32" s="205">
        <f>SUM(K31)</f>
        <v>0</v>
      </c>
    </row>
    <row r="33" spans="1:11" x14ac:dyDescent="0.25">
      <c r="A33" s="146" t="s">
        <v>238</v>
      </c>
      <c r="B33" s="179" t="s">
        <v>1178</v>
      </c>
      <c r="C33" s="148"/>
      <c r="D33" s="148"/>
      <c r="E33" s="148"/>
      <c r="F33" s="148"/>
      <c r="G33" s="148"/>
      <c r="H33" s="148"/>
      <c r="I33" s="148"/>
      <c r="J33" s="156"/>
      <c r="K33" s="187"/>
    </row>
    <row r="34" spans="1:11" x14ac:dyDescent="0.25">
      <c r="A34" s="611" t="s">
        <v>1196</v>
      </c>
      <c r="B34" s="612" t="s">
        <v>1067</v>
      </c>
      <c r="C34" s="613" t="s">
        <v>1197</v>
      </c>
      <c r="D34" s="614"/>
      <c r="E34" s="614"/>
      <c r="F34" s="615"/>
      <c r="G34" s="619" t="s">
        <v>14</v>
      </c>
      <c r="H34" s="610" t="s">
        <v>1068</v>
      </c>
      <c r="I34" s="608" t="s">
        <v>35</v>
      </c>
      <c r="J34" s="630" t="s">
        <v>1249</v>
      </c>
      <c r="K34" s="630" t="s">
        <v>16</v>
      </c>
    </row>
    <row r="35" spans="1:11" x14ac:dyDescent="0.25">
      <c r="A35" s="611"/>
      <c r="B35" s="612"/>
      <c r="C35" s="616"/>
      <c r="D35" s="617"/>
      <c r="E35" s="617"/>
      <c r="F35" s="618"/>
      <c r="G35" s="620"/>
      <c r="H35" s="610"/>
      <c r="I35" s="609"/>
      <c r="J35" s="630"/>
      <c r="K35" s="630"/>
    </row>
    <row r="36" spans="1:11" x14ac:dyDescent="0.25">
      <c r="A36" s="124" t="s">
        <v>1216</v>
      </c>
      <c r="B36" s="104" t="s">
        <v>1179</v>
      </c>
      <c r="C36" s="605"/>
      <c r="D36" s="606"/>
      <c r="E36" s="606"/>
      <c r="F36" s="607"/>
      <c r="G36" s="143">
        <v>1</v>
      </c>
      <c r="H36" s="140" t="s">
        <v>1140</v>
      </c>
      <c r="I36" s="150">
        <v>2</v>
      </c>
      <c r="J36" s="167">
        <f>Insumos!D78</f>
        <v>0</v>
      </c>
      <c r="K36" s="199">
        <f>TRUNC(G36*I36*J36,2)</f>
        <v>0</v>
      </c>
    </row>
    <row r="37" spans="1:11" x14ac:dyDescent="0.25">
      <c r="A37" s="152"/>
      <c r="B37" s="159"/>
      <c r="C37" s="159"/>
      <c r="D37" s="159"/>
      <c r="E37" s="159"/>
      <c r="F37" s="159"/>
      <c r="G37" s="159"/>
      <c r="H37" s="159"/>
      <c r="I37" s="159"/>
      <c r="J37" s="160" t="s">
        <v>1064</v>
      </c>
      <c r="K37" s="205">
        <f>K36</f>
        <v>0</v>
      </c>
    </row>
    <row r="38" spans="1:11" x14ac:dyDescent="0.25">
      <c r="A38" s="146" t="s">
        <v>239</v>
      </c>
      <c r="B38" s="179" t="s">
        <v>1180</v>
      </c>
      <c r="C38" s="148"/>
      <c r="D38" s="148"/>
      <c r="E38" s="148"/>
      <c r="F38" s="148"/>
      <c r="G38" s="148"/>
      <c r="H38" s="148"/>
      <c r="I38" s="148"/>
      <c r="J38" s="156"/>
      <c r="K38" s="187"/>
    </row>
    <row r="39" spans="1:11" x14ac:dyDescent="0.25">
      <c r="A39" s="611" t="s">
        <v>1196</v>
      </c>
      <c r="B39" s="612" t="s">
        <v>1067</v>
      </c>
      <c r="C39" s="613" t="s">
        <v>1197</v>
      </c>
      <c r="D39" s="614"/>
      <c r="E39" s="614"/>
      <c r="F39" s="615"/>
      <c r="G39" s="619" t="s">
        <v>14</v>
      </c>
      <c r="H39" s="610" t="s">
        <v>1068</v>
      </c>
      <c r="I39" s="608" t="s">
        <v>35</v>
      </c>
      <c r="J39" s="630" t="s">
        <v>1249</v>
      </c>
      <c r="K39" s="630" t="s">
        <v>16</v>
      </c>
    </row>
    <row r="40" spans="1:11" x14ac:dyDescent="0.25">
      <c r="A40" s="611"/>
      <c r="B40" s="612"/>
      <c r="C40" s="616"/>
      <c r="D40" s="617"/>
      <c r="E40" s="617"/>
      <c r="F40" s="618"/>
      <c r="G40" s="620"/>
      <c r="H40" s="610"/>
      <c r="I40" s="609"/>
      <c r="J40" s="630"/>
      <c r="K40" s="630"/>
    </row>
    <row r="41" spans="1:11" x14ac:dyDescent="0.25">
      <c r="A41" s="124" t="s">
        <v>1217</v>
      </c>
      <c r="B41" s="6" t="s">
        <v>1181</v>
      </c>
      <c r="C41" s="605"/>
      <c r="D41" s="606"/>
      <c r="E41" s="606"/>
      <c r="F41" s="607"/>
      <c r="G41" s="143">
        <v>1</v>
      </c>
      <c r="H41" s="140" t="s">
        <v>1140</v>
      </c>
      <c r="I41" s="150">
        <f>G41/SUM($G$41:$G$43)</f>
        <v>0.33333333333333331</v>
      </c>
      <c r="J41" s="167">
        <f>Insumos!D81</f>
        <v>0</v>
      </c>
      <c r="K41" s="199">
        <f>TRUNC(G41*I41*J41,2)</f>
        <v>0</v>
      </c>
    </row>
    <row r="42" spans="1:11" x14ac:dyDescent="0.25">
      <c r="A42" s="124" t="s">
        <v>1220</v>
      </c>
      <c r="B42" s="6" t="s">
        <v>1182</v>
      </c>
      <c r="C42" s="605"/>
      <c r="D42" s="606"/>
      <c r="E42" s="606"/>
      <c r="F42" s="607"/>
      <c r="G42" s="143">
        <v>1</v>
      </c>
      <c r="H42" s="140" t="s">
        <v>1140</v>
      </c>
      <c r="I42" s="150">
        <f t="shared" ref="I42:I43" si="3">G42/SUM($G$41:$G$43)</f>
        <v>0.33333333333333331</v>
      </c>
      <c r="J42" s="167">
        <f>Insumos!D82</f>
        <v>0</v>
      </c>
      <c r="K42" s="199">
        <f>TRUNC(G42*I42*J42,2)</f>
        <v>0</v>
      </c>
    </row>
    <row r="43" spans="1:11" x14ac:dyDescent="0.25">
      <c r="A43" s="124" t="s">
        <v>1222</v>
      </c>
      <c r="B43" s="6" t="s">
        <v>1183</v>
      </c>
      <c r="C43" s="605"/>
      <c r="D43" s="606"/>
      <c r="E43" s="606"/>
      <c r="F43" s="607"/>
      <c r="G43" s="143">
        <v>1</v>
      </c>
      <c r="H43" s="140" t="s">
        <v>1140</v>
      </c>
      <c r="I43" s="150">
        <f t="shared" si="3"/>
        <v>0.33333333333333331</v>
      </c>
      <c r="J43" s="167">
        <f>Insumos!D83</f>
        <v>0</v>
      </c>
      <c r="K43" s="199">
        <f>TRUNC(G43*I43*J43,2)</f>
        <v>0</v>
      </c>
    </row>
    <row r="44" spans="1:11" x14ac:dyDescent="0.25">
      <c r="A44" s="152"/>
      <c r="B44" s="159"/>
      <c r="C44" s="159"/>
      <c r="D44" s="159"/>
      <c r="E44" s="159"/>
      <c r="F44" s="159"/>
      <c r="G44" s="159"/>
      <c r="H44" s="159"/>
      <c r="I44" s="159"/>
      <c r="J44" s="160" t="s">
        <v>1064</v>
      </c>
      <c r="K44" s="205">
        <f>SUM(K41:K43)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1:J12"/>
    <mergeCell ref="K11:K12"/>
    <mergeCell ref="A21:A22"/>
    <mergeCell ref="B21:B22"/>
    <mergeCell ref="C21:F22"/>
    <mergeCell ref="G21:G22"/>
    <mergeCell ref="H21:H22"/>
    <mergeCell ref="I21:I22"/>
    <mergeCell ref="J21:J22"/>
    <mergeCell ref="K21:K22"/>
    <mergeCell ref="A11:A12"/>
    <mergeCell ref="B11:B12"/>
    <mergeCell ref="C11:F11"/>
    <mergeCell ref="G11:G12"/>
    <mergeCell ref="H11:H12"/>
    <mergeCell ref="I11:I12"/>
    <mergeCell ref="J29:J30"/>
    <mergeCell ref="K29:K30"/>
    <mergeCell ref="C31:F31"/>
    <mergeCell ref="A34:A35"/>
    <mergeCell ref="B34:B35"/>
    <mergeCell ref="C34:F35"/>
    <mergeCell ref="G34:G35"/>
    <mergeCell ref="H34:H35"/>
    <mergeCell ref="I34:I35"/>
    <mergeCell ref="J34:J35"/>
    <mergeCell ref="A29:A30"/>
    <mergeCell ref="B29:B30"/>
    <mergeCell ref="C29:F30"/>
    <mergeCell ref="G29:G30"/>
    <mergeCell ref="H29:H30"/>
    <mergeCell ref="I29:I30"/>
    <mergeCell ref="A39:A40"/>
    <mergeCell ref="B39:B40"/>
    <mergeCell ref="C39:F40"/>
    <mergeCell ref="G39:G40"/>
    <mergeCell ref="H39:H40"/>
    <mergeCell ref="C41:F41"/>
    <mergeCell ref="C42:F42"/>
    <mergeCell ref="C43:F43"/>
    <mergeCell ref="K34:K35"/>
    <mergeCell ref="C36:F36"/>
    <mergeCell ref="I39:I40"/>
    <mergeCell ref="J39:J40"/>
    <mergeCell ref="K39:K40"/>
  </mergeCells>
  <pageMargins left="0.511811024" right="0.511811024" top="0.78740157499999996" bottom="0.78740157499999996" header="0.31496062000000002" footer="0.31496062000000002"/>
  <pageSetup paperSize="9" scale="55" fitToHeight="0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3"/>
  <sheetViews>
    <sheetView view="pageBreakPreview" zoomScale="80" zoomScaleNormal="85" zoomScaleSheetLayoutView="80" workbookViewId="0">
      <selection activeCell="B3" sqref="B3:F3"/>
    </sheetView>
  </sheetViews>
  <sheetFormatPr defaultRowHeight="15" x14ac:dyDescent="0.25"/>
  <cols>
    <col min="1" max="1" width="11.85546875" customWidth="1"/>
    <col min="2" max="2" width="69.85546875" customWidth="1"/>
    <col min="6" max="6" width="10.85546875" customWidth="1"/>
    <col min="7" max="7" width="12.140625" customWidth="1"/>
    <col min="9" max="9" width="9.140625" style="305"/>
    <col min="10" max="10" width="16" bestFit="1" customWidth="1"/>
    <col min="11" max="11" width="15.85546875" customWidth="1"/>
  </cols>
  <sheetData>
    <row r="1" spans="1:17" ht="18.75" x14ac:dyDescent="0.25">
      <c r="A1" s="706" t="s">
        <v>1194</v>
      </c>
      <c r="B1" s="706"/>
      <c r="C1" s="706"/>
      <c r="D1" s="706"/>
      <c r="E1" s="706"/>
      <c r="F1" s="706"/>
      <c r="G1" s="706"/>
      <c r="H1" s="706"/>
      <c r="I1" s="706"/>
      <c r="J1" s="706"/>
      <c r="K1" s="706"/>
      <c r="Q1" s="167"/>
    </row>
    <row r="2" spans="1:17" ht="15.75" x14ac:dyDescent="0.25">
      <c r="A2" s="145">
        <v>37</v>
      </c>
      <c r="B2" s="184" t="s">
        <v>2092</v>
      </c>
      <c r="C2" s="185"/>
      <c r="D2" s="185"/>
      <c r="E2" s="185"/>
      <c r="F2" s="185"/>
      <c r="G2" s="185"/>
      <c r="H2" s="185"/>
      <c r="I2" s="447"/>
      <c r="J2" s="185"/>
      <c r="K2" s="186"/>
      <c r="Q2" s="167"/>
    </row>
    <row r="3" spans="1:17" x14ac:dyDescent="0.25">
      <c r="A3" s="146" t="s">
        <v>1827</v>
      </c>
      <c r="B3" s="621" t="s">
        <v>1195</v>
      </c>
      <c r="C3" s="621"/>
      <c r="D3" s="621"/>
      <c r="E3" s="621"/>
      <c r="F3" s="621"/>
      <c r="G3" s="621"/>
      <c r="H3" s="621"/>
      <c r="I3" s="448"/>
      <c r="J3" s="148"/>
      <c r="K3" s="148"/>
      <c r="Q3" s="167"/>
    </row>
    <row r="4" spans="1:17" x14ac:dyDescent="0.25">
      <c r="A4" s="611" t="s">
        <v>1196</v>
      </c>
      <c r="B4" s="612" t="s">
        <v>1067</v>
      </c>
      <c r="C4" s="620" t="s">
        <v>1197</v>
      </c>
      <c r="D4" s="620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  <c r="Q4" s="167"/>
    </row>
    <row r="5" spans="1:17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  <c r="Q5" s="167"/>
    </row>
    <row r="6" spans="1:17" s="247" customFormat="1" x14ac:dyDescent="0.25">
      <c r="A6" s="34" t="s">
        <v>1202</v>
      </c>
      <c r="B6" s="251" t="s">
        <v>1112</v>
      </c>
      <c r="C6" s="242">
        <v>3</v>
      </c>
      <c r="D6" s="242">
        <v>29</v>
      </c>
      <c r="E6" s="242">
        <v>2</v>
      </c>
      <c r="F6" s="243">
        <f>C6*D6*E6</f>
        <v>174</v>
      </c>
      <c r="G6" s="243">
        <f t="shared" ref="G6:G11" si="0">F6</f>
        <v>174</v>
      </c>
      <c r="H6" s="244" t="s">
        <v>1076</v>
      </c>
      <c r="I6" s="253">
        <v>1</v>
      </c>
      <c r="J6" s="254">
        <f>Insumos!D20</f>
        <v>0</v>
      </c>
      <c r="K6" s="125">
        <f t="shared" ref="K6:K11" si="1">TRUNC(G6*I6*J6,2)</f>
        <v>0</v>
      </c>
      <c r="Q6" s="254"/>
    </row>
    <row r="7" spans="1:17" s="247" customFormat="1" x14ac:dyDescent="0.25">
      <c r="A7" s="34" t="s">
        <v>1203</v>
      </c>
      <c r="B7" s="255" t="s">
        <v>1106</v>
      </c>
      <c r="C7" s="243">
        <v>35</v>
      </c>
      <c r="D7" s="243">
        <v>1.1000000000000001</v>
      </c>
      <c r="E7" s="243">
        <v>2</v>
      </c>
      <c r="F7" s="243">
        <f t="shared" ref="F7" si="2">C7*D7*E7</f>
        <v>77</v>
      </c>
      <c r="G7" s="243">
        <f t="shared" si="0"/>
        <v>77</v>
      </c>
      <c r="H7" s="244" t="s">
        <v>1076</v>
      </c>
      <c r="I7" s="253">
        <v>1</v>
      </c>
      <c r="J7" s="254">
        <f>Insumos!D16</f>
        <v>0</v>
      </c>
      <c r="K7" s="125">
        <f t="shared" si="1"/>
        <v>0</v>
      </c>
    </row>
    <row r="8" spans="1:17" s="247" customFormat="1" x14ac:dyDescent="0.25">
      <c r="A8" s="34" t="s">
        <v>1204</v>
      </c>
      <c r="B8" s="255" t="s">
        <v>1087</v>
      </c>
      <c r="C8" s="243">
        <v>20</v>
      </c>
      <c r="D8" s="243">
        <v>3</v>
      </c>
      <c r="E8" s="243"/>
      <c r="F8" s="243">
        <f>C8*D8</f>
        <v>60</v>
      </c>
      <c r="G8" s="243">
        <f t="shared" si="0"/>
        <v>60</v>
      </c>
      <c r="H8" s="244" t="s">
        <v>1076</v>
      </c>
      <c r="I8" s="253">
        <v>1</v>
      </c>
      <c r="J8" s="254">
        <f>Insumos!D8</f>
        <v>0</v>
      </c>
      <c r="K8" s="125">
        <f t="shared" si="1"/>
        <v>0</v>
      </c>
    </row>
    <row r="9" spans="1:17" s="247" customFormat="1" x14ac:dyDescent="0.25">
      <c r="A9" s="34" t="s">
        <v>1205</v>
      </c>
      <c r="B9" s="255" t="s">
        <v>1108</v>
      </c>
      <c r="C9" s="243">
        <v>3</v>
      </c>
      <c r="D9" s="243">
        <v>3</v>
      </c>
      <c r="E9" s="243"/>
      <c r="F9" s="243">
        <f>C9*D9</f>
        <v>9</v>
      </c>
      <c r="G9" s="243">
        <f t="shared" si="0"/>
        <v>9</v>
      </c>
      <c r="H9" s="244" t="s">
        <v>1076</v>
      </c>
      <c r="I9" s="253">
        <v>1</v>
      </c>
      <c r="J9" s="254">
        <f>Insumos!D18</f>
        <v>0</v>
      </c>
      <c r="K9" s="125">
        <f t="shared" si="1"/>
        <v>0</v>
      </c>
    </row>
    <row r="10" spans="1:17" s="247" customFormat="1" x14ac:dyDescent="0.25">
      <c r="A10" s="34" t="s">
        <v>1206</v>
      </c>
      <c r="B10" s="255" t="s">
        <v>1099</v>
      </c>
      <c r="C10" s="243">
        <v>12</v>
      </c>
      <c r="D10" s="243">
        <v>5</v>
      </c>
      <c r="E10" s="243"/>
      <c r="F10" s="243">
        <f>C10*D10</f>
        <v>60</v>
      </c>
      <c r="G10" s="243">
        <f t="shared" si="0"/>
        <v>60</v>
      </c>
      <c r="H10" s="244" t="s">
        <v>1076</v>
      </c>
      <c r="I10" s="253">
        <v>1</v>
      </c>
      <c r="J10" s="254">
        <f>Insumos!D13</f>
        <v>0</v>
      </c>
      <c r="K10" s="125">
        <f t="shared" si="1"/>
        <v>0</v>
      </c>
    </row>
    <row r="11" spans="1:17" s="247" customFormat="1" ht="30" x14ac:dyDescent="0.25">
      <c r="A11" s="34" t="s">
        <v>1207</v>
      </c>
      <c r="B11" s="255" t="s">
        <v>1126</v>
      </c>
      <c r="C11" s="243">
        <v>12</v>
      </c>
      <c r="D11" s="243">
        <v>5</v>
      </c>
      <c r="E11" s="243"/>
      <c r="F11" s="243">
        <f>C11*D11</f>
        <v>60</v>
      </c>
      <c r="G11" s="243">
        <f t="shared" si="0"/>
        <v>60</v>
      </c>
      <c r="H11" s="244" t="s">
        <v>1076</v>
      </c>
      <c r="I11" s="253">
        <v>1</v>
      </c>
      <c r="J11" s="254">
        <f>Insumos!D27</f>
        <v>0</v>
      </c>
      <c r="K11" s="125">
        <f t="shared" si="1"/>
        <v>0</v>
      </c>
    </row>
    <row r="12" spans="1:17" x14ac:dyDescent="0.25">
      <c r="A12" s="152"/>
      <c r="B12" s="159"/>
      <c r="C12" s="387"/>
      <c r="D12" s="387"/>
      <c r="E12" s="387"/>
      <c r="F12" s="387"/>
      <c r="G12" s="154"/>
      <c r="H12" s="154"/>
      <c r="I12" s="157"/>
      <c r="J12" s="155" t="s">
        <v>1064</v>
      </c>
      <c r="K12" s="178">
        <f>SUM(K6:K11)</f>
        <v>0</v>
      </c>
    </row>
    <row r="13" spans="1:17" x14ac:dyDescent="0.25">
      <c r="A13" s="146" t="s">
        <v>1828</v>
      </c>
      <c r="B13" s="179" t="s">
        <v>1219</v>
      </c>
      <c r="C13" s="388"/>
      <c r="D13" s="388"/>
      <c r="E13" s="388"/>
      <c r="F13" s="388"/>
      <c r="G13" s="148"/>
      <c r="H13" s="148"/>
      <c r="I13" s="448"/>
      <c r="J13" s="156"/>
      <c r="K13" s="187"/>
    </row>
    <row r="14" spans="1:17" x14ac:dyDescent="0.25">
      <c r="A14" s="611" t="s">
        <v>1196</v>
      </c>
      <c r="B14" s="612" t="s">
        <v>1067</v>
      </c>
      <c r="C14" s="611" t="s">
        <v>1197</v>
      </c>
      <c r="D14" s="611"/>
      <c r="E14" s="611"/>
      <c r="F14" s="611"/>
      <c r="G14" s="619" t="s">
        <v>14</v>
      </c>
      <c r="H14" s="610" t="s">
        <v>1068</v>
      </c>
      <c r="I14" s="608" t="s">
        <v>35</v>
      </c>
      <c r="J14" s="630" t="s">
        <v>1069</v>
      </c>
      <c r="K14" s="630" t="s">
        <v>16</v>
      </c>
    </row>
    <row r="15" spans="1:17" x14ac:dyDescent="0.25">
      <c r="A15" s="611"/>
      <c r="B15" s="612"/>
      <c r="C15" s="161"/>
      <c r="D15" s="161"/>
      <c r="E15" s="161"/>
      <c r="F15" s="161"/>
      <c r="G15" s="620"/>
      <c r="H15" s="610"/>
      <c r="I15" s="609"/>
      <c r="J15" s="630"/>
      <c r="K15" s="630"/>
    </row>
    <row r="16" spans="1:17" x14ac:dyDescent="0.25">
      <c r="A16" s="124" t="s">
        <v>1208</v>
      </c>
      <c r="B16" s="6" t="s">
        <v>1147</v>
      </c>
      <c r="C16" s="143"/>
      <c r="D16" s="143"/>
      <c r="E16" s="143"/>
      <c r="F16" s="143"/>
      <c r="G16" s="143">
        <v>2</v>
      </c>
      <c r="H16" s="140" t="s">
        <v>1140</v>
      </c>
      <c r="I16" s="150">
        <f>G16/SUM($G$16:$G$21)</f>
        <v>0.04</v>
      </c>
      <c r="J16" s="167">
        <f>Insumos!D49</f>
        <v>0</v>
      </c>
      <c r="K16" s="151">
        <f t="shared" ref="K16:K21" si="3">TRUNC(G16*I16*J16,2)</f>
        <v>0</v>
      </c>
    </row>
    <row r="17" spans="1:11" x14ac:dyDescent="0.25">
      <c r="A17" s="124" t="s">
        <v>1209</v>
      </c>
      <c r="B17" s="6" t="s">
        <v>1148</v>
      </c>
      <c r="C17" s="143"/>
      <c r="D17" s="143"/>
      <c r="E17" s="143"/>
      <c r="F17" s="143"/>
      <c r="G17" s="143">
        <v>1</v>
      </c>
      <c r="H17" s="140" t="s">
        <v>1140</v>
      </c>
      <c r="I17" s="150">
        <f t="shared" ref="I17:I21" si="4">G17/SUM($G$16:$G$21)</f>
        <v>0.02</v>
      </c>
      <c r="J17" s="167">
        <f>Insumos!D50</f>
        <v>0</v>
      </c>
      <c r="K17" s="151">
        <f t="shared" si="3"/>
        <v>0</v>
      </c>
    </row>
    <row r="18" spans="1:11" x14ac:dyDescent="0.25">
      <c r="A18" s="124" t="s">
        <v>1210</v>
      </c>
      <c r="B18" s="6" t="s">
        <v>1149</v>
      </c>
      <c r="C18" s="143"/>
      <c r="D18" s="143"/>
      <c r="E18" s="143"/>
      <c r="F18" s="143"/>
      <c r="G18" s="143">
        <v>5</v>
      </c>
      <c r="H18" s="140" t="s">
        <v>1140</v>
      </c>
      <c r="I18" s="150">
        <f t="shared" si="4"/>
        <v>0.1</v>
      </c>
      <c r="J18" s="167">
        <f>Insumos!D51</f>
        <v>0</v>
      </c>
      <c r="K18" s="151">
        <f t="shared" si="3"/>
        <v>0</v>
      </c>
    </row>
    <row r="19" spans="1:11" x14ac:dyDescent="0.25">
      <c r="A19" s="124" t="s">
        <v>1211</v>
      </c>
      <c r="B19" s="6" t="s">
        <v>1150</v>
      </c>
      <c r="C19" s="143"/>
      <c r="D19" s="143"/>
      <c r="E19" s="143"/>
      <c r="F19" s="143"/>
      <c r="G19" s="143">
        <v>30</v>
      </c>
      <c r="H19" s="140" t="s">
        <v>1151</v>
      </c>
      <c r="I19" s="150">
        <f t="shared" si="4"/>
        <v>0.6</v>
      </c>
      <c r="J19" s="167">
        <f>Insumos!D52</f>
        <v>0</v>
      </c>
      <c r="K19" s="151">
        <f t="shared" si="3"/>
        <v>0</v>
      </c>
    </row>
    <row r="20" spans="1:11" x14ac:dyDescent="0.25">
      <c r="A20" s="124" t="s">
        <v>1212</v>
      </c>
      <c r="B20" s="6" t="s">
        <v>1152</v>
      </c>
      <c r="C20" s="143"/>
      <c r="D20" s="143"/>
      <c r="E20" s="143"/>
      <c r="F20" s="143"/>
      <c r="G20" s="143">
        <v>2</v>
      </c>
      <c r="H20" s="140" t="s">
        <v>1124</v>
      </c>
      <c r="I20" s="150">
        <f t="shared" si="4"/>
        <v>0.04</v>
      </c>
      <c r="J20" s="167">
        <f>Insumos!D53</f>
        <v>0</v>
      </c>
      <c r="K20" s="151">
        <f t="shared" si="3"/>
        <v>0</v>
      </c>
    </row>
    <row r="21" spans="1:11" x14ac:dyDescent="0.25">
      <c r="A21" s="124" t="s">
        <v>1213</v>
      </c>
      <c r="B21" s="6" t="s">
        <v>1248</v>
      </c>
      <c r="C21" s="143"/>
      <c r="D21" s="143"/>
      <c r="E21" s="143"/>
      <c r="F21" s="143"/>
      <c r="G21" s="143">
        <v>10</v>
      </c>
      <c r="H21" s="140" t="s">
        <v>1154</v>
      </c>
      <c r="I21" s="150">
        <f t="shared" si="4"/>
        <v>0.2</v>
      </c>
      <c r="J21" s="167">
        <f>Insumos!D54</f>
        <v>0</v>
      </c>
      <c r="K21" s="151">
        <f t="shared" si="3"/>
        <v>0</v>
      </c>
    </row>
    <row r="22" spans="1:11" x14ac:dyDescent="0.25">
      <c r="A22" s="152"/>
      <c r="B22" s="159"/>
      <c r="C22" s="154"/>
      <c r="D22" s="154"/>
      <c r="E22" s="154"/>
      <c r="F22" s="154"/>
      <c r="G22" s="154"/>
      <c r="H22" s="157"/>
      <c r="I22" s="157"/>
      <c r="J22" s="158" t="s">
        <v>1064</v>
      </c>
      <c r="K22" s="180">
        <f>SUM(K16:K21)</f>
        <v>0</v>
      </c>
    </row>
    <row r="23" spans="1:11" x14ac:dyDescent="0.25">
      <c r="A23" s="146" t="s">
        <v>1829</v>
      </c>
      <c r="B23" s="179" t="s">
        <v>1155</v>
      </c>
      <c r="C23" s="148"/>
      <c r="D23" s="148"/>
      <c r="E23" s="148"/>
      <c r="F23" s="148"/>
      <c r="G23" s="148"/>
      <c r="H23" s="148"/>
      <c r="I23" s="448"/>
      <c r="J23" s="156"/>
      <c r="K23" s="187"/>
    </row>
    <row r="24" spans="1:11" x14ac:dyDescent="0.25">
      <c r="A24" s="611" t="s">
        <v>1196</v>
      </c>
      <c r="B24" s="612" t="s">
        <v>1067</v>
      </c>
      <c r="C24" s="613" t="s">
        <v>1197</v>
      </c>
      <c r="D24" s="614"/>
      <c r="E24" s="614"/>
      <c r="F24" s="615"/>
      <c r="G24" s="619" t="s">
        <v>14</v>
      </c>
      <c r="H24" s="610" t="s">
        <v>1068</v>
      </c>
      <c r="I24" s="608" t="s">
        <v>35</v>
      </c>
      <c r="J24" s="630" t="s">
        <v>1249</v>
      </c>
      <c r="K24" s="630" t="s">
        <v>16</v>
      </c>
    </row>
    <row r="25" spans="1:11" x14ac:dyDescent="0.25">
      <c r="A25" s="611"/>
      <c r="B25" s="612"/>
      <c r="C25" s="616"/>
      <c r="D25" s="617"/>
      <c r="E25" s="617"/>
      <c r="F25" s="618"/>
      <c r="G25" s="620"/>
      <c r="H25" s="610"/>
      <c r="I25" s="609"/>
      <c r="J25" s="630"/>
      <c r="K25" s="630"/>
    </row>
    <row r="26" spans="1:11" x14ac:dyDescent="0.25">
      <c r="A26" s="124" t="s">
        <v>1214</v>
      </c>
      <c r="B26" s="104" t="s">
        <v>1156</v>
      </c>
      <c r="C26" s="143"/>
      <c r="D26" s="143"/>
      <c r="E26" s="143"/>
      <c r="F26" s="143"/>
      <c r="G26" s="143">
        <v>10</v>
      </c>
      <c r="H26" s="140" t="s">
        <v>1228</v>
      </c>
      <c r="I26" s="150">
        <f>G26/SUM($G$26:$G$36)</f>
        <v>4.7411484404848249E-2</v>
      </c>
      <c r="J26" s="167">
        <f>Insumos!D58</f>
        <v>0</v>
      </c>
      <c r="K26" s="151">
        <f t="shared" ref="K26:K36" si="5">TRUNC(G26*I26*J26,2)</f>
        <v>0</v>
      </c>
    </row>
    <row r="27" spans="1:11" x14ac:dyDescent="0.25">
      <c r="A27" s="124" t="s">
        <v>1215</v>
      </c>
      <c r="B27" s="6" t="s">
        <v>1171</v>
      </c>
      <c r="C27" s="143"/>
      <c r="D27" s="143"/>
      <c r="E27" s="143"/>
      <c r="F27" s="143"/>
      <c r="G27" s="143">
        <f>G6</f>
        <v>174</v>
      </c>
      <c r="H27" s="140" t="s">
        <v>1089</v>
      </c>
      <c r="I27" s="150">
        <f t="shared" ref="I27:I36" si="6">G27/SUM($G$26:$G$36)</f>
        <v>0.82495982864435946</v>
      </c>
      <c r="J27" s="167">
        <f>Insumos!D69</f>
        <v>0</v>
      </c>
      <c r="K27" s="151">
        <f t="shared" si="5"/>
        <v>0</v>
      </c>
    </row>
    <row r="28" spans="1:11" x14ac:dyDescent="0.25">
      <c r="A28" s="124" t="s">
        <v>1216</v>
      </c>
      <c r="B28" s="104" t="s">
        <v>1158</v>
      </c>
      <c r="C28" s="143"/>
      <c r="D28" s="143"/>
      <c r="E28" s="143"/>
      <c r="F28" s="143"/>
      <c r="G28" s="143">
        <f>(G27*0.12)/3.6</f>
        <v>5.8</v>
      </c>
      <c r="H28" s="140" t="s">
        <v>1159</v>
      </c>
      <c r="I28" s="150">
        <f t="shared" si="6"/>
        <v>2.7498660954811984E-2</v>
      </c>
      <c r="J28" s="167">
        <f>Insumos!D60</f>
        <v>0</v>
      </c>
      <c r="K28" s="151">
        <f t="shared" si="5"/>
        <v>0</v>
      </c>
    </row>
    <row r="29" spans="1:11" x14ac:dyDescent="0.25">
      <c r="A29" s="124" t="s">
        <v>1217</v>
      </c>
      <c r="B29" s="104" t="s">
        <v>1160</v>
      </c>
      <c r="C29" s="143"/>
      <c r="D29" s="143"/>
      <c r="E29" s="143"/>
      <c r="F29" s="143"/>
      <c r="G29" s="143">
        <f>G7*(0.2105/3.6)</f>
        <v>4.502361111111111</v>
      </c>
      <c r="H29" s="140" t="s">
        <v>1159</v>
      </c>
      <c r="I29" s="150">
        <f t="shared" si="6"/>
        <v>2.1346362360443967E-2</v>
      </c>
      <c r="J29" s="167">
        <f>Insumos!D61</f>
        <v>0</v>
      </c>
      <c r="K29" s="151">
        <f t="shared" si="5"/>
        <v>0</v>
      </c>
    </row>
    <row r="30" spans="1:11" x14ac:dyDescent="0.25">
      <c r="A30" s="124" t="s">
        <v>1220</v>
      </c>
      <c r="B30" s="104" t="s">
        <v>1161</v>
      </c>
      <c r="C30" s="143"/>
      <c r="D30" s="143"/>
      <c r="E30" s="143"/>
      <c r="F30" s="143"/>
      <c r="G30" s="143">
        <f>G7*(0.021)</f>
        <v>1.617</v>
      </c>
      <c r="H30" s="140" t="s">
        <v>1162</v>
      </c>
      <c r="I30" s="150">
        <f t="shared" si="6"/>
        <v>7.6664370282639614E-3</v>
      </c>
      <c r="J30" s="167">
        <f>Insumos!D62</f>
        <v>0</v>
      </c>
      <c r="K30" s="151">
        <f t="shared" si="5"/>
        <v>0</v>
      </c>
    </row>
    <row r="31" spans="1:11" x14ac:dyDescent="0.25">
      <c r="A31" s="124" t="s">
        <v>1222</v>
      </c>
      <c r="B31" s="104" t="s">
        <v>1163</v>
      </c>
      <c r="C31" s="143"/>
      <c r="D31" s="143"/>
      <c r="E31" s="143"/>
      <c r="F31" s="143"/>
      <c r="G31" s="143">
        <v>5</v>
      </c>
      <c r="H31" s="140" t="s">
        <v>1068</v>
      </c>
      <c r="I31" s="150">
        <f t="shared" si="6"/>
        <v>2.3705742202424124E-2</v>
      </c>
      <c r="J31" s="167">
        <f>Insumos!D63</f>
        <v>0</v>
      </c>
      <c r="K31" s="151">
        <f t="shared" si="5"/>
        <v>0</v>
      </c>
    </row>
    <row r="32" spans="1:11" x14ac:dyDescent="0.25">
      <c r="A32" s="124" t="s">
        <v>1223</v>
      </c>
      <c r="B32" s="104" t="s">
        <v>1164</v>
      </c>
      <c r="C32" s="143"/>
      <c r="D32" s="143"/>
      <c r="E32" s="143"/>
      <c r="F32" s="143"/>
      <c r="G32" s="143">
        <v>2</v>
      </c>
      <c r="H32" s="140" t="s">
        <v>1068</v>
      </c>
      <c r="I32" s="150">
        <f t="shared" si="6"/>
        <v>9.4822968809696491E-3</v>
      </c>
      <c r="J32" s="167">
        <f>Insumos!D64</f>
        <v>0</v>
      </c>
      <c r="K32" s="151">
        <f t="shared" si="5"/>
        <v>0</v>
      </c>
    </row>
    <row r="33" spans="1:11" x14ac:dyDescent="0.25">
      <c r="A33" s="124" t="s">
        <v>1224</v>
      </c>
      <c r="B33" s="104" t="s">
        <v>1165</v>
      </c>
      <c r="C33" s="143"/>
      <c r="D33" s="143"/>
      <c r="E33" s="143"/>
      <c r="F33" s="143"/>
      <c r="G33" s="143">
        <v>2</v>
      </c>
      <c r="H33" s="140" t="s">
        <v>1068</v>
      </c>
      <c r="I33" s="150">
        <f t="shared" si="6"/>
        <v>9.4822968809696491E-3</v>
      </c>
      <c r="J33" s="167">
        <f>Insumos!D65</f>
        <v>0</v>
      </c>
      <c r="K33" s="151">
        <f t="shared" si="5"/>
        <v>0</v>
      </c>
    </row>
    <row r="34" spans="1:11" x14ac:dyDescent="0.25">
      <c r="A34" s="124" t="s">
        <v>1225</v>
      </c>
      <c r="B34" s="104" t="s">
        <v>1166</v>
      </c>
      <c r="C34" s="143"/>
      <c r="D34" s="143"/>
      <c r="E34" s="143"/>
      <c r="F34" s="143"/>
      <c r="G34" s="143">
        <v>2</v>
      </c>
      <c r="H34" s="140" t="s">
        <v>1096</v>
      </c>
      <c r="I34" s="150">
        <f t="shared" si="6"/>
        <v>9.4822968809696491E-3</v>
      </c>
      <c r="J34" s="167">
        <f>Insumos!D66</f>
        <v>0</v>
      </c>
      <c r="K34" s="151">
        <f t="shared" si="5"/>
        <v>0</v>
      </c>
    </row>
    <row r="35" spans="1:11" x14ac:dyDescent="0.25">
      <c r="A35" s="124" t="s">
        <v>1226</v>
      </c>
      <c r="B35" s="104" t="s">
        <v>1167</v>
      </c>
      <c r="C35" s="143"/>
      <c r="D35" s="143"/>
      <c r="E35" s="143"/>
      <c r="F35" s="143"/>
      <c r="G35" s="143">
        <v>2</v>
      </c>
      <c r="H35" s="140" t="s">
        <v>1168</v>
      </c>
      <c r="I35" s="150">
        <f t="shared" si="6"/>
        <v>9.4822968809696491E-3</v>
      </c>
      <c r="J35" s="167">
        <f>Insumos!D67</f>
        <v>0</v>
      </c>
      <c r="K35" s="151">
        <f t="shared" si="5"/>
        <v>0</v>
      </c>
    </row>
    <row r="36" spans="1:11" x14ac:dyDescent="0.25">
      <c r="A36" s="124" t="s">
        <v>1227</v>
      </c>
      <c r="B36" s="104" t="s">
        <v>1169</v>
      </c>
      <c r="C36" s="143"/>
      <c r="D36" s="143"/>
      <c r="E36" s="143"/>
      <c r="F36" s="143"/>
      <c r="G36" s="143">
        <v>2</v>
      </c>
      <c r="H36" s="140" t="s">
        <v>1170</v>
      </c>
      <c r="I36" s="150">
        <f t="shared" si="6"/>
        <v>9.4822968809696491E-3</v>
      </c>
      <c r="J36" s="167">
        <f>Insumos!D68</f>
        <v>0</v>
      </c>
      <c r="K36" s="151">
        <f t="shared" si="5"/>
        <v>0</v>
      </c>
    </row>
    <row r="37" spans="1:11" x14ac:dyDescent="0.25">
      <c r="A37" s="124"/>
      <c r="B37" s="159"/>
      <c r="C37" s="159"/>
      <c r="D37" s="159"/>
      <c r="E37" s="159"/>
      <c r="F37" s="159"/>
      <c r="G37" s="159"/>
      <c r="H37" s="159"/>
      <c r="I37" s="152"/>
      <c r="J37" s="160" t="s">
        <v>1064</v>
      </c>
      <c r="K37" s="182">
        <f>SUM(K26:K36)</f>
        <v>0</v>
      </c>
    </row>
    <row r="38" spans="1:11" x14ac:dyDescent="0.25">
      <c r="A38" s="146" t="s">
        <v>1830</v>
      </c>
      <c r="B38" s="179" t="s">
        <v>1176</v>
      </c>
      <c r="C38" s="148"/>
      <c r="D38" s="148"/>
      <c r="E38" s="148"/>
      <c r="F38" s="148"/>
      <c r="G38" s="148"/>
      <c r="H38" s="148"/>
      <c r="I38" s="448"/>
      <c r="J38" s="156"/>
      <c r="K38" s="187"/>
    </row>
    <row r="39" spans="1:11" x14ac:dyDescent="0.25">
      <c r="A39" s="611" t="s">
        <v>1196</v>
      </c>
      <c r="B39" s="612" t="s">
        <v>1067</v>
      </c>
      <c r="C39" s="613" t="s">
        <v>1197</v>
      </c>
      <c r="D39" s="614"/>
      <c r="E39" s="614"/>
      <c r="F39" s="615"/>
      <c r="G39" s="619" t="s">
        <v>14</v>
      </c>
      <c r="H39" s="610" t="s">
        <v>1068</v>
      </c>
      <c r="I39" s="608" t="s">
        <v>35</v>
      </c>
      <c r="J39" s="630" t="s">
        <v>1249</v>
      </c>
      <c r="K39" s="630" t="s">
        <v>16</v>
      </c>
    </row>
    <row r="40" spans="1:11" x14ac:dyDescent="0.25">
      <c r="A40" s="611"/>
      <c r="B40" s="612"/>
      <c r="C40" s="616"/>
      <c r="D40" s="617"/>
      <c r="E40" s="617"/>
      <c r="F40" s="618"/>
      <c r="G40" s="620"/>
      <c r="H40" s="610"/>
      <c r="I40" s="609"/>
      <c r="J40" s="630"/>
      <c r="K40" s="630"/>
    </row>
    <row r="41" spans="1:11" x14ac:dyDescent="0.25">
      <c r="A41" s="124" t="s">
        <v>1229</v>
      </c>
      <c r="B41" s="6" t="s">
        <v>1242</v>
      </c>
      <c r="C41" s="605"/>
      <c r="D41" s="606"/>
      <c r="E41" s="606"/>
      <c r="F41" s="607"/>
      <c r="G41" s="143">
        <v>8</v>
      </c>
      <c r="H41" s="140" t="s">
        <v>1140</v>
      </c>
      <c r="I41" s="150">
        <v>4</v>
      </c>
      <c r="J41" s="167">
        <f>Insumos!D75</f>
        <v>0</v>
      </c>
      <c r="K41" s="151">
        <f>TRUNC(G41*I41*J41,2)</f>
        <v>0</v>
      </c>
    </row>
    <row r="42" spans="1:11" x14ac:dyDescent="0.25">
      <c r="A42" s="152"/>
      <c r="B42" s="159"/>
      <c r="C42" s="159"/>
      <c r="D42" s="159"/>
      <c r="E42" s="159"/>
      <c r="F42" s="159"/>
      <c r="G42" s="159"/>
      <c r="H42" s="159"/>
      <c r="I42" s="152"/>
      <c r="J42" s="160" t="s">
        <v>1064</v>
      </c>
      <c r="K42" s="182">
        <f>SUM(K41)</f>
        <v>0</v>
      </c>
    </row>
    <row r="43" spans="1:11" x14ac:dyDescent="0.25">
      <c r="A43" s="146" t="s">
        <v>1831</v>
      </c>
      <c r="B43" s="179" t="s">
        <v>1178</v>
      </c>
      <c r="C43" s="148"/>
      <c r="D43" s="148"/>
      <c r="E43" s="148"/>
      <c r="F43" s="148"/>
      <c r="G43" s="148"/>
      <c r="H43" s="148"/>
      <c r="I43" s="448"/>
      <c r="J43" s="156"/>
      <c r="K43" s="187"/>
    </row>
    <row r="44" spans="1:11" x14ac:dyDescent="0.25">
      <c r="A44" s="611" t="s">
        <v>1196</v>
      </c>
      <c r="B44" s="612" t="s">
        <v>1067</v>
      </c>
      <c r="C44" s="613" t="s">
        <v>1197</v>
      </c>
      <c r="D44" s="614"/>
      <c r="E44" s="614"/>
      <c r="F44" s="615"/>
      <c r="G44" s="619" t="s">
        <v>14</v>
      </c>
      <c r="H44" s="610" t="s">
        <v>1068</v>
      </c>
      <c r="I44" s="608" t="s">
        <v>35</v>
      </c>
      <c r="J44" s="630" t="s">
        <v>1249</v>
      </c>
      <c r="K44" s="630" t="s">
        <v>16</v>
      </c>
    </row>
    <row r="45" spans="1:11" x14ac:dyDescent="0.25">
      <c r="A45" s="611"/>
      <c r="B45" s="612"/>
      <c r="C45" s="616"/>
      <c r="D45" s="617"/>
      <c r="E45" s="617"/>
      <c r="F45" s="618"/>
      <c r="G45" s="620"/>
      <c r="H45" s="610"/>
      <c r="I45" s="609"/>
      <c r="J45" s="630"/>
      <c r="K45" s="630"/>
    </row>
    <row r="46" spans="1:11" x14ac:dyDescent="0.25">
      <c r="A46" s="124" t="s">
        <v>1231</v>
      </c>
      <c r="B46" s="6" t="s">
        <v>42</v>
      </c>
      <c r="C46" s="605"/>
      <c r="D46" s="606"/>
      <c r="E46" s="606"/>
      <c r="F46" s="607"/>
      <c r="G46" s="143">
        <v>8</v>
      </c>
      <c r="H46" s="140" t="s">
        <v>1140</v>
      </c>
      <c r="I46" s="150">
        <v>4</v>
      </c>
      <c r="J46" s="167">
        <f>Insumos!D78</f>
        <v>0</v>
      </c>
      <c r="K46" s="151">
        <f>TRUNC(G46*I46*J46,2)</f>
        <v>0</v>
      </c>
    </row>
    <row r="47" spans="1:11" x14ac:dyDescent="0.25">
      <c r="A47" s="152"/>
      <c r="B47" s="159"/>
      <c r="C47" s="159"/>
      <c r="D47" s="159"/>
      <c r="E47" s="159"/>
      <c r="F47" s="159"/>
      <c r="G47" s="159"/>
      <c r="H47" s="159"/>
      <c r="I47" s="152"/>
      <c r="J47" s="160" t="s">
        <v>1064</v>
      </c>
      <c r="K47" s="182">
        <f>K46</f>
        <v>0</v>
      </c>
    </row>
    <row r="48" spans="1:11" x14ac:dyDescent="0.25">
      <c r="A48" s="146" t="s">
        <v>1832</v>
      </c>
      <c r="B48" s="179" t="s">
        <v>1180</v>
      </c>
      <c r="C48" s="148"/>
      <c r="D48" s="148"/>
      <c r="E48" s="148"/>
      <c r="F48" s="148"/>
      <c r="G48" s="148"/>
      <c r="H48" s="148"/>
      <c r="I48" s="448"/>
      <c r="J48" s="156"/>
      <c r="K48" s="187"/>
    </row>
    <row r="49" spans="1:11" x14ac:dyDescent="0.25">
      <c r="A49" s="611" t="s">
        <v>1196</v>
      </c>
      <c r="B49" s="612" t="s">
        <v>1067</v>
      </c>
      <c r="C49" s="613" t="s">
        <v>1197</v>
      </c>
      <c r="D49" s="614"/>
      <c r="E49" s="614"/>
      <c r="F49" s="615"/>
      <c r="G49" s="619" t="s">
        <v>14</v>
      </c>
      <c r="H49" s="610" t="s">
        <v>1068</v>
      </c>
      <c r="I49" s="608" t="s">
        <v>35</v>
      </c>
      <c r="J49" s="630" t="s">
        <v>1249</v>
      </c>
      <c r="K49" s="630" t="s">
        <v>16</v>
      </c>
    </row>
    <row r="50" spans="1:11" x14ac:dyDescent="0.25">
      <c r="A50" s="611"/>
      <c r="B50" s="612"/>
      <c r="C50" s="616"/>
      <c r="D50" s="617"/>
      <c r="E50" s="617"/>
      <c r="F50" s="618"/>
      <c r="G50" s="620"/>
      <c r="H50" s="610"/>
      <c r="I50" s="609"/>
      <c r="J50" s="630"/>
      <c r="K50" s="630"/>
    </row>
    <row r="51" spans="1:11" x14ac:dyDescent="0.25">
      <c r="A51" s="124" t="s">
        <v>1232</v>
      </c>
      <c r="B51" s="6" t="s">
        <v>1181</v>
      </c>
      <c r="C51" s="605"/>
      <c r="D51" s="606"/>
      <c r="E51" s="606"/>
      <c r="F51" s="607"/>
      <c r="G51" s="143">
        <v>5</v>
      </c>
      <c r="H51" s="140" t="s">
        <v>1140</v>
      </c>
      <c r="I51" s="150">
        <f>G51/SUM($G$51:$G$53)</f>
        <v>0.33333333333333331</v>
      </c>
      <c r="J51" s="167">
        <f>Insumos!D81</f>
        <v>0</v>
      </c>
      <c r="K51" s="151">
        <f>TRUNC(G51*I51*J51,2)</f>
        <v>0</v>
      </c>
    </row>
    <row r="52" spans="1:11" x14ac:dyDescent="0.25">
      <c r="A52" s="124" t="s">
        <v>1233</v>
      </c>
      <c r="B52" s="6" t="s">
        <v>1182</v>
      </c>
      <c r="C52" s="605"/>
      <c r="D52" s="606"/>
      <c r="E52" s="606"/>
      <c r="F52" s="607"/>
      <c r="G52" s="143">
        <v>5</v>
      </c>
      <c r="H52" s="140" t="s">
        <v>1140</v>
      </c>
      <c r="I52" s="150">
        <f t="shared" ref="I52:I53" si="7">G52/SUM($G$51:$G$53)</f>
        <v>0.33333333333333331</v>
      </c>
      <c r="J52" s="167">
        <f>Insumos!D82</f>
        <v>0</v>
      </c>
      <c r="K52" s="151">
        <f>TRUNC(G52*I52*J52,2)</f>
        <v>0</v>
      </c>
    </row>
    <row r="53" spans="1:11" x14ac:dyDescent="0.25">
      <c r="A53" s="124" t="s">
        <v>1234</v>
      </c>
      <c r="B53" s="6" t="s">
        <v>1183</v>
      </c>
      <c r="C53" s="605"/>
      <c r="D53" s="606"/>
      <c r="E53" s="606"/>
      <c r="F53" s="607"/>
      <c r="G53" s="143">
        <v>5</v>
      </c>
      <c r="H53" s="140" t="s">
        <v>1140</v>
      </c>
      <c r="I53" s="150">
        <f t="shared" si="7"/>
        <v>0.33333333333333331</v>
      </c>
      <c r="J53" s="167">
        <f>Insumos!D83</f>
        <v>0</v>
      </c>
      <c r="K53" s="151">
        <f>TRUNC(G53*I53*J53,2)</f>
        <v>0</v>
      </c>
    </row>
    <row r="54" spans="1:11" x14ac:dyDescent="0.25">
      <c r="A54" s="152"/>
      <c r="B54" s="159"/>
      <c r="C54" s="159"/>
      <c r="D54" s="159"/>
      <c r="E54" s="159"/>
      <c r="F54" s="159"/>
      <c r="G54" s="159"/>
      <c r="H54" s="159"/>
      <c r="I54" s="152"/>
      <c r="J54" s="170" t="s">
        <v>1064</v>
      </c>
      <c r="K54" s="175">
        <f>SUM(K51:K53)</f>
        <v>0</v>
      </c>
    </row>
    <row r="473" spans="2:9" x14ac:dyDescent="0.25">
      <c r="B473" s="298"/>
      <c r="C473" s="299"/>
      <c r="D473" s="299"/>
      <c r="E473" s="299"/>
      <c r="F473" s="299"/>
      <c r="G473" s="299"/>
      <c r="H473" s="299"/>
      <c r="I473" s="449"/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4:J15"/>
    <mergeCell ref="K14:K15"/>
    <mergeCell ref="A24:A25"/>
    <mergeCell ref="B24:B25"/>
    <mergeCell ref="C24:F25"/>
    <mergeCell ref="G24:G25"/>
    <mergeCell ref="H24:H25"/>
    <mergeCell ref="I24:I25"/>
    <mergeCell ref="J24:J25"/>
    <mergeCell ref="K24:K25"/>
    <mergeCell ref="A14:A15"/>
    <mergeCell ref="B14:B15"/>
    <mergeCell ref="C14:F14"/>
    <mergeCell ref="G14:G15"/>
    <mergeCell ref="H14:H15"/>
    <mergeCell ref="I14:I15"/>
    <mergeCell ref="J39:J40"/>
    <mergeCell ref="K39:K40"/>
    <mergeCell ref="C41:F41"/>
    <mergeCell ref="A44:A45"/>
    <mergeCell ref="B44:B45"/>
    <mergeCell ref="C44:F45"/>
    <mergeCell ref="G44:G45"/>
    <mergeCell ref="H44:H45"/>
    <mergeCell ref="I44:I45"/>
    <mergeCell ref="J44:J45"/>
    <mergeCell ref="A39:A40"/>
    <mergeCell ref="B39:B40"/>
    <mergeCell ref="C39:F40"/>
    <mergeCell ref="G39:G40"/>
    <mergeCell ref="H39:H40"/>
    <mergeCell ref="I39:I40"/>
    <mergeCell ref="A49:A50"/>
    <mergeCell ref="B49:B50"/>
    <mergeCell ref="C49:F50"/>
    <mergeCell ref="G49:G50"/>
    <mergeCell ref="H49:H50"/>
    <mergeCell ref="C51:F51"/>
    <mergeCell ref="C52:F52"/>
    <mergeCell ref="C53:F53"/>
    <mergeCell ref="K44:K45"/>
    <mergeCell ref="C46:F46"/>
    <mergeCell ref="I49:I50"/>
    <mergeCell ref="J49:J50"/>
    <mergeCell ref="K49:K50"/>
  </mergeCells>
  <pageMargins left="0.511811024" right="0.511811024" top="0.78740157499999996" bottom="0.78740157499999996" header="0.31496062000000002" footer="0.31496062000000002"/>
  <pageSetup paperSize="9" scale="50" fitToHeight="0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F8" sqref="F8"/>
    </sheetView>
  </sheetViews>
  <sheetFormatPr defaultRowHeight="15" x14ac:dyDescent="0.25"/>
  <cols>
    <col min="1" max="1" width="11.85546875" customWidth="1"/>
    <col min="2" max="2" width="67" customWidth="1"/>
    <col min="3" max="4" width="8.42578125" customWidth="1"/>
    <col min="5" max="5" width="7.7109375" customWidth="1"/>
    <col min="6" max="7" width="10.85546875" customWidth="1"/>
    <col min="8" max="8" width="10.7109375" customWidth="1"/>
    <col min="9" max="9" width="8" customWidth="1"/>
    <col min="10" max="10" width="14.42578125" customWidth="1"/>
    <col min="11" max="11" width="15.28515625" customWidth="1"/>
  </cols>
  <sheetData>
    <row r="1" spans="1:11" ht="18.75" x14ac:dyDescent="0.25">
      <c r="A1" s="628" t="s">
        <v>1194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15.75" x14ac:dyDescent="0.25">
      <c r="A2" s="145" t="s">
        <v>119</v>
      </c>
      <c r="B2" s="184" t="s">
        <v>1279</v>
      </c>
      <c r="C2" s="185"/>
      <c r="D2" s="185"/>
      <c r="E2" s="185"/>
      <c r="F2" s="185"/>
      <c r="G2" s="185"/>
      <c r="H2" s="185"/>
      <c r="I2" s="185"/>
      <c r="J2" s="185"/>
      <c r="K2" s="186"/>
    </row>
    <row r="3" spans="1:11" x14ac:dyDescent="0.25">
      <c r="A3" s="146" t="s">
        <v>120</v>
      </c>
      <c r="B3" s="621" t="s">
        <v>1195</v>
      </c>
      <c r="C3" s="621"/>
      <c r="D3" s="621"/>
      <c r="E3" s="621"/>
      <c r="F3" s="621"/>
      <c r="G3" s="621"/>
      <c r="H3" s="621"/>
      <c r="I3" s="147"/>
      <c r="J3" s="148"/>
      <c r="K3" s="188"/>
    </row>
    <row r="4" spans="1:11" x14ac:dyDescent="0.25">
      <c r="A4" s="611" t="s">
        <v>1196</v>
      </c>
      <c r="B4" s="612" t="s">
        <v>1067</v>
      </c>
      <c r="C4" s="611" t="s">
        <v>1197</v>
      </c>
      <c r="D4" s="611"/>
      <c r="E4" s="611"/>
      <c r="F4" s="611"/>
      <c r="G4" s="619" t="s">
        <v>14</v>
      </c>
      <c r="H4" s="610" t="s">
        <v>1068</v>
      </c>
      <c r="I4" s="608" t="s">
        <v>35</v>
      </c>
      <c r="J4" s="610" t="s">
        <v>1069</v>
      </c>
      <c r="K4" s="610" t="s">
        <v>16</v>
      </c>
    </row>
    <row r="5" spans="1:11" x14ac:dyDescent="0.25">
      <c r="A5" s="611"/>
      <c r="B5" s="612"/>
      <c r="C5" s="149" t="s">
        <v>1198</v>
      </c>
      <c r="D5" s="149" t="s">
        <v>1199</v>
      </c>
      <c r="E5" s="149" t="s">
        <v>1200</v>
      </c>
      <c r="F5" s="149" t="s">
        <v>1201</v>
      </c>
      <c r="G5" s="620"/>
      <c r="H5" s="610"/>
      <c r="I5" s="609"/>
      <c r="J5" s="610"/>
      <c r="K5" s="610"/>
    </row>
    <row r="6" spans="1:11" x14ac:dyDescent="0.25">
      <c r="A6" s="124" t="s">
        <v>1202</v>
      </c>
      <c r="B6" s="104" t="str">
        <f>[2]INSUMOS!A23</f>
        <v>Locação Estrutura Metálica - PÓRTICOS (base 0,30x2,30m)</v>
      </c>
      <c r="C6" s="143">
        <v>2.6</v>
      </c>
      <c r="D6" s="143">
        <v>10.9</v>
      </c>
      <c r="E6" s="143">
        <v>2.2999999999999998</v>
      </c>
      <c r="F6" s="143">
        <f>C6*D6*E6</f>
        <v>65.182000000000002</v>
      </c>
      <c r="G6" s="143">
        <f>F6</f>
        <v>65.182000000000002</v>
      </c>
      <c r="H6" s="140" t="s">
        <v>1076</v>
      </c>
      <c r="I6" s="183">
        <v>6.6967040000000005E-2</v>
      </c>
      <c r="J6" s="167">
        <f>Insumos!D22</f>
        <v>0</v>
      </c>
      <c r="K6" s="199">
        <f>TRUNC(F6*G6*I6*J6,2)</f>
        <v>0</v>
      </c>
    </row>
    <row r="7" spans="1:11" x14ac:dyDescent="0.25">
      <c r="A7" s="124" t="s">
        <v>1203</v>
      </c>
      <c r="B7" s="104" t="s">
        <v>1128</v>
      </c>
      <c r="C7" s="143">
        <v>2.6</v>
      </c>
      <c r="D7" s="143">
        <v>10.9</v>
      </c>
      <c r="E7" s="143">
        <v>2.2999999999999998</v>
      </c>
      <c r="F7" s="143">
        <f>D7*C7</f>
        <v>28.340000000000003</v>
      </c>
      <c r="G7" s="143">
        <f>D7*C7</f>
        <v>28.340000000000003</v>
      </c>
      <c r="H7" s="140" t="s">
        <v>1076</v>
      </c>
      <c r="I7" s="183">
        <v>6.6967029999999997E-2</v>
      </c>
      <c r="J7" s="167">
        <f>Insumos!D29</f>
        <v>0</v>
      </c>
      <c r="K7" s="199">
        <f>TRUNC(G7*I7*J7,2)</f>
        <v>0</v>
      </c>
    </row>
    <row r="8" spans="1:11" x14ac:dyDescent="0.25">
      <c r="A8" s="152"/>
      <c r="B8" s="159"/>
      <c r="C8" s="154"/>
      <c r="D8" s="154"/>
      <c r="E8" s="154"/>
      <c r="F8" s="154"/>
      <c r="G8" s="154"/>
      <c r="H8" s="154"/>
      <c r="I8" s="154"/>
      <c r="J8" s="155" t="s">
        <v>1064</v>
      </c>
      <c r="K8" s="200">
        <f>SUM(K6:K7)</f>
        <v>0</v>
      </c>
    </row>
    <row r="9" spans="1:11" x14ac:dyDescent="0.25">
      <c r="A9" s="146" t="s">
        <v>121</v>
      </c>
      <c r="B9" s="179" t="s">
        <v>1219</v>
      </c>
      <c r="C9" s="148"/>
      <c r="D9" s="148"/>
      <c r="E9" s="148"/>
      <c r="F9" s="148"/>
      <c r="G9" s="148"/>
      <c r="H9" s="148"/>
      <c r="I9" s="148"/>
      <c r="J9" s="156"/>
      <c r="K9" s="187"/>
    </row>
    <row r="10" spans="1:11" x14ac:dyDescent="0.25">
      <c r="A10" s="611" t="s">
        <v>1196</v>
      </c>
      <c r="B10" s="612" t="s">
        <v>1067</v>
      </c>
      <c r="C10" s="611" t="s">
        <v>1197</v>
      </c>
      <c r="D10" s="611"/>
      <c r="E10" s="611"/>
      <c r="F10" s="611"/>
      <c r="G10" s="619" t="s">
        <v>14</v>
      </c>
      <c r="H10" s="610" t="s">
        <v>1068</v>
      </c>
      <c r="I10" s="608" t="s">
        <v>35</v>
      </c>
      <c r="J10" s="630" t="s">
        <v>1069</v>
      </c>
      <c r="K10" s="630" t="s">
        <v>16</v>
      </c>
    </row>
    <row r="11" spans="1:11" x14ac:dyDescent="0.25">
      <c r="A11" s="611"/>
      <c r="B11" s="612"/>
      <c r="C11" s="161"/>
      <c r="D11" s="161"/>
      <c r="E11" s="161"/>
      <c r="F11" s="161"/>
      <c r="G11" s="620"/>
      <c r="H11" s="610"/>
      <c r="I11" s="609"/>
      <c r="J11" s="630"/>
      <c r="K11" s="630"/>
    </row>
    <row r="12" spans="1:11" x14ac:dyDescent="0.25">
      <c r="A12" s="124" t="s">
        <v>1204</v>
      </c>
      <c r="B12" s="6" t="s">
        <v>1147</v>
      </c>
      <c r="C12" s="143"/>
      <c r="D12" s="143"/>
      <c r="E12" s="143"/>
      <c r="F12" s="143"/>
      <c r="G12" s="143">
        <v>1</v>
      </c>
      <c r="H12" s="140" t="s">
        <v>1140</v>
      </c>
      <c r="I12" s="150">
        <v>1</v>
      </c>
      <c r="J12" s="167">
        <f>Insumos!D49</f>
        <v>0</v>
      </c>
      <c r="K12" s="199">
        <f t="shared" ref="K12:K17" si="0">TRUNC(G12*I12*J12,2)</f>
        <v>0</v>
      </c>
    </row>
    <row r="13" spans="1:11" x14ac:dyDescent="0.25">
      <c r="A13" s="124" t="s">
        <v>1205</v>
      </c>
      <c r="B13" s="6" t="s">
        <v>1148</v>
      </c>
      <c r="C13" s="143"/>
      <c r="D13" s="143"/>
      <c r="E13" s="143"/>
      <c r="F13" s="143"/>
      <c r="G13" s="143">
        <v>1</v>
      </c>
      <c r="H13" s="140" t="s">
        <v>1140</v>
      </c>
      <c r="I13" s="150">
        <v>0.5</v>
      </c>
      <c r="J13" s="167">
        <f>Insumos!D50</f>
        <v>0</v>
      </c>
      <c r="K13" s="199">
        <f t="shared" si="0"/>
        <v>0</v>
      </c>
    </row>
    <row r="14" spans="1:11" x14ac:dyDescent="0.25">
      <c r="A14" s="124" t="s">
        <v>1206</v>
      </c>
      <c r="B14" s="6" t="s">
        <v>1149</v>
      </c>
      <c r="C14" s="143"/>
      <c r="D14" s="143"/>
      <c r="E14" s="143"/>
      <c r="F14" s="143"/>
      <c r="G14" s="143">
        <v>1</v>
      </c>
      <c r="H14" s="140" t="s">
        <v>1140</v>
      </c>
      <c r="I14" s="150">
        <v>0.5</v>
      </c>
      <c r="J14" s="167">
        <f>Insumos!D51</f>
        <v>0</v>
      </c>
      <c r="K14" s="199">
        <f t="shared" si="0"/>
        <v>0</v>
      </c>
    </row>
    <row r="15" spans="1:11" x14ac:dyDescent="0.25">
      <c r="A15" s="124" t="s">
        <v>1207</v>
      </c>
      <c r="B15" s="6" t="s">
        <v>1150</v>
      </c>
      <c r="C15" s="143"/>
      <c r="D15" s="143"/>
      <c r="E15" s="143"/>
      <c r="F15" s="143"/>
      <c r="G15" s="143">
        <v>4</v>
      </c>
      <c r="H15" s="140" t="s">
        <v>1151</v>
      </c>
      <c r="I15" s="150">
        <v>0.5</v>
      </c>
      <c r="J15" s="167">
        <f>Insumos!D52</f>
        <v>0</v>
      </c>
      <c r="K15" s="199">
        <f t="shared" si="0"/>
        <v>0</v>
      </c>
    </row>
    <row r="16" spans="1:11" x14ac:dyDescent="0.25">
      <c r="A16" s="124" t="s">
        <v>1208</v>
      </c>
      <c r="B16" s="6" t="s">
        <v>1152</v>
      </c>
      <c r="C16" s="143"/>
      <c r="D16" s="143"/>
      <c r="E16" s="143"/>
      <c r="F16" s="143"/>
      <c r="G16" s="143">
        <v>1</v>
      </c>
      <c r="H16" s="140" t="s">
        <v>1124</v>
      </c>
      <c r="I16" s="150">
        <v>0.5</v>
      </c>
      <c r="J16" s="167">
        <f>Insumos!D53</f>
        <v>0</v>
      </c>
      <c r="K16" s="199">
        <f t="shared" si="0"/>
        <v>0</v>
      </c>
    </row>
    <row r="17" spans="1:11" x14ac:dyDescent="0.25">
      <c r="A17" s="124" t="s">
        <v>1209</v>
      </c>
      <c r="B17" s="6" t="s">
        <v>1248</v>
      </c>
      <c r="C17" s="143"/>
      <c r="D17" s="143"/>
      <c r="E17" s="143"/>
      <c r="F17" s="143"/>
      <c r="G17" s="143">
        <v>2</v>
      </c>
      <c r="H17" s="140" t="s">
        <v>1154</v>
      </c>
      <c r="I17" s="150">
        <v>0.25</v>
      </c>
      <c r="J17" s="167">
        <f>Insumos!D54</f>
        <v>0</v>
      </c>
      <c r="K17" s="199">
        <f t="shared" si="0"/>
        <v>0</v>
      </c>
    </row>
    <row r="18" spans="1:11" x14ac:dyDescent="0.25">
      <c r="A18" s="152"/>
      <c r="B18" s="159"/>
      <c r="C18" s="154"/>
      <c r="D18" s="154"/>
      <c r="E18" s="154"/>
      <c r="F18" s="154"/>
      <c r="G18" s="154"/>
      <c r="H18" s="157"/>
      <c r="I18" s="157"/>
      <c r="J18" s="158" t="s">
        <v>1064</v>
      </c>
      <c r="K18" s="203">
        <f>SUM(K12:K17)</f>
        <v>0</v>
      </c>
    </row>
    <row r="19" spans="1:11" x14ac:dyDescent="0.25">
      <c r="A19" s="146" t="s">
        <v>122</v>
      </c>
      <c r="B19" s="179" t="s">
        <v>1155</v>
      </c>
      <c r="C19" s="148"/>
      <c r="D19" s="148"/>
      <c r="E19" s="148"/>
      <c r="F19" s="148"/>
      <c r="G19" s="148"/>
      <c r="H19" s="148"/>
      <c r="I19" s="148"/>
      <c r="J19" s="156"/>
      <c r="K19" s="187"/>
    </row>
    <row r="20" spans="1:11" x14ac:dyDescent="0.25">
      <c r="A20" s="611"/>
      <c r="B20" s="612" t="s">
        <v>1067</v>
      </c>
      <c r="C20" s="613" t="s">
        <v>1197</v>
      </c>
      <c r="D20" s="614"/>
      <c r="E20" s="614"/>
      <c r="F20" s="615"/>
      <c r="G20" s="619" t="s">
        <v>14</v>
      </c>
      <c r="H20" s="610" t="s">
        <v>1068</v>
      </c>
      <c r="I20" s="608" t="s">
        <v>35</v>
      </c>
      <c r="J20" s="630" t="s">
        <v>1249</v>
      </c>
      <c r="K20" s="630" t="s">
        <v>16</v>
      </c>
    </row>
    <row r="21" spans="1:11" x14ac:dyDescent="0.25">
      <c r="A21" s="611"/>
      <c r="B21" s="612"/>
      <c r="C21" s="616"/>
      <c r="D21" s="617"/>
      <c r="E21" s="617"/>
      <c r="F21" s="618"/>
      <c r="G21" s="620"/>
      <c r="H21" s="610"/>
      <c r="I21" s="609"/>
      <c r="J21" s="630"/>
      <c r="K21" s="630"/>
    </row>
    <row r="22" spans="1:11" x14ac:dyDescent="0.25">
      <c r="A22" s="124" t="s">
        <v>1210</v>
      </c>
      <c r="B22" s="104" t="s">
        <v>1156</v>
      </c>
      <c r="C22" s="143"/>
      <c r="D22" s="143"/>
      <c r="E22" s="143"/>
      <c r="F22" s="143"/>
      <c r="G22" s="143">
        <v>11.40685</v>
      </c>
      <c r="H22" s="140" t="s">
        <v>1228</v>
      </c>
      <c r="I22" s="150">
        <v>0.25</v>
      </c>
      <c r="J22" s="167">
        <f>Insumos!D58</f>
        <v>0</v>
      </c>
      <c r="K22" s="199">
        <f>TRUNC(G22*I22*J22,2)</f>
        <v>0</v>
      </c>
    </row>
    <row r="23" spans="1:11" x14ac:dyDescent="0.25">
      <c r="A23" s="124" t="s">
        <v>1211</v>
      </c>
      <c r="B23" s="6" t="s">
        <v>1166</v>
      </c>
      <c r="C23" s="143"/>
      <c r="D23" s="143"/>
      <c r="E23" s="143"/>
      <c r="F23" s="143"/>
      <c r="G23" s="143">
        <v>5.7034250000000002</v>
      </c>
      <c r="H23" s="140" t="s">
        <v>1096</v>
      </c>
      <c r="I23" s="150">
        <v>1</v>
      </c>
      <c r="J23" s="167">
        <f>Insumos!D66</f>
        <v>0</v>
      </c>
      <c r="K23" s="199">
        <f>TRUNC(G23*I23*J23,2)</f>
        <v>0</v>
      </c>
    </row>
    <row r="24" spans="1:11" x14ac:dyDescent="0.25">
      <c r="A24" s="124" t="s">
        <v>1212</v>
      </c>
      <c r="B24" s="6" t="s">
        <v>1167</v>
      </c>
      <c r="C24" s="143"/>
      <c r="D24" s="143"/>
      <c r="E24" s="143"/>
      <c r="F24" s="143"/>
      <c r="G24" s="143">
        <v>4.3749999999999997E-2</v>
      </c>
      <c r="H24" s="140" t="s">
        <v>1168</v>
      </c>
      <c r="I24" s="150">
        <v>1.25</v>
      </c>
      <c r="J24" s="167">
        <f>Insumos!D67</f>
        <v>0</v>
      </c>
      <c r="K24" s="199">
        <f>TRUNC(G24*I24*J24,2)</f>
        <v>0</v>
      </c>
    </row>
    <row r="25" spans="1:11" x14ac:dyDescent="0.25">
      <c r="A25" s="124" t="s">
        <v>1213</v>
      </c>
      <c r="B25" s="6" t="s">
        <v>1270</v>
      </c>
      <c r="C25" s="143"/>
      <c r="D25" s="143"/>
      <c r="E25" s="143"/>
      <c r="F25" s="143"/>
      <c r="G25" s="143">
        <v>4.6666666666666669E-2</v>
      </c>
      <c r="H25" s="140" t="s">
        <v>1170</v>
      </c>
      <c r="I25" s="150">
        <v>1.25</v>
      </c>
      <c r="J25" s="167">
        <f>Insumos!D68</f>
        <v>0</v>
      </c>
      <c r="K25" s="199">
        <f>TRUNC(G25*I25*J25,2)</f>
        <v>0</v>
      </c>
    </row>
    <row r="26" spans="1:11" x14ac:dyDescent="0.25">
      <c r="A26" s="152"/>
      <c r="B26" s="159"/>
      <c r="C26" s="159"/>
      <c r="D26" s="159"/>
      <c r="E26" s="159"/>
      <c r="F26" s="159"/>
      <c r="G26" s="159"/>
      <c r="H26" s="159"/>
      <c r="I26" s="159"/>
      <c r="J26" s="160" t="s">
        <v>1064</v>
      </c>
      <c r="K26" s="205">
        <f>SUM(K22:K25)</f>
        <v>0</v>
      </c>
    </row>
    <row r="27" spans="1:11" x14ac:dyDescent="0.25">
      <c r="A27" s="146" t="s">
        <v>123</v>
      </c>
      <c r="B27" s="179" t="s">
        <v>1176</v>
      </c>
      <c r="C27" s="148"/>
      <c r="D27" s="148"/>
      <c r="E27" s="148"/>
      <c r="F27" s="148"/>
      <c r="G27" s="148"/>
      <c r="H27" s="148"/>
      <c r="I27" s="148"/>
      <c r="J27" s="156"/>
      <c r="K27" s="187"/>
    </row>
    <row r="28" spans="1:11" x14ac:dyDescent="0.25">
      <c r="A28" s="611" t="s">
        <v>1196</v>
      </c>
      <c r="B28" s="612" t="s">
        <v>1067</v>
      </c>
      <c r="C28" s="613" t="s">
        <v>1197</v>
      </c>
      <c r="D28" s="614"/>
      <c r="E28" s="614"/>
      <c r="F28" s="615"/>
      <c r="G28" s="619" t="s">
        <v>14</v>
      </c>
      <c r="H28" s="610" t="s">
        <v>1068</v>
      </c>
      <c r="I28" s="608" t="s">
        <v>35</v>
      </c>
      <c r="J28" s="630" t="s">
        <v>1249</v>
      </c>
      <c r="K28" s="630" t="s">
        <v>16</v>
      </c>
    </row>
    <row r="29" spans="1:11" x14ac:dyDescent="0.25">
      <c r="A29" s="611"/>
      <c r="B29" s="612"/>
      <c r="C29" s="616"/>
      <c r="D29" s="617"/>
      <c r="E29" s="617"/>
      <c r="F29" s="618"/>
      <c r="G29" s="620"/>
      <c r="H29" s="610"/>
      <c r="I29" s="609"/>
      <c r="J29" s="630"/>
      <c r="K29" s="630"/>
    </row>
    <row r="30" spans="1:11" x14ac:dyDescent="0.25">
      <c r="A30" s="124" t="s">
        <v>1214</v>
      </c>
      <c r="B30" s="6" t="s">
        <v>1242</v>
      </c>
      <c r="C30" s="605"/>
      <c r="D30" s="606"/>
      <c r="E30" s="606"/>
      <c r="F30" s="607"/>
      <c r="G30" s="143">
        <v>1</v>
      </c>
      <c r="H30" s="140" t="s">
        <v>1140</v>
      </c>
      <c r="I30" s="150">
        <v>4</v>
      </c>
      <c r="J30" s="167">
        <f>Insumos!D75</f>
        <v>0</v>
      </c>
      <c r="K30" s="199">
        <f>TRUNC(G30*I30*J30,2)</f>
        <v>0</v>
      </c>
    </row>
    <row r="31" spans="1:11" x14ac:dyDescent="0.25">
      <c r="A31" s="152"/>
      <c r="B31" s="159"/>
      <c r="C31" s="159"/>
      <c r="D31" s="159"/>
      <c r="E31" s="159"/>
      <c r="F31" s="159"/>
      <c r="G31" s="159"/>
      <c r="H31" s="159"/>
      <c r="I31" s="159"/>
      <c r="J31" s="160" t="s">
        <v>1064</v>
      </c>
      <c r="K31" s="205">
        <f>SUM(K30)</f>
        <v>0</v>
      </c>
    </row>
    <row r="32" spans="1:11" x14ac:dyDescent="0.25">
      <c r="A32" s="146" t="s">
        <v>124</v>
      </c>
      <c r="B32" s="179" t="s">
        <v>1178</v>
      </c>
      <c r="C32" s="148"/>
      <c r="D32" s="148"/>
      <c r="E32" s="148"/>
      <c r="F32" s="148"/>
      <c r="G32" s="148"/>
      <c r="H32" s="148"/>
      <c r="I32" s="148"/>
      <c r="J32" s="156"/>
      <c r="K32" s="187"/>
    </row>
    <row r="33" spans="1:11" x14ac:dyDescent="0.25">
      <c r="A33" s="611" t="s">
        <v>1196</v>
      </c>
      <c r="B33" s="612" t="s">
        <v>1067</v>
      </c>
      <c r="C33" s="613" t="s">
        <v>1197</v>
      </c>
      <c r="D33" s="614"/>
      <c r="E33" s="614"/>
      <c r="F33" s="615"/>
      <c r="G33" s="619" t="s">
        <v>14</v>
      </c>
      <c r="H33" s="610" t="s">
        <v>1068</v>
      </c>
      <c r="I33" s="608" t="s">
        <v>35</v>
      </c>
      <c r="J33" s="630" t="s">
        <v>1249</v>
      </c>
      <c r="K33" s="630" t="s">
        <v>16</v>
      </c>
    </row>
    <row r="34" spans="1:11" x14ac:dyDescent="0.25">
      <c r="A34" s="611"/>
      <c r="B34" s="612"/>
      <c r="C34" s="616"/>
      <c r="D34" s="617"/>
      <c r="E34" s="617"/>
      <c r="F34" s="618"/>
      <c r="G34" s="620"/>
      <c r="H34" s="610"/>
      <c r="I34" s="609"/>
      <c r="J34" s="630"/>
      <c r="K34" s="630"/>
    </row>
    <row r="35" spans="1:11" x14ac:dyDescent="0.25">
      <c r="A35" s="124" t="s">
        <v>1215</v>
      </c>
      <c r="B35" s="104" t="s">
        <v>1179</v>
      </c>
      <c r="C35" s="605"/>
      <c r="D35" s="606"/>
      <c r="E35" s="606"/>
      <c r="F35" s="607"/>
      <c r="G35" s="143">
        <v>1</v>
      </c>
      <c r="H35" s="140" t="s">
        <v>1140</v>
      </c>
      <c r="I35" s="150">
        <v>2</v>
      </c>
      <c r="J35" s="167">
        <f>Insumos!D78</f>
        <v>0</v>
      </c>
      <c r="K35" s="199">
        <f>TRUNC(G35*I35*J35,2)</f>
        <v>0</v>
      </c>
    </row>
    <row r="36" spans="1:11" x14ac:dyDescent="0.25">
      <c r="A36" s="152"/>
      <c r="B36" s="159"/>
      <c r="C36" s="159"/>
      <c r="D36" s="159"/>
      <c r="E36" s="159"/>
      <c r="F36" s="159"/>
      <c r="G36" s="159"/>
      <c r="H36" s="159"/>
      <c r="I36" s="159"/>
      <c r="J36" s="160" t="s">
        <v>1064</v>
      </c>
      <c r="K36" s="205">
        <f>K35</f>
        <v>0</v>
      </c>
    </row>
    <row r="37" spans="1:11" x14ac:dyDescent="0.25">
      <c r="A37" s="146" t="s">
        <v>125</v>
      </c>
      <c r="B37" s="179" t="s">
        <v>1180</v>
      </c>
      <c r="C37" s="148"/>
      <c r="D37" s="148"/>
      <c r="E37" s="148"/>
      <c r="F37" s="148"/>
      <c r="G37" s="148"/>
      <c r="H37" s="148"/>
      <c r="I37" s="148"/>
      <c r="J37" s="156"/>
      <c r="K37" s="187"/>
    </row>
    <row r="38" spans="1:11" x14ac:dyDescent="0.25">
      <c r="A38" s="611" t="s">
        <v>1196</v>
      </c>
      <c r="B38" s="612" t="s">
        <v>1067</v>
      </c>
      <c r="C38" s="613" t="s">
        <v>1197</v>
      </c>
      <c r="D38" s="614"/>
      <c r="E38" s="614"/>
      <c r="F38" s="615"/>
      <c r="G38" s="619" t="s">
        <v>14</v>
      </c>
      <c r="H38" s="610" t="s">
        <v>1068</v>
      </c>
      <c r="I38" s="608" t="s">
        <v>35</v>
      </c>
      <c r="J38" s="630" t="s">
        <v>1249</v>
      </c>
      <c r="K38" s="630" t="s">
        <v>16</v>
      </c>
    </row>
    <row r="39" spans="1:11" x14ac:dyDescent="0.25">
      <c r="A39" s="611"/>
      <c r="B39" s="612"/>
      <c r="C39" s="616"/>
      <c r="D39" s="617"/>
      <c r="E39" s="617"/>
      <c r="F39" s="618"/>
      <c r="G39" s="620"/>
      <c r="H39" s="610"/>
      <c r="I39" s="609"/>
      <c r="J39" s="630"/>
      <c r="K39" s="630"/>
    </row>
    <row r="40" spans="1:11" x14ac:dyDescent="0.25">
      <c r="A40" s="124" t="s">
        <v>1216</v>
      </c>
      <c r="B40" s="6" t="s">
        <v>1181</v>
      </c>
      <c r="C40" s="605"/>
      <c r="D40" s="606"/>
      <c r="E40" s="606"/>
      <c r="F40" s="607"/>
      <c r="G40" s="143">
        <v>1</v>
      </c>
      <c r="H40" s="140" t="s">
        <v>1140</v>
      </c>
      <c r="I40" s="150">
        <v>0.15</v>
      </c>
      <c r="J40" s="167">
        <f>Insumos!D81</f>
        <v>0</v>
      </c>
      <c r="K40" s="199">
        <f>TRUNC(G40*I40*J40,2)</f>
        <v>0</v>
      </c>
    </row>
    <row r="41" spans="1:11" x14ac:dyDescent="0.25">
      <c r="A41" s="124" t="s">
        <v>1217</v>
      </c>
      <c r="B41" s="6" t="s">
        <v>1182</v>
      </c>
      <c r="C41" s="605"/>
      <c r="D41" s="606"/>
      <c r="E41" s="606"/>
      <c r="F41" s="607"/>
      <c r="G41" s="143">
        <v>1</v>
      </c>
      <c r="H41" s="140" t="s">
        <v>1140</v>
      </c>
      <c r="I41" s="150">
        <v>0.15</v>
      </c>
      <c r="J41" s="167">
        <f>Insumos!D82</f>
        <v>0</v>
      </c>
      <c r="K41" s="199">
        <f>TRUNC(G41*I41*J41,2)</f>
        <v>0</v>
      </c>
    </row>
    <row r="42" spans="1:11" x14ac:dyDescent="0.25">
      <c r="A42" s="124" t="s">
        <v>1220</v>
      </c>
      <c r="B42" s="6" t="s">
        <v>1183</v>
      </c>
      <c r="C42" s="605"/>
      <c r="D42" s="606"/>
      <c r="E42" s="606"/>
      <c r="F42" s="607"/>
      <c r="G42" s="143">
        <v>1</v>
      </c>
      <c r="H42" s="140" t="s">
        <v>1140</v>
      </c>
      <c r="I42" s="150">
        <v>0.15</v>
      </c>
      <c r="J42" s="167">
        <f>Insumos!D83</f>
        <v>0</v>
      </c>
      <c r="K42" s="199">
        <f>TRUNC(G42*I42*J42,2)</f>
        <v>0</v>
      </c>
    </row>
    <row r="43" spans="1:11" x14ac:dyDescent="0.25">
      <c r="A43" s="152"/>
      <c r="B43" s="159"/>
      <c r="C43" s="159"/>
      <c r="D43" s="159"/>
      <c r="E43" s="159"/>
      <c r="F43" s="159"/>
      <c r="G43" s="159"/>
      <c r="H43" s="159"/>
      <c r="I43" s="159"/>
      <c r="J43" s="160" t="s">
        <v>1064</v>
      </c>
      <c r="K43" s="205">
        <f>SUM(K40:K42)</f>
        <v>0</v>
      </c>
    </row>
  </sheetData>
  <mergeCells count="55">
    <mergeCell ref="A1:K1"/>
    <mergeCell ref="B3:H3"/>
    <mergeCell ref="A4:A5"/>
    <mergeCell ref="B4:B5"/>
    <mergeCell ref="C4:F4"/>
    <mergeCell ref="G4:G5"/>
    <mergeCell ref="H4:H5"/>
    <mergeCell ref="I4:I5"/>
    <mergeCell ref="J4:J5"/>
    <mergeCell ref="K4:K5"/>
    <mergeCell ref="J10:J11"/>
    <mergeCell ref="K10:K11"/>
    <mergeCell ref="A20:A21"/>
    <mergeCell ref="B20:B21"/>
    <mergeCell ref="C20:F21"/>
    <mergeCell ref="G20:G21"/>
    <mergeCell ref="H20:H21"/>
    <mergeCell ref="I20:I21"/>
    <mergeCell ref="J20:J21"/>
    <mergeCell ref="K20:K21"/>
    <mergeCell ref="A10:A11"/>
    <mergeCell ref="B10:B11"/>
    <mergeCell ref="C10:F10"/>
    <mergeCell ref="G10:G11"/>
    <mergeCell ref="H10:H11"/>
    <mergeCell ref="I10:I11"/>
    <mergeCell ref="J28:J29"/>
    <mergeCell ref="K28:K29"/>
    <mergeCell ref="C30:F30"/>
    <mergeCell ref="A33:A34"/>
    <mergeCell ref="B33:B34"/>
    <mergeCell ref="C33:F34"/>
    <mergeCell ref="G33:G34"/>
    <mergeCell ref="H33:H34"/>
    <mergeCell ref="I33:I34"/>
    <mergeCell ref="J33:J34"/>
    <mergeCell ref="A28:A29"/>
    <mergeCell ref="B28:B29"/>
    <mergeCell ref="C28:F29"/>
    <mergeCell ref="G28:G29"/>
    <mergeCell ref="H28:H29"/>
    <mergeCell ref="I28:I29"/>
    <mergeCell ref="A38:A39"/>
    <mergeCell ref="B38:B39"/>
    <mergeCell ref="C38:F39"/>
    <mergeCell ref="G38:G39"/>
    <mergeCell ref="H38:H39"/>
    <mergeCell ref="C40:F40"/>
    <mergeCell ref="C41:F41"/>
    <mergeCell ref="C42:F42"/>
    <mergeCell ref="K33:K34"/>
    <mergeCell ref="C35:F35"/>
    <mergeCell ref="I38:I39"/>
    <mergeCell ref="J38:J39"/>
    <mergeCell ref="K38:K3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47</vt:i4>
      </vt:variant>
      <vt:variant>
        <vt:lpstr>Intervalos nomeados</vt:lpstr>
      </vt:variant>
      <vt:variant>
        <vt:i4>9</vt:i4>
      </vt:variant>
    </vt:vector>
  </HeadingPairs>
  <TitlesOfParts>
    <vt:vector size="56" baseType="lpstr">
      <vt:lpstr>Resumo</vt:lpstr>
      <vt:lpstr>MC</vt:lpstr>
      <vt:lpstr>TESTE Anexo A (2)</vt:lpstr>
      <vt:lpstr>Anexo A</vt:lpstr>
      <vt:lpstr>Composição UNIT.</vt:lpstr>
      <vt:lpstr>Insumos</vt:lpstr>
      <vt:lpstr>BDI</vt:lpstr>
      <vt:lpstr>ESPECIF E QUANT</vt:lpstr>
      <vt:lpstr>1 Palco Grande Porte</vt:lpstr>
      <vt:lpstr>2 Camarote Institucional</vt:lpstr>
      <vt:lpstr>1.5 CAMAROTE_B</vt:lpstr>
      <vt:lpstr>3 Pav. Restaurantes</vt:lpstr>
      <vt:lpstr>4 Camarote Imprensa</vt:lpstr>
      <vt:lpstr>5 Pav. Praça Alimentação</vt:lpstr>
      <vt:lpstr>6 Palco Azulão</vt:lpstr>
      <vt:lpstr>7 Pavilhão Mestre Camarão</vt:lpstr>
      <vt:lpstr>8 Pavilhão Locomotiva</vt:lpstr>
      <vt:lpstr>9 Pav. Repente</vt:lpstr>
      <vt:lpstr>10 Estande COI</vt:lpstr>
      <vt:lpstr>11 Pav Mercado de Artesanato</vt:lpstr>
      <vt:lpstr>12 Pav Mercado Criativo</vt:lpstr>
      <vt:lpstr>13 Pav Vila Funcional</vt:lpstr>
      <vt:lpstr>14 Pav Reciclagem</vt:lpstr>
      <vt:lpstr>15 Pólo Sebastião Biano</vt:lpstr>
      <vt:lpstr>16 Pav Posto Médico</vt:lpstr>
      <vt:lpstr>19 Pórtico_I</vt:lpstr>
      <vt:lpstr>20 Pórtico_II</vt:lpstr>
      <vt:lpstr>21 Pórtico_III</vt:lpstr>
      <vt:lpstr>22 Torre Transmissão tipo I</vt:lpstr>
      <vt:lpstr>23 Torre transmissão tipo II</vt:lpstr>
      <vt:lpstr>24 Fechamentos</vt:lpstr>
      <vt:lpstr>25 Disciplinadores</vt:lpstr>
      <vt:lpstr>26 Barricadas</vt:lpstr>
      <vt:lpstr>27 Barracas_ I</vt:lpstr>
      <vt:lpstr>28 Barracas_II</vt:lpstr>
      <vt:lpstr>29 Passarela Tipo I</vt:lpstr>
      <vt:lpstr>30 Passarela Tipo II</vt:lpstr>
      <vt:lpstr>1.12.3 Passarela Tipo III</vt:lpstr>
      <vt:lpstr>1.12.4 Passarela Tipo IV</vt:lpstr>
      <vt:lpstr>31 Piso</vt:lpstr>
      <vt:lpstr>32 Toldo_I</vt:lpstr>
      <vt:lpstr>33 Toldo_II</vt:lpstr>
      <vt:lpstr>34 Estande Alto Moura</vt:lpstr>
      <vt:lpstr>35 Pavilhão Polo Alto Do Moura</vt:lpstr>
      <vt:lpstr>36 Pórtico_IV</vt:lpstr>
      <vt:lpstr>37 Pav Quadrilha</vt:lpstr>
      <vt:lpstr>1.10.3 Pórtico_III</vt:lpstr>
      <vt:lpstr>'35 Pavilhão Polo Alto Do Moura'!Area_de_impressao</vt:lpstr>
      <vt:lpstr>'37 Pav Quadrilha'!Area_de_impressao</vt:lpstr>
      <vt:lpstr>'Anexo A'!Area_de_impressao</vt:lpstr>
      <vt:lpstr>BDI!Area_de_impressao</vt:lpstr>
      <vt:lpstr>'Composição UNIT.'!Area_de_impressao</vt:lpstr>
      <vt:lpstr>'ESPECIF E QUANT'!Area_de_impressao</vt:lpstr>
      <vt:lpstr>Insumos!Area_de_impressao</vt:lpstr>
      <vt:lpstr>MC!Area_de_impressao</vt:lpstr>
      <vt:lpstr>Resumo!Area_de_impressao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Gustavo Henrique Valença</cp:lastModifiedBy>
  <cp:lastPrinted>2026-02-12T15:58:08Z</cp:lastPrinted>
  <dcterms:created xsi:type="dcterms:W3CDTF">2023-08-08T12:35:27Z</dcterms:created>
  <dcterms:modified xsi:type="dcterms:W3CDTF">2026-02-12T16:12:17Z</dcterms:modified>
</cp:coreProperties>
</file>