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dvau\OneDrive\Área de Trabalho\CITTÀ NEGÓCIOS\CLIENTES\Barra de Guabiraba\TRANSPORTE ESCOLAR 2026 2\PROJETO_ATUALIZADO\"/>
    </mc:Choice>
  </mc:AlternateContent>
  <xr:revisionPtr revIDLastSave="0" documentId="13_ncr:1_{C30CFD26-7FB7-4789-88A8-12384B0F8143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Dados de Entrada" sheetId="1" r:id="rId1"/>
    <sheet name="Rotas" sheetId="2" r:id="rId2"/>
    <sheet name="Lotes" sheetId="3" r:id="rId3"/>
    <sheet name="Micro-Ônibus" sheetId="4" r:id="rId4"/>
    <sheet name="Ônibus" sheetId="5" r:id="rId5"/>
    <sheet name="Van" sheetId="6" r:id="rId6"/>
    <sheet name="Depreciação e Infração" sheetId="7" r:id="rId7"/>
    <sheet name="Manutenção" sheetId="8" r:id="rId8"/>
    <sheet name="Encargos Sociais" sheetId="9" r:id="rId9"/>
    <sheet name="BDI" sheetId="10" r:id="rId10"/>
  </sheets>
  <definedNames>
    <definedName name="_xlnm.Print_Area" localSheetId="2">Lotes!$A$1:$I$28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6" l="1"/>
  <c r="E14" i="5"/>
  <c r="E14" i="4"/>
  <c r="E16" i="3"/>
  <c r="E15" i="3"/>
  <c r="E14" i="3"/>
  <c r="H48" i="2"/>
  <c r="H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9" i="2"/>
  <c r="H50" i="2"/>
  <c r="H51" i="2"/>
  <c r="H52" i="2"/>
  <c r="H53" i="2"/>
  <c r="H54" i="2"/>
  <c r="H55" i="2"/>
  <c r="H56" i="2"/>
  <c r="H57" i="2"/>
  <c r="H58" i="2"/>
  <c r="H59" i="2"/>
  <c r="E11" i="3" l="1"/>
  <c r="E10" i="3"/>
  <c r="E9" i="3"/>
  <c r="E24" i="3"/>
  <c r="F60" i="2"/>
  <c r="G60" i="2"/>
  <c r="B14" i="10"/>
  <c r="B11" i="10"/>
  <c r="B9" i="10"/>
  <c r="B18" i="10" s="1"/>
  <c r="N61" i="9"/>
  <c r="N60" i="9"/>
  <c r="K58" i="9"/>
  <c r="K60" i="9" s="1"/>
  <c r="K61" i="9" s="1"/>
  <c r="H58" i="9"/>
  <c r="H60" i="9" s="1"/>
  <c r="H61" i="9" s="1"/>
  <c r="N48" i="9"/>
  <c r="M48" i="9"/>
  <c r="K48" i="9"/>
  <c r="J48" i="9"/>
  <c r="H48" i="9"/>
  <c r="G48" i="9"/>
  <c r="E48" i="9"/>
  <c r="M43" i="9"/>
  <c r="J43" i="9"/>
  <c r="G43" i="9"/>
  <c r="E43" i="9"/>
  <c r="M42" i="9"/>
  <c r="J42" i="9"/>
  <c r="G42" i="9"/>
  <c r="M41" i="9"/>
  <c r="J41" i="9"/>
  <c r="G41" i="9"/>
  <c r="M40" i="9"/>
  <c r="J40" i="9"/>
  <c r="G40" i="9"/>
  <c r="G38" i="9"/>
  <c r="E38" i="9"/>
  <c r="M37" i="9"/>
  <c r="J37" i="9"/>
  <c r="M36" i="9"/>
  <c r="M38" i="9" s="1"/>
  <c r="J36" i="9"/>
  <c r="J38" i="9" s="1"/>
  <c r="G36" i="9"/>
  <c r="E34" i="9"/>
  <c r="M33" i="9"/>
  <c r="J33" i="9"/>
  <c r="G33" i="9"/>
  <c r="M32" i="9"/>
  <c r="J32" i="9"/>
  <c r="G32" i="9"/>
  <c r="M31" i="9"/>
  <c r="J31" i="9"/>
  <c r="G31" i="9"/>
  <c r="M30" i="9"/>
  <c r="J30" i="9"/>
  <c r="G30" i="9"/>
  <c r="M29" i="9"/>
  <c r="M34" i="9" s="1"/>
  <c r="J29" i="9"/>
  <c r="J34" i="9" s="1"/>
  <c r="G29" i="9"/>
  <c r="G34" i="9" s="1"/>
  <c r="E26" i="9"/>
  <c r="E50" i="9" s="1"/>
  <c r="M24" i="9"/>
  <c r="J24" i="9"/>
  <c r="G24" i="9"/>
  <c r="M23" i="9"/>
  <c r="J23" i="9"/>
  <c r="G23" i="9"/>
  <c r="M22" i="9"/>
  <c r="J22" i="9"/>
  <c r="G22" i="9"/>
  <c r="M21" i="9"/>
  <c r="J21" i="9"/>
  <c r="G21" i="9"/>
  <c r="M20" i="9"/>
  <c r="J20" i="9"/>
  <c r="G20" i="9"/>
  <c r="M19" i="9"/>
  <c r="M26" i="9" s="1"/>
  <c r="J19" i="9"/>
  <c r="J26" i="9" s="1"/>
  <c r="G19" i="9"/>
  <c r="G26" i="9" s="1"/>
  <c r="M18" i="9"/>
  <c r="J18" i="9"/>
  <c r="G18" i="9"/>
  <c r="N12" i="9"/>
  <c r="N13" i="9" s="1"/>
  <c r="K12" i="9"/>
  <c r="K13" i="9" s="1"/>
  <c r="K42" i="9" s="1"/>
  <c r="H12" i="9"/>
  <c r="H13" i="9" s="1"/>
  <c r="M8" i="9"/>
  <c r="J8" i="9"/>
  <c r="G8" i="9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3" i="8"/>
  <c r="E2" i="8"/>
  <c r="D122" i="7"/>
  <c r="D121" i="7"/>
  <c r="D120" i="7"/>
  <c r="D119" i="7"/>
  <c r="D118" i="7"/>
  <c r="H90" i="7"/>
  <c r="F90" i="7"/>
  <c r="E90" i="7"/>
  <c r="C90" i="7"/>
  <c r="H89" i="7"/>
  <c r="F89" i="7"/>
  <c r="C23" i="8" s="1"/>
  <c r="C89" i="7"/>
  <c r="H88" i="7"/>
  <c r="F88" i="7"/>
  <c r="C22" i="8" s="1"/>
  <c r="C88" i="7"/>
  <c r="H87" i="7"/>
  <c r="C87" i="7"/>
  <c r="C86" i="7"/>
  <c r="F85" i="7"/>
  <c r="C85" i="7"/>
  <c r="F84" i="7"/>
  <c r="C18" i="8" s="1"/>
  <c r="C84" i="7"/>
  <c r="F83" i="7"/>
  <c r="C83" i="7"/>
  <c r="C82" i="7"/>
  <c r="C81" i="7"/>
  <c r="F80" i="7"/>
  <c r="C14" i="8" s="1"/>
  <c r="C80" i="7"/>
  <c r="C79" i="7"/>
  <c r="C78" i="7"/>
  <c r="C77" i="7"/>
  <c r="F76" i="7"/>
  <c r="C10" i="8" s="1"/>
  <c r="C76" i="7"/>
  <c r="F75" i="7"/>
  <c r="C75" i="7"/>
  <c r="F74" i="7"/>
  <c r="C8" i="8" s="1"/>
  <c r="C74" i="7"/>
  <c r="F73" i="7"/>
  <c r="C73" i="7"/>
  <c r="F72" i="7"/>
  <c r="C6" i="8" s="1"/>
  <c r="C72" i="7"/>
  <c r="F71" i="7"/>
  <c r="C71" i="7"/>
  <c r="F70" i="7"/>
  <c r="C4" i="8" s="1"/>
  <c r="C70" i="7"/>
  <c r="F69" i="7"/>
  <c r="C69" i="7"/>
  <c r="F68" i="7"/>
  <c r="C2" i="8" s="1"/>
  <c r="C68" i="7"/>
  <c r="H63" i="7"/>
  <c r="F63" i="7"/>
  <c r="E63" i="7"/>
  <c r="C63" i="7"/>
  <c r="H62" i="7"/>
  <c r="F62" i="7"/>
  <c r="C62" i="7"/>
  <c r="H61" i="7"/>
  <c r="F61" i="7"/>
  <c r="C61" i="7"/>
  <c r="H60" i="7"/>
  <c r="C60" i="7"/>
  <c r="C59" i="7"/>
  <c r="F58" i="7"/>
  <c r="B19" i="8" s="1"/>
  <c r="C58" i="7"/>
  <c r="F57" i="7"/>
  <c r="C57" i="7"/>
  <c r="C56" i="7"/>
  <c r="C55" i="7"/>
  <c r="C54" i="7"/>
  <c r="F53" i="7"/>
  <c r="C53" i="7"/>
  <c r="C52" i="7"/>
  <c r="C51" i="7"/>
  <c r="F50" i="7"/>
  <c r="B11" i="8" s="1"/>
  <c r="C50" i="7"/>
  <c r="F49" i="7"/>
  <c r="C49" i="7"/>
  <c r="F48" i="7"/>
  <c r="B9" i="8" s="1"/>
  <c r="C48" i="7"/>
  <c r="F47" i="7"/>
  <c r="B8" i="8" s="1"/>
  <c r="C47" i="7"/>
  <c r="F46" i="7"/>
  <c r="B7" i="8" s="1"/>
  <c r="C46" i="7"/>
  <c r="F45" i="7"/>
  <c r="C45" i="7"/>
  <c r="F44" i="7"/>
  <c r="B5" i="8" s="1"/>
  <c r="C44" i="7"/>
  <c r="F43" i="7"/>
  <c r="B4" i="8" s="1"/>
  <c r="C43" i="7"/>
  <c r="F42" i="7"/>
  <c r="B3" i="8" s="1"/>
  <c r="C42" i="7"/>
  <c r="F41" i="7"/>
  <c r="C41" i="7"/>
  <c r="H37" i="7"/>
  <c r="F37" i="7"/>
  <c r="E37" i="7"/>
  <c r="C37" i="7"/>
  <c r="H36" i="7"/>
  <c r="F36" i="7"/>
  <c r="A23" i="8" s="1"/>
  <c r="C36" i="7"/>
  <c r="H35" i="7"/>
  <c r="F35" i="7"/>
  <c r="C35" i="7"/>
  <c r="H34" i="7"/>
  <c r="C34" i="7"/>
  <c r="C33" i="7"/>
  <c r="F32" i="7"/>
  <c r="A19" i="8" s="1"/>
  <c r="C32" i="7"/>
  <c r="F31" i="7"/>
  <c r="C31" i="7"/>
  <c r="C30" i="7"/>
  <c r="C29" i="7"/>
  <c r="C28" i="7"/>
  <c r="F27" i="7"/>
  <c r="C27" i="7"/>
  <c r="C26" i="7"/>
  <c r="C25" i="7"/>
  <c r="F24" i="7"/>
  <c r="A11" i="8" s="1"/>
  <c r="C24" i="7"/>
  <c r="F23" i="7"/>
  <c r="C23" i="7"/>
  <c r="F22" i="7"/>
  <c r="A9" i="8" s="1"/>
  <c r="C22" i="7"/>
  <c r="F21" i="7"/>
  <c r="C21" i="7"/>
  <c r="F20" i="7"/>
  <c r="A7" i="8" s="1"/>
  <c r="C20" i="7"/>
  <c r="F19" i="7"/>
  <c r="C19" i="7"/>
  <c r="F18" i="7"/>
  <c r="A5" i="8" s="1"/>
  <c r="C18" i="7"/>
  <c r="F17" i="7"/>
  <c r="C17" i="7"/>
  <c r="F16" i="7"/>
  <c r="A3" i="8" s="1"/>
  <c r="C16" i="7"/>
  <c r="F15" i="7"/>
  <c r="C15" i="7"/>
  <c r="M35" i="6"/>
  <c r="L35" i="6"/>
  <c r="M34" i="6"/>
  <c r="L34" i="6" s="1"/>
  <c r="E34" i="6"/>
  <c r="E33" i="6"/>
  <c r="J31" i="6"/>
  <c r="M31" i="6" s="1"/>
  <c r="J30" i="6"/>
  <c r="L30" i="6" s="1"/>
  <c r="E30" i="6"/>
  <c r="J29" i="6"/>
  <c r="L29" i="6" s="1"/>
  <c r="E29" i="6"/>
  <c r="J28" i="6"/>
  <c r="L28" i="6" s="1"/>
  <c r="E26" i="6"/>
  <c r="E25" i="6"/>
  <c r="M24" i="6"/>
  <c r="L24" i="6" s="1"/>
  <c r="E24" i="6"/>
  <c r="E23" i="6"/>
  <c r="M19" i="6"/>
  <c r="M20" i="6" s="1"/>
  <c r="M39" i="6" s="1"/>
  <c r="L19" i="6"/>
  <c r="L20" i="6" s="1"/>
  <c r="L39" i="6" s="1"/>
  <c r="L18" i="6"/>
  <c r="M15" i="6"/>
  <c r="M14" i="6"/>
  <c r="L13" i="6"/>
  <c r="L14" i="6" s="1"/>
  <c r="M12" i="6"/>
  <c r="L12" i="6"/>
  <c r="L11" i="6"/>
  <c r="M11" i="6" s="1"/>
  <c r="E11" i="6"/>
  <c r="D4" i="6"/>
  <c r="M36" i="5"/>
  <c r="L36" i="5"/>
  <c r="M35" i="5"/>
  <c r="L35" i="5"/>
  <c r="E34" i="5"/>
  <c r="E33" i="5"/>
  <c r="J32" i="5"/>
  <c r="M32" i="5" s="1"/>
  <c r="J31" i="5"/>
  <c r="L31" i="5" s="1"/>
  <c r="J30" i="5"/>
  <c r="M30" i="5" s="1"/>
  <c r="E30" i="5"/>
  <c r="E29" i="5" s="1"/>
  <c r="J29" i="5"/>
  <c r="M29" i="5" s="1"/>
  <c r="J28" i="5"/>
  <c r="M28" i="5" s="1"/>
  <c r="E26" i="5"/>
  <c r="E25" i="5"/>
  <c r="M24" i="5"/>
  <c r="L24" i="5"/>
  <c r="E24" i="5"/>
  <c r="E23" i="5"/>
  <c r="M19" i="5"/>
  <c r="M20" i="5" s="1"/>
  <c r="M40" i="5" s="1"/>
  <c r="L19" i="5"/>
  <c r="L20" i="5" s="1"/>
  <c r="L40" i="5" s="1"/>
  <c r="L18" i="5"/>
  <c r="M14" i="5"/>
  <c r="L14" i="5"/>
  <c r="L13" i="5"/>
  <c r="M12" i="5"/>
  <c r="L12" i="5"/>
  <c r="M11" i="5"/>
  <c r="L11" i="5"/>
  <c r="L16" i="5" s="1"/>
  <c r="L39" i="5" s="1"/>
  <c r="E11" i="5"/>
  <c r="D4" i="5"/>
  <c r="M36" i="4"/>
  <c r="L36" i="4"/>
  <c r="M35" i="4"/>
  <c r="L35" i="4"/>
  <c r="E34" i="4"/>
  <c r="E33" i="4"/>
  <c r="J32" i="4"/>
  <c r="M32" i="4" s="1"/>
  <c r="J31" i="4"/>
  <c r="L31" i="4" s="1"/>
  <c r="J30" i="4"/>
  <c r="M30" i="4" s="1"/>
  <c r="E30" i="4"/>
  <c r="E29" i="4" s="1"/>
  <c r="J29" i="4"/>
  <c r="M29" i="4" s="1"/>
  <c r="J28" i="4"/>
  <c r="M28" i="4" s="1"/>
  <c r="E26" i="4"/>
  <c r="E25" i="4"/>
  <c r="M24" i="4"/>
  <c r="L24" i="4"/>
  <c r="E24" i="4"/>
  <c r="E23" i="4"/>
  <c r="M19" i="4"/>
  <c r="M20" i="4" s="1"/>
  <c r="M40" i="4" s="1"/>
  <c r="L19" i="4"/>
  <c r="L20" i="4" s="1"/>
  <c r="L40" i="4" s="1"/>
  <c r="L18" i="4"/>
  <c r="M14" i="4"/>
  <c r="L14" i="4"/>
  <c r="L13" i="4"/>
  <c r="M12" i="4"/>
  <c r="L12" i="4"/>
  <c r="M11" i="4"/>
  <c r="M16" i="4" s="1"/>
  <c r="M39" i="4" s="1"/>
  <c r="L11" i="4"/>
  <c r="L16" i="4" s="1"/>
  <c r="L39" i="4" s="1"/>
  <c r="E11" i="4"/>
  <c r="D4" i="4"/>
  <c r="E26" i="3"/>
  <c r="E25" i="3"/>
  <c r="B2" i="3"/>
  <c r="H8" i="2"/>
  <c r="H7" i="2"/>
  <c r="H6" i="2"/>
  <c r="H5" i="2"/>
  <c r="H4" i="2"/>
  <c r="F16" i="1"/>
  <c r="F15" i="1"/>
  <c r="F14" i="1"/>
  <c r="F13" i="1"/>
  <c r="F12" i="1"/>
  <c r="F11" i="1"/>
  <c r="M37" i="4" l="1"/>
  <c r="M43" i="4" s="1"/>
  <c r="L36" i="6"/>
  <c r="L42" i="6" s="1"/>
  <c r="M16" i="5"/>
  <c r="M39" i="5" s="1"/>
  <c r="N23" i="9"/>
  <c r="H21" i="9"/>
  <c r="N21" i="9"/>
  <c r="N24" i="9"/>
  <c r="N42" i="9"/>
  <c r="N20" i="9"/>
  <c r="K24" i="9"/>
  <c r="K41" i="9"/>
  <c r="K22" i="9"/>
  <c r="K20" i="9"/>
  <c r="K23" i="9"/>
  <c r="M28" i="6"/>
  <c r="L29" i="5"/>
  <c r="L28" i="5"/>
  <c r="L32" i="5"/>
  <c r="L31" i="6"/>
  <c r="L32" i="6" s="1"/>
  <c r="L41" i="6" s="1"/>
  <c r="M31" i="5"/>
  <c r="M33" i="5" s="1"/>
  <c r="M42" i="5" s="1"/>
  <c r="M30" i="6"/>
  <c r="M31" i="4"/>
  <c r="L32" i="4"/>
  <c r="L29" i="4"/>
  <c r="L30" i="5"/>
  <c r="L37" i="5"/>
  <c r="L43" i="5" s="1"/>
  <c r="M37" i="5"/>
  <c r="M43" i="5" s="1"/>
  <c r="M29" i="6"/>
  <c r="M33" i="4"/>
  <c r="M42" i="4" s="1"/>
  <c r="M36" i="6"/>
  <c r="M42" i="6" s="1"/>
  <c r="L37" i="4"/>
  <c r="L43" i="4" s="1"/>
  <c r="H60" i="2"/>
  <c r="G63" i="7"/>
  <c r="G90" i="7"/>
  <c r="G37" i="7"/>
  <c r="H41" i="9"/>
  <c r="H36" i="9"/>
  <c r="H25" i="9"/>
  <c r="H31" i="9"/>
  <c r="H18" i="9"/>
  <c r="H42" i="9"/>
  <c r="H37" i="9"/>
  <c r="H32" i="9"/>
  <c r="H19" i="9"/>
  <c r="H33" i="9"/>
  <c r="H29" i="9"/>
  <c r="H24" i="9"/>
  <c r="H20" i="9"/>
  <c r="H30" i="9"/>
  <c r="H22" i="9"/>
  <c r="E51" i="9"/>
  <c r="E53" i="9" s="1"/>
  <c r="M50" i="9"/>
  <c r="M51" i="9" s="1"/>
  <c r="M53" i="9" s="1"/>
  <c r="J50" i="9"/>
  <c r="J51" i="9" s="1"/>
  <c r="J53" i="9" s="1"/>
  <c r="G50" i="9"/>
  <c r="G51" i="9" s="1"/>
  <c r="G53" i="9" s="1"/>
  <c r="H40" i="9"/>
  <c r="L45" i="5"/>
  <c r="E38" i="6"/>
  <c r="M44" i="6"/>
  <c r="B5" i="10"/>
  <c r="L44" i="6"/>
  <c r="E38" i="4"/>
  <c r="M45" i="4"/>
  <c r="E38" i="5"/>
  <c r="L45" i="4"/>
  <c r="M45" i="5"/>
  <c r="N33" i="9"/>
  <c r="N29" i="9"/>
  <c r="N40" i="9"/>
  <c r="N30" i="9"/>
  <c r="N41" i="9"/>
  <c r="N36" i="9"/>
  <c r="N31" i="9"/>
  <c r="N22" i="9"/>
  <c r="N18" i="9"/>
  <c r="N25" i="9"/>
  <c r="N37" i="9"/>
  <c r="N32" i="9"/>
  <c r="N19" i="9"/>
  <c r="E19" i="5"/>
  <c r="E20" i="5" s="1"/>
  <c r="E19" i="6"/>
  <c r="E20" i="6" s="1"/>
  <c r="E19" i="4"/>
  <c r="E20" i="4" s="1"/>
  <c r="M16" i="6"/>
  <c r="M38" i="6" s="1"/>
  <c r="H23" i="9"/>
  <c r="C3" i="8"/>
  <c r="C5" i="8"/>
  <c r="C7" i="8"/>
  <c r="C9" i="8"/>
  <c r="C17" i="8"/>
  <c r="C19" i="8"/>
  <c r="K18" i="9"/>
  <c r="K25" i="9"/>
  <c r="K31" i="9"/>
  <c r="A24" i="8"/>
  <c r="K36" i="9"/>
  <c r="L16" i="6"/>
  <c r="L38" i="6" s="1"/>
  <c r="A2" i="8"/>
  <c r="A4" i="8"/>
  <c r="A6" i="8"/>
  <c r="A8" i="8"/>
  <c r="A10" i="8"/>
  <c r="A14" i="8"/>
  <c r="A18" i="8"/>
  <c r="A22" i="8"/>
  <c r="C24" i="8"/>
  <c r="K21" i="9"/>
  <c r="K30" i="9"/>
  <c r="B2" i="8"/>
  <c r="B6" i="8"/>
  <c r="B10" i="8"/>
  <c r="B14" i="8"/>
  <c r="B18" i="8"/>
  <c r="B22" i="8"/>
  <c r="K40" i="9"/>
  <c r="K43" i="9" s="1"/>
  <c r="K29" i="9"/>
  <c r="K33" i="9"/>
  <c r="K50" i="9"/>
  <c r="K51" i="9" s="1"/>
  <c r="L28" i="4"/>
  <c r="L30" i="4"/>
  <c r="K19" i="9"/>
  <c r="K32" i="9"/>
  <c r="K37" i="9"/>
  <c r="K38" i="9" l="1"/>
  <c r="H43" i="9"/>
  <c r="H38" i="9"/>
  <c r="M32" i="6"/>
  <c r="M41" i="6" s="1"/>
  <c r="L33" i="5"/>
  <c r="L42" i="5" s="1"/>
  <c r="N43" i="9"/>
  <c r="N26" i="9"/>
  <c r="H26" i="9"/>
  <c r="K26" i="9"/>
  <c r="K34" i="9"/>
  <c r="N34" i="9"/>
  <c r="N50" i="9"/>
  <c r="N51" i="9" s="1"/>
  <c r="L33" i="4"/>
  <c r="L42" i="4" s="1"/>
  <c r="N38" i="9"/>
  <c r="H34" i="9"/>
  <c r="H50" i="9"/>
  <c r="H51" i="9" s="1"/>
  <c r="N53" i="9" l="1"/>
  <c r="E12" i="6" s="1"/>
  <c r="H53" i="9"/>
  <c r="K53" i="9"/>
  <c r="M54" i="9" l="1"/>
  <c r="M64" i="9" s="1"/>
  <c r="E10" i="6"/>
  <c r="E13" i="6" s="1"/>
  <c r="J54" i="9"/>
  <c r="J64" i="9" s="1"/>
  <c r="E12" i="4"/>
  <c r="G54" i="9"/>
  <c r="G64" i="9" s="1"/>
  <c r="E12" i="5"/>
  <c r="E10" i="5" l="1"/>
  <c r="E13" i="5" s="1"/>
  <c r="E10" i="4"/>
  <c r="E13" i="4" s="1"/>
  <c r="F81" i="7" l="1"/>
  <c r="C15" i="8" s="1"/>
  <c r="F82" i="7" l="1"/>
  <c r="C16" i="8" s="1"/>
  <c r="F28" i="7" l="1"/>
  <c r="A15" i="8" s="1"/>
  <c r="F30" i="7" l="1"/>
  <c r="A17" i="8" s="1"/>
  <c r="F54" i="7" l="1"/>
  <c r="B15" i="8" s="1"/>
  <c r="F56" i="7" l="1"/>
  <c r="B17" i="8" l="1"/>
  <c r="F55" i="7" l="1"/>
  <c r="B16" i="8" s="1"/>
  <c r="J47" i="2" l="1"/>
  <c r="J54" i="2"/>
  <c r="J44" i="2"/>
  <c r="J49" i="2"/>
  <c r="J39" i="2"/>
  <c r="J56" i="2"/>
  <c r="I54" i="2"/>
  <c r="I44" i="2"/>
  <c r="I39" i="2"/>
  <c r="I56" i="2"/>
  <c r="I49" i="2"/>
  <c r="I47" i="2"/>
  <c r="F60" i="7" l="1"/>
  <c r="B21" i="8" s="1"/>
  <c r="F59" i="7"/>
  <c r="B20" i="8" s="1"/>
  <c r="K56" i="2" l="1"/>
  <c r="L56" i="2" s="1"/>
  <c r="M56" i="2" s="1"/>
  <c r="K47" i="2"/>
  <c r="L47" i="2" s="1"/>
  <c r="M47" i="2" s="1"/>
  <c r="K54" i="2"/>
  <c r="L54" i="2" s="1"/>
  <c r="M54" i="2" s="1"/>
  <c r="K49" i="2"/>
  <c r="L49" i="2" s="1"/>
  <c r="M49" i="2" s="1"/>
  <c r="K39" i="2"/>
  <c r="L39" i="2" s="1"/>
  <c r="M39" i="2" s="1"/>
  <c r="K44" i="2"/>
  <c r="L44" i="2" s="1"/>
  <c r="M44" i="2" s="1"/>
  <c r="F29" i="7" l="1"/>
  <c r="A16" i="8" l="1"/>
  <c r="J27" i="2" l="1"/>
  <c r="J53" i="2"/>
  <c r="J19" i="2"/>
  <c r="J50" i="2"/>
  <c r="J13" i="2"/>
  <c r="J26" i="2"/>
  <c r="J23" i="2"/>
  <c r="J21" i="2"/>
  <c r="J52" i="2"/>
  <c r="J17" i="2"/>
  <c r="J37" i="2"/>
  <c r="J24" i="2"/>
  <c r="J20" i="2"/>
  <c r="J51" i="2"/>
  <c r="J16" i="2"/>
  <c r="I16" i="2"/>
  <c r="I19" i="2"/>
  <c r="I13" i="2"/>
  <c r="I26" i="2"/>
  <c r="I21" i="2"/>
  <c r="I52" i="2"/>
  <c r="I17" i="2"/>
  <c r="I37" i="2"/>
  <c r="I24" i="2"/>
  <c r="I20" i="2"/>
  <c r="I51" i="2"/>
  <c r="I27" i="2"/>
  <c r="I23" i="2"/>
  <c r="I53" i="2"/>
  <c r="I50" i="2"/>
  <c r="F33" i="7" l="1"/>
  <c r="F34" i="7" l="1"/>
  <c r="A21" i="8" s="1"/>
  <c r="A20" i="8"/>
  <c r="K16" i="2" l="1"/>
  <c r="L16" i="2" s="1"/>
  <c r="M16" i="2" s="1"/>
  <c r="K23" i="2"/>
  <c r="L23" i="2" s="1"/>
  <c r="M23" i="2" s="1"/>
  <c r="K53" i="2"/>
  <c r="L53" i="2" s="1"/>
  <c r="M53" i="2" s="1"/>
  <c r="K19" i="2"/>
  <c r="L19" i="2" s="1"/>
  <c r="M19" i="2" s="1"/>
  <c r="K50" i="2"/>
  <c r="L50" i="2" s="1"/>
  <c r="M50" i="2" s="1"/>
  <c r="K26" i="2"/>
  <c r="L26" i="2" s="1"/>
  <c r="M26" i="2" s="1"/>
  <c r="K52" i="2"/>
  <c r="L52" i="2" s="1"/>
  <c r="M52" i="2" s="1"/>
  <c r="K27" i="2"/>
  <c r="L27" i="2" s="1"/>
  <c r="M27" i="2" s="1"/>
  <c r="K13" i="2"/>
  <c r="L13" i="2" s="1"/>
  <c r="K21" i="2"/>
  <c r="L21" i="2" s="1"/>
  <c r="M21" i="2" s="1"/>
  <c r="K17" i="2"/>
  <c r="L17" i="2" s="1"/>
  <c r="M17" i="2" s="1"/>
  <c r="K37" i="2"/>
  <c r="L37" i="2" s="1"/>
  <c r="M37" i="2" s="1"/>
  <c r="K24" i="2"/>
  <c r="L24" i="2" s="1"/>
  <c r="M24" i="2" s="1"/>
  <c r="K20" i="2"/>
  <c r="L20" i="2" s="1"/>
  <c r="M20" i="2" s="1"/>
  <c r="K51" i="2"/>
  <c r="L51" i="2" s="1"/>
  <c r="M51" i="2" s="1"/>
  <c r="M13" i="2" l="1"/>
  <c r="J14" i="2" l="1"/>
  <c r="J10" i="2"/>
  <c r="J28" i="2"/>
  <c r="J36" i="2"/>
  <c r="J48" i="2"/>
  <c r="J18" i="2"/>
  <c r="J33" i="2"/>
  <c r="J43" i="2"/>
  <c r="J12" i="2"/>
  <c r="J30" i="2"/>
  <c r="J40" i="2"/>
  <c r="J57" i="2"/>
  <c r="J9" i="2"/>
  <c r="J25" i="2"/>
  <c r="J35" i="2"/>
  <c r="J46" i="2"/>
  <c r="J59" i="2"/>
  <c r="J55" i="2"/>
  <c r="J15" i="2"/>
  <c r="J32" i="2"/>
  <c r="J42" i="2"/>
  <c r="J11" i="2"/>
  <c r="J29" i="2"/>
  <c r="J38" i="2"/>
  <c r="J22" i="2"/>
  <c r="J34" i="2"/>
  <c r="J45" i="2"/>
  <c r="J31" i="2"/>
  <c r="J41" i="2"/>
  <c r="J58" i="2"/>
  <c r="I43" i="2" l="1"/>
  <c r="I38" i="2"/>
  <c r="I42" i="2"/>
  <c r="I35" i="2"/>
  <c r="I58" i="2"/>
  <c r="I25" i="2"/>
  <c r="I31" i="2"/>
  <c r="I33" i="2"/>
  <c r="I14" i="2"/>
  <c r="I18" i="2"/>
  <c r="I34" i="2"/>
  <c r="I10" i="2"/>
  <c r="I55" i="2"/>
  <c r="I22" i="2"/>
  <c r="I32" i="2"/>
  <c r="I40" i="2"/>
  <c r="I57" i="2"/>
  <c r="I48" i="2"/>
  <c r="I59" i="2"/>
  <c r="I30" i="2"/>
  <c r="I9" i="2"/>
  <c r="I36" i="2"/>
  <c r="I29" i="2"/>
  <c r="I15" i="2"/>
  <c r="I12" i="2"/>
  <c r="I28" i="2"/>
  <c r="I11" i="2"/>
  <c r="I41" i="2"/>
  <c r="I45" i="2"/>
  <c r="I46" i="2"/>
  <c r="F86" i="7" l="1"/>
  <c r="C20" i="8" s="1"/>
  <c r="F87" i="7" l="1"/>
  <c r="C21" i="8" s="1"/>
  <c r="K34" i="2" l="1"/>
  <c r="L34" i="2" s="1"/>
  <c r="M34" i="2" s="1"/>
  <c r="K45" i="2"/>
  <c r="L45" i="2" s="1"/>
  <c r="M45" i="2" s="1"/>
  <c r="K14" i="2"/>
  <c r="L14" i="2" s="1"/>
  <c r="M14" i="2" s="1"/>
  <c r="K31" i="2"/>
  <c r="L31" i="2" s="1"/>
  <c r="M31" i="2" s="1"/>
  <c r="K41" i="2"/>
  <c r="L41" i="2" s="1"/>
  <c r="M41" i="2" s="1"/>
  <c r="K58" i="2"/>
  <c r="L58" i="2" s="1"/>
  <c r="M58" i="2" s="1"/>
  <c r="K10" i="2"/>
  <c r="L10" i="2" s="1"/>
  <c r="M10" i="2" s="1"/>
  <c r="K28" i="2"/>
  <c r="L28" i="2" s="1"/>
  <c r="M28" i="2" s="1"/>
  <c r="K36" i="2"/>
  <c r="L36" i="2" s="1"/>
  <c r="M36" i="2" s="1"/>
  <c r="K48" i="2"/>
  <c r="L48" i="2" s="1"/>
  <c r="M48" i="2" s="1"/>
  <c r="K18" i="2"/>
  <c r="L18" i="2" s="1"/>
  <c r="M18" i="2" s="1"/>
  <c r="K33" i="2"/>
  <c r="L33" i="2" s="1"/>
  <c r="M33" i="2" s="1"/>
  <c r="K43" i="2"/>
  <c r="L43" i="2" s="1"/>
  <c r="M43" i="2" s="1"/>
  <c r="K30" i="2"/>
  <c r="L30" i="2" s="1"/>
  <c r="M30" i="2" s="1"/>
  <c r="K40" i="2"/>
  <c r="L40" i="2" s="1"/>
  <c r="M40" i="2" s="1"/>
  <c r="K46" i="2"/>
  <c r="L46" i="2" s="1"/>
  <c r="M46" i="2" s="1"/>
  <c r="K12" i="2"/>
  <c r="L12" i="2" s="1"/>
  <c r="M12" i="2" s="1"/>
  <c r="K57" i="2"/>
  <c r="L57" i="2" s="1"/>
  <c r="M57" i="2" s="1"/>
  <c r="K9" i="2"/>
  <c r="L9" i="2" s="1"/>
  <c r="M9" i="2" s="1"/>
  <c r="K25" i="2"/>
  <c r="L25" i="2" s="1"/>
  <c r="M25" i="2" s="1"/>
  <c r="K35" i="2"/>
  <c r="L35" i="2" s="1"/>
  <c r="M35" i="2" s="1"/>
  <c r="K15" i="2"/>
  <c r="L15" i="2" s="1"/>
  <c r="M15" i="2" s="1"/>
  <c r="K32" i="2"/>
  <c r="L32" i="2" s="1"/>
  <c r="M32" i="2" s="1"/>
  <c r="K42" i="2"/>
  <c r="L42" i="2" s="1"/>
  <c r="M42" i="2" s="1"/>
  <c r="K59" i="2"/>
  <c r="L59" i="2" s="1"/>
  <c r="M59" i="2" s="1"/>
  <c r="K11" i="2"/>
  <c r="L11" i="2" s="1"/>
  <c r="M11" i="2" s="1"/>
  <c r="K29" i="2"/>
  <c r="L29" i="2" s="1"/>
  <c r="M29" i="2" s="1"/>
  <c r="K38" i="2"/>
  <c r="L38" i="2" s="1"/>
  <c r="M38" i="2" s="1"/>
  <c r="K55" i="2"/>
  <c r="L55" i="2" s="1"/>
  <c r="M55" i="2" s="1"/>
  <c r="K22" i="2"/>
  <c r="L22" i="2" s="1"/>
  <c r="M22" i="2" s="1"/>
  <c r="F77" i="7" l="1"/>
  <c r="C11" i="8" l="1"/>
  <c r="D78" i="7" l="1"/>
  <c r="D79" i="7" s="1"/>
  <c r="D80" i="7" l="1"/>
  <c r="E79" i="7" s="1"/>
  <c r="E78" i="7"/>
  <c r="D77" i="7"/>
  <c r="F79" i="7" l="1"/>
  <c r="C13" i="8" s="1"/>
  <c r="F78" i="7"/>
  <c r="D81" i="7"/>
  <c r="E80" i="7" s="1"/>
  <c r="G80" i="7" s="1"/>
  <c r="D76" i="7"/>
  <c r="E77" i="7"/>
  <c r="G77" i="7" s="1"/>
  <c r="G79" i="7" l="1"/>
  <c r="D82" i="7"/>
  <c r="C12" i="8"/>
  <c r="M23" i="6" s="1"/>
  <c r="E16" i="6"/>
  <c r="E17" i="6" s="1"/>
  <c r="G78" i="7"/>
  <c r="D75" i="7"/>
  <c r="E76" i="7"/>
  <c r="G76" i="7" s="1"/>
  <c r="D83" i="7" l="1"/>
  <c r="E82" i="7" s="1"/>
  <c r="G82" i="7" s="1"/>
  <c r="M22" i="6"/>
  <c r="M25" i="6" s="1"/>
  <c r="M40" i="6" s="1"/>
  <c r="M43" i="6" s="1"/>
  <c r="M45" i="6" s="1"/>
  <c r="L23" i="6"/>
  <c r="L22" i="6" s="1"/>
  <c r="L25" i="6" s="1"/>
  <c r="L40" i="6" s="1"/>
  <c r="L43" i="6" s="1"/>
  <c r="L45" i="6" s="1"/>
  <c r="E81" i="7"/>
  <c r="G81" i="7" s="1"/>
  <c r="E75" i="7"/>
  <c r="G75" i="7" s="1"/>
  <c r="D74" i="7"/>
  <c r="D26" i="3" l="1"/>
  <c r="G26" i="3" s="1"/>
  <c r="H26" i="3" s="1"/>
  <c r="I5" i="2"/>
  <c r="I8" i="2"/>
  <c r="I6" i="2"/>
  <c r="I7" i="2"/>
  <c r="J6" i="2"/>
  <c r="J8" i="2"/>
  <c r="J5" i="2"/>
  <c r="D25" i="3"/>
  <c r="G25" i="3" s="1"/>
  <c r="H25" i="3" s="1"/>
  <c r="J7" i="2"/>
  <c r="E74" i="7"/>
  <c r="G74" i="7" s="1"/>
  <c r="D73" i="7"/>
  <c r="D72" i="7" l="1"/>
  <c r="E73" i="7"/>
  <c r="G73" i="7" s="1"/>
  <c r="D71" i="7" l="1"/>
  <c r="E72" i="7"/>
  <c r="G72" i="7" s="1"/>
  <c r="D70" i="7" l="1"/>
  <c r="E71" i="7"/>
  <c r="G71" i="7" s="1"/>
  <c r="E70" i="7" l="1"/>
  <c r="G70" i="7" s="1"/>
  <c r="D69" i="7"/>
  <c r="D68" i="7" l="1"/>
  <c r="E69" i="7"/>
  <c r="G69" i="7" s="1"/>
  <c r="E68" i="7" l="1"/>
  <c r="G68" i="7" s="1"/>
  <c r="H68" i="7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s="1"/>
  <c r="H86" i="7" s="1"/>
  <c r="D51" i="7" l="1"/>
  <c r="D52" i="7" s="1"/>
  <c r="D53" i="7" l="1"/>
  <c r="E52" i="7" s="1"/>
  <c r="F52" i="7" s="1"/>
  <c r="D50" i="7"/>
  <c r="E51" i="7"/>
  <c r="B13" i="8" l="1"/>
  <c r="G52" i="7"/>
  <c r="F51" i="7"/>
  <c r="D54" i="7"/>
  <c r="D49" i="7"/>
  <c r="E50" i="7"/>
  <c r="G50" i="7" s="1"/>
  <c r="B12" i="8" l="1"/>
  <c r="M23" i="4" s="1"/>
  <c r="E16" i="4"/>
  <c r="E17" i="4" s="1"/>
  <c r="G51" i="7"/>
  <c r="E53" i="7"/>
  <c r="G53" i="7" s="1"/>
  <c r="E49" i="7"/>
  <c r="G49" i="7" s="1"/>
  <c r="D48" i="7"/>
  <c r="L23" i="4" l="1"/>
  <c r="L22" i="4" s="1"/>
  <c r="L25" i="4" s="1"/>
  <c r="L41" i="4" s="1"/>
  <c r="L44" i="4" s="1"/>
  <c r="L46" i="4" s="1"/>
  <c r="D11" i="3" s="1"/>
  <c r="G11" i="3" s="1"/>
  <c r="H11" i="3" s="1"/>
  <c r="M22" i="4"/>
  <c r="M25" i="4" s="1"/>
  <c r="M41" i="4" s="1"/>
  <c r="M44" i="4" s="1"/>
  <c r="M46" i="4" s="1"/>
  <c r="D10" i="3" s="1"/>
  <c r="G10" i="3" s="1"/>
  <c r="H10" i="3" s="1"/>
  <c r="E48" i="7"/>
  <c r="G48" i="7" s="1"/>
  <c r="D47" i="7"/>
  <c r="E47" i="7" l="1"/>
  <c r="G47" i="7" s="1"/>
  <c r="D46" i="7"/>
  <c r="E46" i="7" l="1"/>
  <c r="G46" i="7" s="1"/>
  <c r="D45" i="7"/>
  <c r="D44" i="7" l="1"/>
  <c r="E45" i="7"/>
  <c r="G45" i="7" s="1"/>
  <c r="E44" i="7" l="1"/>
  <c r="G44" i="7" s="1"/>
  <c r="D43" i="7"/>
  <c r="D42" i="7" l="1"/>
  <c r="E43" i="7"/>
  <c r="G43" i="7" s="1"/>
  <c r="E42" i="7" l="1"/>
  <c r="G42" i="7" s="1"/>
  <c r="D41" i="7"/>
  <c r="E41" i="7" l="1"/>
  <c r="G41" i="7" s="1"/>
  <c r="H41" i="7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D25" i="7" l="1"/>
  <c r="D26" i="7" s="1"/>
  <c r="D27" i="7" s="1"/>
  <c r="E26" i="7" l="1"/>
  <c r="D28" i="7"/>
  <c r="E27" i="7" s="1"/>
  <c r="G27" i="7" s="1"/>
  <c r="D24" i="7"/>
  <c r="E25" i="7"/>
  <c r="F25" i="7" l="1"/>
  <c r="D29" i="7"/>
  <c r="F26" i="7"/>
  <c r="A13" i="8" s="1"/>
  <c r="D23" i="7"/>
  <c r="E24" i="7"/>
  <c r="G24" i="7" s="1"/>
  <c r="D30" i="7" l="1"/>
  <c r="A12" i="8"/>
  <c r="M23" i="5" s="1"/>
  <c r="E16" i="5"/>
  <c r="E17" i="5" s="1"/>
  <c r="G26" i="7"/>
  <c r="E28" i="7"/>
  <c r="G28" i="7" s="1"/>
  <c r="G25" i="7"/>
  <c r="D22" i="7"/>
  <c r="E23" i="7"/>
  <c r="G23" i="7" s="1"/>
  <c r="L23" i="5" l="1"/>
  <c r="L22" i="5" s="1"/>
  <c r="L25" i="5" s="1"/>
  <c r="L41" i="5" s="1"/>
  <c r="L44" i="5" s="1"/>
  <c r="L46" i="5" s="1"/>
  <c r="M22" i="5"/>
  <c r="M25" i="5" s="1"/>
  <c r="M41" i="5" s="1"/>
  <c r="M44" i="5" s="1"/>
  <c r="M46" i="5" s="1"/>
  <c r="D31" i="7"/>
  <c r="E29" i="7"/>
  <c r="G29" i="7" s="1"/>
  <c r="E22" i="7"/>
  <c r="G22" i="7" s="1"/>
  <c r="D21" i="7"/>
  <c r="E30" i="7" l="1"/>
  <c r="G30" i="7" s="1"/>
  <c r="D15" i="3"/>
  <c r="G15" i="3" s="1"/>
  <c r="H15" i="3" s="1"/>
  <c r="J4" i="2"/>
  <c r="D16" i="3"/>
  <c r="G16" i="3" s="1"/>
  <c r="H16" i="3" s="1"/>
  <c r="I4" i="2"/>
  <c r="E21" i="7"/>
  <c r="G21" i="7" s="1"/>
  <c r="D20" i="7"/>
  <c r="E20" i="7" l="1"/>
  <c r="G20" i="7" s="1"/>
  <c r="D19" i="7"/>
  <c r="D18" i="7" l="1"/>
  <c r="E19" i="7"/>
  <c r="G19" i="7" s="1"/>
  <c r="E18" i="7" l="1"/>
  <c r="G18" i="7" s="1"/>
  <c r="D17" i="7"/>
  <c r="D16" i="7" l="1"/>
  <c r="E17" i="7"/>
  <c r="G17" i="7" s="1"/>
  <c r="D15" i="7" l="1"/>
  <c r="E16" i="7"/>
  <c r="G16" i="7" s="1"/>
  <c r="E15" i="7" l="1"/>
  <c r="G15" i="7" s="1"/>
  <c r="H15" i="7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D55" i="7" l="1"/>
  <c r="D56" i="7" s="1"/>
  <c r="D57" i="7" l="1"/>
  <c r="E56" i="7" s="1"/>
  <c r="G56" i="7" s="1"/>
  <c r="E54" i="7"/>
  <c r="G54" i="7" s="1"/>
  <c r="E55" i="7"/>
  <c r="G55" i="7" s="1"/>
  <c r="D58" i="7" l="1"/>
  <c r="D59" i="7" l="1"/>
  <c r="E57" i="7"/>
  <c r="G57" i="7" s="1"/>
  <c r="D60" i="7" l="1"/>
  <c r="E58" i="7"/>
  <c r="G58" i="7" s="1"/>
  <c r="D61" i="7" l="1"/>
  <c r="E59" i="7"/>
  <c r="G59" i="7" s="1"/>
  <c r="D62" i="7" l="1"/>
  <c r="E60" i="7"/>
  <c r="G60" i="7" s="1"/>
  <c r="D63" i="7" l="1"/>
  <c r="E62" i="7" s="1"/>
  <c r="G62" i="7" s="1"/>
  <c r="E61" i="7"/>
  <c r="G61" i="7" s="1"/>
  <c r="E22" i="4" s="1"/>
  <c r="E27" i="4" s="1"/>
  <c r="E35" i="4" l="1"/>
  <c r="E36" i="4" s="1"/>
  <c r="E37" i="4" s="1"/>
  <c r="E39" i="4" s="1"/>
  <c r="D9" i="3" s="1"/>
  <c r="G9" i="3" s="1"/>
  <c r="H9" i="3" s="1"/>
  <c r="I9" i="3" s="1"/>
  <c r="D32" i="7"/>
  <c r="E31" i="7" s="1"/>
  <c r="G31" i="7" s="1"/>
  <c r="D33" i="7" l="1"/>
  <c r="D34" i="7" s="1"/>
  <c r="D35" i="7" s="1"/>
  <c r="E34" i="7" s="1"/>
  <c r="G34" i="7" s="1"/>
  <c r="E33" i="7" l="1"/>
  <c r="G33" i="7" s="1"/>
  <c r="E32" i="7"/>
  <c r="G32" i="7" s="1"/>
  <c r="D36" i="7"/>
  <c r="E35" i="7" s="1"/>
  <c r="G35" i="7" s="1"/>
  <c r="D37" i="7" l="1"/>
  <c r="E36" i="7" s="1"/>
  <c r="G36" i="7" s="1"/>
  <c r="E22" i="5" s="1"/>
  <c r="E27" i="5" s="1"/>
  <c r="E35" i="5" l="1"/>
  <c r="E36" i="5" s="1"/>
  <c r="E37" i="5" s="1"/>
  <c r="E39" i="5" s="1"/>
  <c r="D14" i="3" l="1"/>
  <c r="G14" i="3" s="1"/>
  <c r="K4" i="2"/>
  <c r="L4" i="2" s="1"/>
  <c r="M4" i="2" l="1"/>
  <c r="G17" i="3"/>
  <c r="H14" i="3"/>
  <c r="I14" i="3" s="1"/>
  <c r="I17" i="3" s="1"/>
  <c r="D84" i="7"/>
  <c r="E83" i="7" s="1"/>
  <c r="G83" i="7" s="1"/>
  <c r="D85" i="7" l="1"/>
  <c r="D86" i="7" s="1"/>
  <c r="D87" i="7" s="1"/>
  <c r="E86" i="7" s="1"/>
  <c r="G86" i="7" s="1"/>
  <c r="E85" i="7" l="1"/>
  <c r="G85" i="7" s="1"/>
  <c r="E84" i="7"/>
  <c r="G84" i="7" s="1"/>
  <c r="D88" i="7"/>
  <c r="D89" i="7" l="1"/>
  <c r="E88" i="7" s="1"/>
  <c r="G88" i="7" s="1"/>
  <c r="E87" i="7"/>
  <c r="G87" i="7" s="1"/>
  <c r="D90" i="7" l="1"/>
  <c r="E89" i="7" s="1"/>
  <c r="G89" i="7" s="1"/>
  <c r="E22" i="6" s="1"/>
  <c r="E27" i="6" s="1"/>
  <c r="E35" i="6" l="1"/>
  <c r="E36" i="6" s="1"/>
  <c r="E37" i="6" s="1"/>
  <c r="E39" i="6" s="1"/>
  <c r="K5" i="2" l="1"/>
  <c r="L5" i="2" s="1"/>
  <c r="K8" i="2"/>
  <c r="L8" i="2" s="1"/>
  <c r="M8" i="2" s="1"/>
  <c r="K6" i="2"/>
  <c r="L6" i="2" s="1"/>
  <c r="M6" i="2" s="1"/>
  <c r="D24" i="3"/>
  <c r="G24" i="3" s="1"/>
  <c r="K7" i="2"/>
  <c r="L7" i="2" s="1"/>
  <c r="M7" i="2" s="1"/>
  <c r="G28" i="3" l="1"/>
  <c r="H24" i="3"/>
  <c r="I24" i="3" s="1"/>
  <c r="I28" i="3" s="1"/>
  <c r="M5" i="2"/>
  <c r="M60" i="2" s="1"/>
  <c r="L60" i="2"/>
</calcChain>
</file>

<file path=xl/sharedStrings.xml><?xml version="1.0" encoding="utf-8"?>
<sst xmlns="http://schemas.openxmlformats.org/spreadsheetml/2006/main" count="579" uniqueCount="344">
  <si>
    <t>DADOS DE ENTRADA</t>
  </si>
  <si>
    <t>INFORMAÇÕES GERAIS</t>
  </si>
  <si>
    <t>VEÍCULOS</t>
  </si>
  <si>
    <t>PNEUS</t>
  </si>
  <si>
    <r>
      <rPr>
        <b/>
        <sz val="10"/>
        <color rgb="FFFFFFFF"/>
        <rFont val="Times New Roman"/>
      </rPr>
      <t xml:space="preserve">Tempo de Contrato </t>
    </r>
    <r>
      <rPr>
        <i/>
        <sz val="9"/>
        <color rgb="FFFFFFFF"/>
        <rFont val="Times New Roman"/>
      </rPr>
      <t>(meses)</t>
    </r>
  </si>
  <si>
    <t>Número de dias do período letivo</t>
  </si>
  <si>
    <r>
      <rPr>
        <sz val="10"/>
        <color rgb="FFFFFFFF"/>
        <rFont val="Times New Roman"/>
      </rPr>
      <t>Preço médio pneu 0km</t>
    </r>
    <r>
      <rPr>
        <i/>
        <sz val="10"/>
        <color rgb="FFFFFFFF"/>
        <rFont val="Times New Roman"/>
      </rPr>
      <t xml:space="preserve"> (por pneu)</t>
    </r>
  </si>
  <si>
    <t>Alíquota de ISS</t>
  </si>
  <si>
    <t>Ano do Modelo Paradigma</t>
  </si>
  <si>
    <r>
      <rPr>
        <sz val="10"/>
        <color rgb="FFFFFFFF"/>
        <rFont val="Times New Roman"/>
      </rPr>
      <t xml:space="preserve">Preço médio recapagem </t>
    </r>
    <r>
      <rPr>
        <i/>
        <sz val="10"/>
        <color rgb="FFFFFFFF"/>
        <rFont val="Times New Roman"/>
      </rPr>
      <t>(por pneu)</t>
    </r>
  </si>
  <si>
    <t>ÔNIBUS 1</t>
  </si>
  <si>
    <t>ÍNDICES</t>
  </si>
  <si>
    <t>Modelo 0km de Referência (ORE1)</t>
  </si>
  <si>
    <r>
      <rPr>
        <sz val="10"/>
        <color rgb="FFFFFFFF"/>
        <rFont val="Times New Roman"/>
      </rPr>
      <t>Preço médio pneu 0km</t>
    </r>
    <r>
      <rPr>
        <i/>
        <sz val="10"/>
        <color rgb="FFFFFFFF"/>
        <rFont val="Times New Roman"/>
      </rPr>
      <t xml:space="preserve"> (por pneu)</t>
    </r>
  </si>
  <si>
    <r>
      <rPr>
        <sz val="10"/>
        <color rgb="FFFFFFFF"/>
        <rFont val="Times New Roman"/>
      </rPr>
      <t xml:space="preserve">Preço médio recapagem </t>
    </r>
    <r>
      <rPr>
        <i/>
        <sz val="10"/>
        <color rgb="FFFFFFFF"/>
        <rFont val="Times New Roman"/>
      </rPr>
      <t>(por pneu)</t>
    </r>
  </si>
  <si>
    <t>IPCA</t>
  </si>
  <si>
    <t>VAN</t>
  </si>
  <si>
    <r>
      <rPr>
        <sz val="10"/>
        <color rgb="FFFFFFFF"/>
        <rFont val="Times New Roman"/>
      </rPr>
      <t>Preço médio pneu 0km</t>
    </r>
    <r>
      <rPr>
        <i/>
        <sz val="10"/>
        <color rgb="FFFFFFFF"/>
        <rFont val="Times New Roman"/>
      </rPr>
      <t xml:space="preserve"> (por pneu)</t>
    </r>
  </si>
  <si>
    <r>
      <rPr>
        <sz val="10"/>
        <color rgb="FFFFFFFF"/>
        <rFont val="Times New Roman"/>
      </rPr>
      <t xml:space="preserve">Preço médio recapagem </t>
    </r>
    <r>
      <rPr>
        <i/>
        <sz val="10"/>
        <color rgb="FFFFFFFF"/>
        <rFont val="Times New Roman"/>
      </rPr>
      <t>(por pneu)</t>
    </r>
  </si>
  <si>
    <t>Modelo 0km de Referência (ORE3)</t>
  </si>
  <si>
    <t>VAN (veículo tipo 16 a 20 passageiros)</t>
  </si>
  <si>
    <t>OUTROS INSUMOS</t>
  </si>
  <si>
    <t>Custos Fixos</t>
  </si>
  <si>
    <r>
      <rPr>
        <sz val="10"/>
        <color rgb="FFFFFFFF"/>
        <rFont val="Times New Roman"/>
      </rPr>
      <t xml:space="preserve">Licenciamento Anual e Taxa de Bombeiro </t>
    </r>
    <r>
      <rPr>
        <i/>
        <sz val="9"/>
        <color rgb="FFFFFFFF"/>
        <rFont val="Times New Roman"/>
      </rPr>
      <t>(valor anual)</t>
    </r>
  </si>
  <si>
    <r>
      <rPr>
        <sz val="10"/>
        <color rgb="FFFFFFFF"/>
        <rFont val="Times New Roman"/>
      </rPr>
      <t xml:space="preserve">DPVAT </t>
    </r>
    <r>
      <rPr>
        <i/>
        <sz val="9"/>
        <color rgb="FFFFFFFF"/>
        <rFont val="Times New Roman"/>
      </rPr>
      <t>(valor anual) *isento 2023/24</t>
    </r>
  </si>
  <si>
    <r>
      <rPr>
        <sz val="10"/>
        <color rgb="FFFFFFFF"/>
        <rFont val="Times New Roman"/>
      </rPr>
      <t xml:space="preserve">Vistoria DETRAN </t>
    </r>
    <r>
      <rPr>
        <i/>
        <sz val="10"/>
        <color rgb="FFFFFFFF"/>
        <rFont val="Times New Roman"/>
      </rPr>
      <t>(valor anual)</t>
    </r>
  </si>
  <si>
    <r>
      <rPr>
        <sz val="10"/>
        <color rgb="FFFFFFFF"/>
        <rFont val="Times New Roman"/>
      </rPr>
      <t xml:space="preserve">Seguro de Responsabilidade Civil </t>
    </r>
    <r>
      <rPr>
        <i/>
        <sz val="9"/>
        <color rgb="FFFFFFFF"/>
        <rFont val="Times New Roman"/>
      </rPr>
      <t>(valor anual)</t>
    </r>
  </si>
  <si>
    <t>REMUNERAÇÃO DOS MOTORISTAS</t>
  </si>
  <si>
    <t>Preço m² Adesivagem</t>
  </si>
  <si>
    <r>
      <rPr>
        <sz val="10"/>
        <color rgb="FFFFFFFF"/>
        <rFont val="Times New Roman"/>
      </rPr>
      <t xml:space="preserve">Preço Serviço de Rastreamento </t>
    </r>
    <r>
      <rPr>
        <i/>
        <sz val="9"/>
        <color rgb="FFFFFFFF"/>
        <rFont val="Times New Roman"/>
      </rPr>
      <t>(valor mensal)</t>
    </r>
  </si>
  <si>
    <t>Salário</t>
  </si>
  <si>
    <r>
      <rPr>
        <sz val="10"/>
        <color rgb="FFFFFFFF"/>
        <rFont val="Times New Roman"/>
      </rPr>
      <t xml:space="preserve">GRU + Selagem + Ensaio do Tacógrafo </t>
    </r>
    <r>
      <rPr>
        <i/>
        <sz val="9"/>
        <color rgb="FFFFFFFF"/>
        <rFont val="Times New Roman"/>
      </rPr>
      <t>(valor bienal)</t>
    </r>
  </si>
  <si>
    <r>
      <rPr>
        <sz val="10"/>
        <color rgb="FFFFFFFF"/>
        <rFont val="Times New Roman"/>
      </rPr>
      <t xml:space="preserve">Benefícios/mês </t>
    </r>
    <r>
      <rPr>
        <i/>
        <sz val="8"/>
        <color rgb="FFFFFFFF"/>
        <rFont val="Times New Roman"/>
      </rPr>
      <t>(caso não exista, deixar em branco)</t>
    </r>
  </si>
  <si>
    <t>Custos Variáveis</t>
  </si>
  <si>
    <t>Remuneração Motorista de Ônibus 3 (&gt;36 passageiros)</t>
  </si>
  <si>
    <t>Preço Combustível (litro)</t>
  </si>
  <si>
    <t>Preço Óleo do Motor (litro)</t>
  </si>
  <si>
    <r>
      <rPr>
        <sz val="10"/>
        <color rgb="FFFFFFFF"/>
        <rFont val="Times New Roman"/>
      </rPr>
      <t xml:space="preserve">Benefícios/mês </t>
    </r>
    <r>
      <rPr>
        <i/>
        <sz val="8"/>
        <color rgb="FFFFFFFF"/>
        <rFont val="Times New Roman"/>
      </rPr>
      <t>(caso não exista, deixar em branco)</t>
    </r>
  </si>
  <si>
    <t>Preço Óleo Caixa (litro)</t>
  </si>
  <si>
    <t>Remuneração Motorista de Van (16 a 20 passageiros)</t>
  </si>
  <si>
    <t>Preço Óleo Diferencial (litro)</t>
  </si>
  <si>
    <t>Preço Fluido de Freio (litro)</t>
  </si>
  <si>
    <r>
      <rPr>
        <sz val="10"/>
        <color rgb="FFFFFFFF"/>
        <rFont val="Times New Roman"/>
      </rPr>
      <t xml:space="preserve">Benefícios/mês </t>
    </r>
    <r>
      <rPr>
        <i/>
        <sz val="8"/>
        <color rgb="FFFFFFFF"/>
        <rFont val="Times New Roman"/>
      </rPr>
      <t>(caso não exista, deixar em branco)</t>
    </r>
  </si>
  <si>
    <t>Preço Graxa (litro)</t>
  </si>
  <si>
    <t xml:space="preserve">Fonte da Informação: </t>
  </si>
  <si>
    <t>Preço Lavagem (unitário)</t>
  </si>
  <si>
    <t>Ônibus</t>
  </si>
  <si>
    <t>Micro-ônibus</t>
  </si>
  <si>
    <t>Van</t>
  </si>
  <si>
    <t>Caminhonete</t>
  </si>
  <si>
    <r>
      <rPr>
        <b/>
        <sz val="10"/>
        <color rgb="FFFFFFFF"/>
        <rFont val="Times New Roman"/>
      </rPr>
      <t xml:space="preserve">Periodicidade da Limpeza </t>
    </r>
    <r>
      <rPr>
        <i/>
        <sz val="9"/>
        <color rgb="FFFFFFFF"/>
        <rFont val="Times New Roman"/>
      </rPr>
      <t>(Km/semana)</t>
    </r>
  </si>
  <si>
    <t>Planilha Orçamentária</t>
  </si>
  <si>
    <t>Rotas</t>
  </si>
  <si>
    <t>Itinerário</t>
  </si>
  <si>
    <t>Turnos</t>
  </si>
  <si>
    <t>Capacidade Mínima do Veículo</t>
  </si>
  <si>
    <t>Tipo de Veículo</t>
  </si>
  <si>
    <t>Diário não pavimentado (Km)</t>
  </si>
  <si>
    <t>Diário pavimentado (Km)</t>
  </si>
  <si>
    <t>Total Diária (Km)</t>
  </si>
  <si>
    <t>Valor Km não pavimentado</t>
  </si>
  <si>
    <t>Valor Km pavimentado</t>
  </si>
  <si>
    <t>Custo fixo</t>
  </si>
  <si>
    <t>Valor Anual (R$)</t>
  </si>
  <si>
    <t>Valor Contrato (R$)</t>
  </si>
  <si>
    <t>Ônibus 1</t>
  </si>
  <si>
    <t>Ônibus 3</t>
  </si>
  <si>
    <t>Totais</t>
  </si>
  <si>
    <t>Informações preenchidas pela Prefeitura</t>
  </si>
  <si>
    <t xml:space="preserve">Conforme planilhas de composição de custo </t>
  </si>
  <si>
    <t>Item</t>
  </si>
  <si>
    <t>Descrição</t>
  </si>
  <si>
    <r>
      <rPr>
        <b/>
        <sz val="10"/>
        <color rgb="FF000000"/>
        <rFont val="Times New Roman"/>
      </rPr>
      <t xml:space="preserve">Custo Unitário
</t>
    </r>
    <r>
      <rPr>
        <sz val="10"/>
        <color rgb="FF000000"/>
        <rFont val="Times New Roman"/>
      </rPr>
      <t>(a)</t>
    </r>
  </si>
  <si>
    <r>
      <rPr>
        <b/>
        <sz val="10"/>
        <color rgb="FF000000"/>
        <rFont val="Times New Roman"/>
      </rPr>
      <t xml:space="preserve">Quantidade Total por Ano
</t>
    </r>
    <r>
      <rPr>
        <sz val="10"/>
        <color rgb="FF000000"/>
        <rFont val="Times New Roman"/>
      </rPr>
      <t>(b)</t>
    </r>
  </si>
  <si>
    <t>Unidade de medida</t>
  </si>
  <si>
    <r>
      <rPr>
        <b/>
        <sz val="10"/>
        <color rgb="FF000000"/>
        <rFont val="Times New Roman"/>
      </rPr>
      <t xml:space="preserve">Preço Total por Ano
</t>
    </r>
    <r>
      <rPr>
        <sz val="8"/>
        <color rgb="FF000000"/>
        <rFont val="Times New Roman"/>
      </rPr>
      <t>(c) = (a)*(b)</t>
    </r>
  </si>
  <si>
    <r>
      <rPr>
        <b/>
        <sz val="10"/>
        <color rgb="FF000000"/>
        <rFont val="Times New Roman"/>
      </rPr>
      <t xml:space="preserve">Preço Total no Contrato
</t>
    </r>
    <r>
      <rPr>
        <sz val="8"/>
        <color rgb="FF000000"/>
        <rFont val="Times New Roman"/>
      </rPr>
      <t>(d) = (c)*n° de Anos de Contrato</t>
    </r>
  </si>
  <si>
    <r>
      <rPr>
        <b/>
        <sz val="10"/>
        <color rgb="FF000000"/>
        <rFont val="Times New Roman"/>
      </rPr>
      <t xml:space="preserve">Preço Total do Item
</t>
    </r>
    <r>
      <rPr>
        <sz val="8"/>
        <color rgb="FF000000"/>
        <rFont val="Times New Roman"/>
      </rPr>
      <t>(e) = [Cf (total) + Cv (total)]</t>
    </r>
  </si>
  <si>
    <t>1.1</t>
  </si>
  <si>
    <r>
      <rPr>
        <sz val="10"/>
        <color rgb="FF000000"/>
        <rFont val="Times New Roman"/>
      </rPr>
      <t>Custo Fixo</t>
    </r>
    <r>
      <rPr>
        <sz val="8"/>
        <color rgb="FF000000"/>
        <rFont val="Times New Roman"/>
      </rPr>
      <t xml:space="preserve"> </t>
    </r>
    <r>
      <rPr>
        <sz val="7"/>
        <color rgb="FF000000"/>
        <rFont val="Times New Roman"/>
      </rPr>
      <t>(cf)</t>
    </r>
  </si>
  <si>
    <t>Unidade/ano</t>
  </si>
  <si>
    <t>1.2</t>
  </si>
  <si>
    <r>
      <rPr>
        <sz val="10"/>
        <color rgb="FF000000"/>
        <rFont val="Times New Roman"/>
      </rPr>
      <t xml:space="preserve">Custo Variável - Pavimentado </t>
    </r>
    <r>
      <rPr>
        <sz val="7"/>
        <color rgb="FF000000"/>
        <rFont val="Times New Roman"/>
      </rPr>
      <t xml:space="preserve">(cv-pav) </t>
    </r>
  </si>
  <si>
    <t>km estimada pav/ano</t>
  </si>
  <si>
    <r>
      <rPr>
        <sz val="10"/>
        <color rgb="FF000000"/>
        <rFont val="Times New Roman"/>
      </rPr>
      <t xml:space="preserve">Custo Variável - Não Pavimentado </t>
    </r>
    <r>
      <rPr>
        <sz val="7"/>
        <color rgb="FF000000"/>
        <rFont val="Times New Roman"/>
      </rPr>
      <t>(cv-npav)</t>
    </r>
  </si>
  <si>
    <t>km estimada npav/ano</t>
  </si>
  <si>
    <t>2.1</t>
  </si>
  <si>
    <r>
      <rPr>
        <sz val="10"/>
        <color rgb="FF000000"/>
        <rFont val="Times New Roman"/>
      </rPr>
      <t>Custo Fixo</t>
    </r>
    <r>
      <rPr>
        <sz val="8"/>
        <color rgb="FF000000"/>
        <rFont val="Times New Roman"/>
      </rPr>
      <t xml:space="preserve"> </t>
    </r>
    <r>
      <rPr>
        <sz val="7"/>
        <color rgb="FF000000"/>
        <rFont val="Times New Roman"/>
      </rPr>
      <t>(cf)</t>
    </r>
  </si>
  <si>
    <t>2.2</t>
  </si>
  <si>
    <r>
      <rPr>
        <sz val="10"/>
        <color rgb="FF000000"/>
        <rFont val="Times New Roman"/>
      </rPr>
      <t xml:space="preserve">Custo Variável - Pavimentado </t>
    </r>
    <r>
      <rPr>
        <sz val="7"/>
        <color rgb="FF000000"/>
        <rFont val="Times New Roman"/>
      </rPr>
      <t xml:space="preserve">(cv-pav) </t>
    </r>
  </si>
  <si>
    <r>
      <rPr>
        <sz val="10"/>
        <color rgb="FF000000"/>
        <rFont val="Times New Roman"/>
      </rPr>
      <t xml:space="preserve">Custo Variável - Não Pavimentado </t>
    </r>
    <r>
      <rPr>
        <sz val="7"/>
        <color rgb="FF000000"/>
        <rFont val="Times New Roman"/>
      </rPr>
      <t>(cv-npav)</t>
    </r>
  </si>
  <si>
    <t>TOTAL/ANO:</t>
  </si>
  <si>
    <t>TOTAL/CONTRATO:</t>
  </si>
  <si>
    <t>LOTE 2</t>
  </si>
  <si>
    <r>
      <rPr>
        <b/>
        <sz val="10"/>
        <color rgb="FF000000"/>
        <rFont val="Times New Roman"/>
      </rPr>
      <t xml:space="preserve">Custo Unitário
</t>
    </r>
    <r>
      <rPr>
        <sz val="10"/>
        <color rgb="FF000000"/>
        <rFont val="Times New Roman"/>
      </rPr>
      <t>(a)</t>
    </r>
  </si>
  <si>
    <r>
      <rPr>
        <b/>
        <sz val="10"/>
        <color rgb="FF000000"/>
        <rFont val="Times New Roman"/>
      </rPr>
      <t xml:space="preserve">Quantidade Total por Ano
</t>
    </r>
    <r>
      <rPr>
        <sz val="10"/>
        <color rgb="FF000000"/>
        <rFont val="Times New Roman"/>
      </rPr>
      <t>(b)</t>
    </r>
  </si>
  <si>
    <r>
      <rPr>
        <b/>
        <sz val="10"/>
        <color rgb="FF000000"/>
        <rFont val="Times New Roman"/>
      </rPr>
      <t xml:space="preserve">Preço Total por Ano
</t>
    </r>
    <r>
      <rPr>
        <sz val="8"/>
        <color rgb="FF000000"/>
        <rFont val="Times New Roman"/>
      </rPr>
      <t>(c) = (a)*(b)</t>
    </r>
  </si>
  <si>
    <r>
      <rPr>
        <b/>
        <sz val="10"/>
        <color rgb="FF000000"/>
        <rFont val="Times New Roman"/>
      </rPr>
      <t xml:space="preserve">Preço Total no Contrato
</t>
    </r>
    <r>
      <rPr>
        <sz val="8"/>
        <color rgb="FF000000"/>
        <rFont val="Times New Roman"/>
      </rPr>
      <t>(d) = (c)*n° de Anos de Contrato</t>
    </r>
  </si>
  <si>
    <r>
      <rPr>
        <b/>
        <sz val="10"/>
        <color rgb="FF000000"/>
        <rFont val="Times New Roman"/>
      </rPr>
      <t xml:space="preserve">Preço Total do Item
</t>
    </r>
    <r>
      <rPr>
        <sz val="8"/>
        <color rgb="FF000000"/>
        <rFont val="Times New Roman"/>
      </rPr>
      <t>(e) = [Cf (total) + Cv (total)]</t>
    </r>
  </si>
  <si>
    <r>
      <rPr>
        <b/>
        <sz val="10"/>
        <color theme="1"/>
        <rFont val="Times New Roman"/>
      </rPr>
      <t xml:space="preserve">Serviço de Transporte Escolar - </t>
    </r>
    <r>
      <rPr>
        <i/>
        <sz val="10"/>
        <color theme="1"/>
        <rFont val="Times New Roman"/>
      </rPr>
      <t>Veículo:</t>
    </r>
    <r>
      <rPr>
        <b/>
        <sz val="10"/>
        <color theme="1"/>
        <rFont val="Times New Roman"/>
      </rPr>
      <t xml:space="preserve"> Van </t>
    </r>
    <r>
      <rPr>
        <sz val="10"/>
        <color theme="1"/>
        <rFont val="Times New Roman"/>
      </rPr>
      <t>-</t>
    </r>
    <r>
      <rPr>
        <b/>
        <sz val="10"/>
        <color theme="1"/>
        <rFont val="Times New Roman"/>
      </rPr>
      <t xml:space="preserve"> </t>
    </r>
    <r>
      <rPr>
        <i/>
        <sz val="10"/>
        <color theme="1"/>
        <rFont val="Times New Roman"/>
      </rPr>
      <t>Propriedade do Veículo:</t>
    </r>
    <r>
      <rPr>
        <b/>
        <sz val="10"/>
        <color theme="1"/>
        <rFont val="Times New Roman"/>
      </rPr>
      <t xml:space="preserve"> Terceirizado</t>
    </r>
  </si>
  <si>
    <r>
      <rPr>
        <sz val="10"/>
        <color rgb="FF000000"/>
        <rFont val="Times New Roman"/>
      </rPr>
      <t>Custo Fixo</t>
    </r>
    <r>
      <rPr>
        <sz val="8"/>
        <color rgb="FF000000"/>
        <rFont val="Times New Roman"/>
      </rPr>
      <t xml:space="preserve"> </t>
    </r>
    <r>
      <rPr>
        <sz val="7"/>
        <color rgb="FF000000"/>
        <rFont val="Times New Roman"/>
      </rPr>
      <t>(cf)</t>
    </r>
  </si>
  <si>
    <r>
      <rPr>
        <sz val="10"/>
        <color rgb="FF000000"/>
        <rFont val="Times New Roman"/>
      </rPr>
      <t xml:space="preserve">Custo Variável - Pavimentado </t>
    </r>
    <r>
      <rPr>
        <sz val="7"/>
        <color rgb="FF000000"/>
        <rFont val="Times New Roman"/>
      </rPr>
      <t xml:space="preserve">(cv-pav) </t>
    </r>
  </si>
  <si>
    <r>
      <rPr>
        <sz val="10"/>
        <color rgb="FF000000"/>
        <rFont val="Times New Roman"/>
      </rPr>
      <t xml:space="preserve">Custo Variável - Não Pavimentado </t>
    </r>
    <r>
      <rPr>
        <sz val="7"/>
        <color rgb="FF000000"/>
        <rFont val="Times New Roman"/>
      </rPr>
      <t>(cv-npav)</t>
    </r>
  </si>
  <si>
    <t>Veículo Tipo:</t>
  </si>
  <si>
    <r>
      <rPr>
        <b/>
        <sz val="14"/>
        <color rgb="FFFFFFFF"/>
        <rFont val="Times New Roman"/>
      </rPr>
      <t xml:space="preserve">Custos Fixos
</t>
    </r>
    <r>
      <rPr>
        <i/>
        <sz val="10"/>
        <color rgb="FFFFFFFF"/>
        <rFont val="Times New Roman"/>
      </rPr>
      <t>Valor de referência para o pagamento em cada um dos meses do contrato</t>
    </r>
  </si>
  <si>
    <r>
      <rPr>
        <b/>
        <sz val="14"/>
        <color rgb="FFFFFFFF"/>
        <rFont val="Times New Roman"/>
      </rPr>
      <t xml:space="preserve">Custos Variáveis
</t>
    </r>
    <r>
      <rPr>
        <i/>
        <sz val="10"/>
        <color rgb="FFFFFFFF"/>
        <rFont val="Times New Roman"/>
      </rPr>
      <t>Valor de referência para custeio da distância percorrida em cada tipo de via (conforme projeto)</t>
    </r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</si>
  <si>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</si>
  <si>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</si>
  <si>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</si>
  <si>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</si>
  <si>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</si>
  <si>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</si>
  <si>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Encargos Trabalhistas</t>
  </si>
  <si>
    <t>Custo médio da recapagem do pneu</t>
  </si>
  <si>
    <r>
      <rPr>
        <sz val="10"/>
        <color theme="1"/>
        <rFont val="Times New Roman"/>
      </rPr>
      <t xml:space="preserve">Equipe de Manutenção </t>
    </r>
    <r>
      <rPr>
        <i/>
        <sz val="9"/>
        <color theme="1"/>
        <rFont val="Times New Roman"/>
      </rPr>
      <t>(apropriado mediante rateio)</t>
    </r>
  </si>
  <si>
    <t>Vida útil média pneu 0km</t>
  </si>
  <si>
    <t>Mão de Obra Mensal (R$)</t>
  </si>
  <si>
    <t>Vida útil média pneu recapeado</t>
  </si>
  <si>
    <t>DEPRECIAÇÃO</t>
  </si>
  <si>
    <t>Número de pneus</t>
  </si>
  <si>
    <t>Depreciação Média Mensal</t>
  </si>
  <si>
    <t>Pneus (R$/km)</t>
  </si>
  <si>
    <t>Depreciação Mensal (R$)</t>
  </si>
  <si>
    <t>COMBUSTÍVEL</t>
  </si>
  <si>
    <t>Não Pavimentado</t>
  </si>
  <si>
    <t>Pavimentado</t>
  </si>
  <si>
    <t>REMUNERAÇÃO DO CAPITAL IMOBILIZADO</t>
  </si>
  <si>
    <t>Autonomia (km/l)</t>
  </si>
  <si>
    <t>Remuneração (mensal)</t>
  </si>
  <si>
    <t>Preço Diesel</t>
  </si>
  <si>
    <t>Remuneração do capital Investido Mensal(R$)</t>
  </si>
  <si>
    <t>Combustível (R$/km)</t>
  </si>
  <si>
    <t>LICENCIAMENTO, SEGUROS E TAXAS</t>
  </si>
  <si>
    <t>PEÇAS E ACESSÓRIOS</t>
  </si>
  <si>
    <r>
      <rPr>
        <sz val="10"/>
        <color theme="1"/>
        <rFont val="Times New Roman"/>
      </rPr>
      <t xml:space="preserve">IPVA </t>
    </r>
    <r>
      <rPr>
        <i/>
        <sz val="9"/>
        <color theme="1"/>
        <rFont val="Times New Roman"/>
      </rPr>
      <t>(apropriado ao longo de 12 meses)</t>
    </r>
  </si>
  <si>
    <t>Peças e Acessórios</t>
  </si>
  <si>
    <r>
      <rPr>
        <sz val="10"/>
        <color theme="1"/>
        <rFont val="Times New Roman"/>
      </rPr>
      <t xml:space="preserve">Licenciamento </t>
    </r>
    <r>
      <rPr>
        <i/>
        <sz val="9"/>
        <color theme="1"/>
        <rFont val="Times New Roman"/>
      </rPr>
      <t>(apropriado ao longo de 12 meses)</t>
    </r>
  </si>
  <si>
    <t>Coeficiente</t>
  </si>
  <si>
    <r>
      <rPr>
        <sz val="10"/>
        <color theme="1"/>
        <rFont val="Times New Roman"/>
      </rPr>
      <t xml:space="preserve">DPVAT </t>
    </r>
    <r>
      <rPr>
        <i/>
        <sz val="9"/>
        <color theme="1"/>
        <rFont val="Times New Roman"/>
      </rPr>
      <t>(apropriado ao longo de 12 meses)</t>
    </r>
  </si>
  <si>
    <t>Base de Cálculo</t>
  </si>
  <si>
    <r>
      <rPr>
        <sz val="10"/>
        <color theme="1"/>
        <rFont val="Times New Roman"/>
      </rPr>
      <t xml:space="preserve">Vistoria DETRAN/PE </t>
    </r>
    <r>
      <rPr>
        <i/>
        <sz val="9"/>
        <color theme="1"/>
        <rFont val="Times New Roman"/>
      </rPr>
      <t>(apropriado ao longo de 12 meses)</t>
    </r>
  </si>
  <si>
    <t>Peças e Acessórios (R$/km)</t>
  </si>
  <si>
    <r>
      <rPr>
        <sz val="10"/>
        <color theme="1"/>
        <rFont val="Times New Roman"/>
      </rPr>
      <t xml:space="preserve">Seguro de Responsabilidade Civil </t>
    </r>
    <r>
      <rPr>
        <i/>
        <sz val="9"/>
        <color theme="1"/>
        <rFont val="Times New Roman"/>
      </rPr>
      <t>(apropriado ao longo de 12 meses)</t>
    </r>
  </si>
  <si>
    <t>LUBRIFICAÇÃO</t>
  </si>
  <si>
    <t>Licenciamento, Seguros e Taxas Mensal (R$)</t>
  </si>
  <si>
    <t>Preço do Litro</t>
  </si>
  <si>
    <t>R$/km</t>
  </si>
  <si>
    <t>CUSTOS FIXOS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</si>
  <si>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</si>
  <si>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</si>
  <si>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</si>
  <si>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</si>
  <si>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</si>
  <si>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</si>
  <si>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</si>
  <si>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</si>
  <si>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</si>
  <si>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r>
      <rPr>
        <sz val="10"/>
        <color theme="1"/>
        <rFont val="Times New Roman"/>
      </rPr>
      <t xml:space="preserve">Serviço de Rastreamento </t>
    </r>
    <r>
      <rPr>
        <i/>
        <sz val="10"/>
        <color theme="1"/>
        <rFont val="Times New Roman"/>
      </rPr>
      <t>(valor mensal)</t>
    </r>
  </si>
  <si>
    <t>Lubrificantes (R$/km)</t>
  </si>
  <si>
    <r>
      <rPr>
        <sz val="10"/>
        <color theme="1"/>
        <rFont val="Times New Roman"/>
      </rPr>
      <t xml:space="preserve">Tacógrafo </t>
    </r>
    <r>
      <rPr>
        <i/>
        <sz val="10"/>
        <color theme="1"/>
        <rFont val="Times New Roman"/>
      </rPr>
      <t>(apropriado ao longo de 24 meses)</t>
    </r>
  </si>
  <si>
    <t>LIMPEZA</t>
  </si>
  <si>
    <t>Apropriação reserva técnica</t>
  </si>
  <si>
    <t>Preço Unitário</t>
  </si>
  <si>
    <t>Implementos Mensal (R$)</t>
  </si>
  <si>
    <t>Periodicidade (em km)</t>
  </si>
  <si>
    <t>CUSTOS FIXOS (sem BDI)</t>
  </si>
  <si>
    <t>Limpeza (R$/km)</t>
  </si>
  <si>
    <t>BDI (%)</t>
  </si>
  <si>
    <t>CUSTO QUILOMÉTRICO</t>
  </si>
  <si>
    <t>CUSTOS FIXOS (com BDI)</t>
  </si>
  <si>
    <t>Custo Pneus/km</t>
  </si>
  <si>
    <t>Custo Combustível/km</t>
  </si>
  <si>
    <t>Custo Manutenção/km</t>
  </si>
  <si>
    <t>Custo Lubrificação/km</t>
  </si>
  <si>
    <t>Custo Lavagem/km</t>
  </si>
  <si>
    <t>CUSTO QUILOMÉTRICO (sem BDI)</t>
  </si>
  <si>
    <t>CUSTO QUILOMÉTRICO (com BDI)</t>
  </si>
  <si>
    <r>
      <rPr>
        <b/>
        <sz val="14"/>
        <color rgb="FFFFFFFF"/>
        <rFont val="Times New Roman"/>
      </rPr>
      <t xml:space="preserve">Custos Fixos
</t>
    </r>
    <r>
      <rPr>
        <i/>
        <sz val="10"/>
        <color rgb="FFFFFFFF"/>
        <rFont val="Times New Roman"/>
      </rPr>
      <t>Valor de referência para o pagamento em cada um dos meses do contrato</t>
    </r>
  </si>
  <si>
    <r>
      <rPr>
        <b/>
        <sz val="14"/>
        <color rgb="FFFFFFFF"/>
        <rFont val="Times New Roman"/>
      </rPr>
      <t xml:space="preserve">Custos Variáveis
</t>
    </r>
    <r>
      <rPr>
        <i/>
        <sz val="10"/>
        <color rgb="FFFFFFFF"/>
        <rFont val="Times New Roman"/>
      </rPr>
      <t>Valor de referência para custeio da distância percorrida em cada tipo de via (conforme projeto)</t>
    </r>
  </si>
  <si>
    <r>
      <rPr>
        <sz val="10"/>
        <color theme="1"/>
        <rFont val="Times New Roman"/>
      </rPr>
      <t xml:space="preserve">Equipe de Manutenção </t>
    </r>
    <r>
      <rPr>
        <i/>
        <sz val="9"/>
        <color theme="1"/>
        <rFont val="Times New Roman"/>
      </rPr>
      <t>(apropriado mediante rateio)</t>
    </r>
  </si>
  <si>
    <r>
      <rPr>
        <sz val="10"/>
        <color theme="1"/>
        <rFont val="Times New Roman"/>
      </rPr>
      <t xml:space="preserve">IPVA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</si>
  <si>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Licenciamento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</si>
  <si>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DPVAT </t>
    </r>
    <r>
      <rPr>
        <i/>
        <sz val="9"/>
        <color theme="1"/>
        <rFont val="Times New Roman"/>
      </rPr>
      <t>(apropriado ao longo de 12 meses)</t>
    </r>
  </si>
  <si>
    <t>Base de Cálculo Veículo 0km de Referência</t>
  </si>
  <si>
    <r>
      <rPr>
        <sz val="10"/>
        <color theme="1"/>
        <rFont val="Times New Roman"/>
      </rPr>
      <t xml:space="preserve">Vistoria DETRAN/PE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</si>
  <si>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Seguro de Responsabilidade Civil </t>
    </r>
    <r>
      <rPr>
        <i/>
        <sz val="9"/>
        <color theme="1"/>
        <rFont val="Times New Roman"/>
      </rPr>
      <t>(apropriado ao longo de 12 meses)</t>
    </r>
  </si>
  <si>
    <t>CUSTOS COMPLEMENTARES</t>
  </si>
  <si>
    <r>
      <rPr>
        <sz val="10"/>
        <color theme="1"/>
        <rFont val="Times New Roman"/>
      </rPr>
      <t>Serviço de Rastreamento</t>
    </r>
    <r>
      <rPr>
        <i/>
        <sz val="10"/>
        <color theme="1"/>
        <rFont val="Times New Roman"/>
      </rPr>
      <t xml:space="preserve"> (valor mensal)</t>
    </r>
  </si>
  <si>
    <r>
      <rPr>
        <sz val="10"/>
        <color theme="1"/>
        <rFont val="Times New Roman"/>
      </rPr>
      <t xml:space="preserve">Tacógrafo </t>
    </r>
    <r>
      <rPr>
        <i/>
        <sz val="10"/>
        <color theme="1"/>
        <rFont val="Times New Roman"/>
      </rPr>
      <t>(apropriado ao longo de 24 meses)</t>
    </r>
  </si>
  <si>
    <r>
      <rPr>
        <b/>
        <sz val="14"/>
        <color rgb="FFFFFFFF"/>
        <rFont val="Times New Roman"/>
      </rPr>
      <t xml:space="preserve">Custos Fixos
</t>
    </r>
    <r>
      <rPr>
        <i/>
        <sz val="10"/>
        <color rgb="FFFFFFFF"/>
        <rFont val="Times New Roman"/>
      </rPr>
      <t>Valor de referência para o pagamento em cada um dos meses do contrato</t>
    </r>
  </si>
  <si>
    <r>
      <rPr>
        <b/>
        <sz val="14"/>
        <color rgb="FFFFFFFF"/>
        <rFont val="Times New Roman"/>
      </rPr>
      <t xml:space="preserve">Custos Variáveis
</t>
    </r>
    <r>
      <rPr>
        <i/>
        <sz val="10"/>
        <color rgb="FFFFFFFF"/>
        <rFont val="Times New Roman"/>
      </rPr>
      <t>Valor de referência para custeio da distância percorrida em cada tipo de via (conforme projeto)</t>
    </r>
  </si>
  <si>
    <r>
      <rPr>
        <sz val="10"/>
        <color theme="1"/>
        <rFont val="Times New Roman"/>
      </rPr>
      <t xml:space="preserve">Equipe de Manutenção </t>
    </r>
    <r>
      <rPr>
        <i/>
        <sz val="9"/>
        <color theme="1"/>
        <rFont val="Times New Roman"/>
      </rPr>
      <t>(apropriado mediante rateio)</t>
    </r>
  </si>
  <si>
    <r>
      <rPr>
        <sz val="10"/>
        <color theme="1"/>
        <rFont val="Times New Roman"/>
      </rPr>
      <t xml:space="preserve">IPVA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</si>
  <si>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Licenciamento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</si>
  <si>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DPVAT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</si>
  <si>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Vistoria DETRAN/PE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</si>
  <si>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Seguro de Responsabilidade Civil </t>
    </r>
    <r>
      <rPr>
        <i/>
        <sz val="9"/>
        <color theme="1"/>
        <rFont val="Times New Roman"/>
      </rPr>
      <t>(apropriado ao longo de 12 meses)</t>
    </r>
  </si>
  <si>
    <r>
      <rPr>
        <sz val="10"/>
        <color theme="1"/>
        <rFont val="Times New Roman"/>
      </rPr>
      <t xml:space="preserve">Serviço de Rastreamento </t>
    </r>
    <r>
      <rPr>
        <i/>
        <sz val="10"/>
        <color theme="1"/>
        <rFont val="Times New Roman"/>
      </rPr>
      <t>(valor mensal)</t>
    </r>
  </si>
  <si>
    <r>
      <rPr>
        <sz val="10"/>
        <color theme="1"/>
        <rFont val="Times New Roman"/>
      </rPr>
      <t xml:space="preserve">Tacógrafo </t>
    </r>
    <r>
      <rPr>
        <i/>
        <sz val="10"/>
        <color theme="1"/>
        <rFont val="Times New Roman"/>
      </rPr>
      <t>(apropriado ao longo de 24 meses)</t>
    </r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</si>
  <si>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</si>
  <si>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</si>
  <si>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</si>
  <si>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</si>
  <si>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</si>
  <si>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</si>
  <si>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</si>
  <si>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Índice de Depreciação</t>
  </si>
  <si>
    <t xml:space="preserve">Valor Venal </t>
  </si>
  <si>
    <t>Depreciação</t>
  </si>
  <si>
    <t>Depreciação Contratada</t>
  </si>
  <si>
    <t>Veículo paradígma da licitação</t>
  </si>
  <si>
    <t>Ano</t>
  </si>
  <si>
    <t>Faixa Etária</t>
  </si>
  <si>
    <t>Coeficiente de Consumo
de Peças e Acessórios por km</t>
  </si>
  <si>
    <t>ENCARGOS SOCIAIS</t>
  </si>
  <si>
    <t>PARÂMETROS</t>
  </si>
  <si>
    <t>Profissional</t>
  </si>
  <si>
    <t>=======&gt;</t>
  </si>
  <si>
    <t>Motorista (+36 passageiros)</t>
  </si>
  <si>
    <t>Motorista (21 a 36 passageiros)</t>
  </si>
  <si>
    <t>Motorista (01 a 20 passageiros)</t>
  </si>
  <si>
    <t>Jornada</t>
  </si>
  <si>
    <t>44h</t>
  </si>
  <si>
    <t>Fonte</t>
  </si>
  <si>
    <t>Turno de Trabalho</t>
  </si>
  <si>
    <t>PLANILHA DE FORMAÇÃO DE CUSTOS</t>
  </si>
  <si>
    <t>Base</t>
  </si>
  <si>
    <t>%</t>
  </si>
  <si>
    <t>Valor Mensal (R$)</t>
  </si>
  <si>
    <t>Valor mensal (R$)</t>
  </si>
  <si>
    <t>REMUNERAÇÃO DA MÃO DE OBRA</t>
  </si>
  <si>
    <t>Valor do Piso Salarial</t>
  </si>
  <si>
    <t>TOTAL REMUNERAÇÃO</t>
  </si>
  <si>
    <t>MONTANTE A</t>
  </si>
  <si>
    <t>ENCARGOS SOCIAIS E PROVISÕES DE ENCARGOS TRABALHISTAS(INCIDENTES SOBRE REMUNERAÇÃO)</t>
  </si>
  <si>
    <t>GRUPO A - OBRIGAÇÕES SOCIAIS</t>
  </si>
  <si>
    <t>A.01</t>
  </si>
  <si>
    <t>INSS - Artigo 22 inciso I Lei 8.212/91</t>
  </si>
  <si>
    <t>A.02</t>
  </si>
  <si>
    <t>FGTS - Artigo 15 Lei 8030/90 e Art. 7º inciso III CF/88</t>
  </si>
  <si>
    <t>A.03</t>
  </si>
  <si>
    <t>SESI/SESC - Artigo 3º Lei 8.036/90</t>
  </si>
  <si>
    <t>A.04</t>
  </si>
  <si>
    <t>SENAI/SENAC - Decreto 2.318/86</t>
  </si>
  <si>
    <t>A.05</t>
  </si>
  <si>
    <t>INCRA - Lei 7787 de 30/06/89 e DL 1146/70</t>
  </si>
  <si>
    <t>A.06</t>
  </si>
  <si>
    <t>SEBRAE - Artigo 8º Lei 8029/90 e Lei 8154 de 28/12/90</t>
  </si>
  <si>
    <t>A.07</t>
  </si>
  <si>
    <t>Salário Educação - Artigo 3º Inciso I Decreto 87.043/82</t>
  </si>
  <si>
    <t>A.08</t>
  </si>
  <si>
    <t>SAT/FAP ( de acordo CNAE/FAP)</t>
  </si>
  <si>
    <t>Subtotal Grupo A</t>
  </si>
  <si>
    <t>GRUPO B  - CUSTO DE REPOSIÇÃO DO PROFISSIONAL AUSENTE</t>
  </si>
  <si>
    <t>B.01</t>
  </si>
  <si>
    <t xml:space="preserve">Férias </t>
  </si>
  <si>
    <t>B.02</t>
  </si>
  <si>
    <t>Aviso  Prévio Trabalhado</t>
  </si>
  <si>
    <t>B.03</t>
  </si>
  <si>
    <t>Ausências por Doença</t>
  </si>
  <si>
    <t>B.04</t>
  </si>
  <si>
    <t>Acidente de Trabalho</t>
  </si>
  <si>
    <t>B.05</t>
  </si>
  <si>
    <t>Faltas Legais</t>
  </si>
  <si>
    <t>B.06</t>
  </si>
  <si>
    <t>Licença paternidade</t>
  </si>
  <si>
    <t>Subtotal Grupo B</t>
  </si>
  <si>
    <t>GRUPO C - GRATIFICAÇÕES</t>
  </si>
  <si>
    <t>C.01</t>
  </si>
  <si>
    <t>Adicional 1/3 Férias</t>
  </si>
  <si>
    <t>C.02</t>
  </si>
  <si>
    <t>13º Salário</t>
  </si>
  <si>
    <t>Subtotal Grupo C</t>
  </si>
  <si>
    <t>GRUPO D - INDENIZAÇÕES</t>
  </si>
  <si>
    <t>D.01</t>
  </si>
  <si>
    <t>Aviso Prévio indenizado + Férias e 1/3 Const. + 13º indenizado</t>
  </si>
  <si>
    <t>D.02</t>
  </si>
  <si>
    <t>FGTS sobre Aviso Prévio + FGTS sobre 13º indenizado</t>
  </si>
  <si>
    <t>D.03</t>
  </si>
  <si>
    <t>Indenização compensatória por demissão s/justa causa</t>
  </si>
  <si>
    <t>Subtotal Grupo D</t>
  </si>
  <si>
    <t>GRUPO E - LICENÇA MATERNIDADE</t>
  </si>
  <si>
    <t>E.01</t>
  </si>
  <si>
    <t>Aprovisionamento de Férias sobre licença maternidade</t>
  </si>
  <si>
    <t>E.02</t>
  </si>
  <si>
    <t>Aprovisionamento de 1/3 constitucional/ Férias sobre licença maternidade</t>
  </si>
  <si>
    <t>E.03</t>
  </si>
  <si>
    <t>Incidência do Grupo A sobre o Grupo licença maternidade</t>
  </si>
  <si>
    <t>Subtotal Grupo E</t>
  </si>
  <si>
    <t xml:space="preserve">GRUPO F - INCIDENCIA DO GRUPO A </t>
  </si>
  <si>
    <t>F.01</t>
  </si>
  <si>
    <t>Incidência Grupo A x ( Grupo B + C)</t>
  </si>
  <si>
    <t>Subtotal Grupo F</t>
  </si>
  <si>
    <t>TAXA TOTAL DE ENCARGOS SOCIAIS</t>
  </si>
  <si>
    <t>TOTAL DE REMUNERAÇÃO + ENCARGOS SOCIAIS</t>
  </si>
  <si>
    <t>MONTANTE B</t>
  </si>
  <si>
    <t>BENEFÍCIOS E UNIFORMES</t>
  </si>
  <si>
    <t>Auxílio Alimentação - Convenção Coletiva</t>
  </si>
  <si>
    <t>Uniformes (ata da SAD)</t>
  </si>
  <si>
    <t>Subtotal - Benefícios e Uniformes</t>
  </si>
  <si>
    <t>TOTAL MONTANTE B</t>
  </si>
  <si>
    <t>QUADRO RESUMO DO VALOR MENSAL DO SERVIÇO</t>
  </si>
  <si>
    <t>VALOR MENSAL DO SERVIÇO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</si>
  <si>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</si>
  <si>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</si>
  <si>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</si>
  <si>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</si>
  <si>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</si>
  <si>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</si>
  <si>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</si>
  <si>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</si>
  <si>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</si>
  <si>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</si>
  <si>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</si>
  <si>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</si>
  <si>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</si>
  <si>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</si>
  <si>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</si>
  <si>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MICRO-ÔNIBUS (veículo tipo 21 a 36 passageiros)</t>
  </si>
  <si>
    <t>Remuneração Motorista de Micro-Ônibus 1 (21 a 36 passageiros)</t>
  </si>
  <si>
    <t>ÔNIBUS (veículo tipo &gt;36 passageiros)</t>
  </si>
  <si>
    <t>Micro-Ônibus</t>
  </si>
  <si>
    <r>
      <rPr>
        <b/>
        <sz val="10"/>
        <color theme="1"/>
        <rFont val="Times New Roman"/>
      </rPr>
      <t xml:space="preserve">Serviço de Transporte Escolar - </t>
    </r>
    <r>
      <rPr>
        <i/>
        <sz val="10"/>
        <color theme="1"/>
        <rFont val="Times New Roman"/>
      </rPr>
      <t>Veículo:</t>
    </r>
    <r>
      <rPr>
        <b/>
        <sz val="10"/>
        <color theme="1"/>
        <rFont val="Times New Roman"/>
      </rPr>
      <t xml:space="preserve"> Micro-Ônibus</t>
    </r>
    <r>
      <rPr>
        <sz val="10"/>
        <color theme="1"/>
        <rFont val="Times New Roman"/>
      </rPr>
      <t>-</t>
    </r>
    <r>
      <rPr>
        <b/>
        <sz val="10"/>
        <color theme="1"/>
        <rFont val="Times New Roman"/>
      </rPr>
      <t xml:space="preserve"> </t>
    </r>
    <r>
      <rPr>
        <i/>
        <sz val="10"/>
        <color theme="1"/>
        <rFont val="Times New Roman"/>
      </rPr>
      <t>Propriedade do Veículo:</t>
    </r>
    <r>
      <rPr>
        <b/>
        <sz val="10"/>
        <color theme="1"/>
        <rFont val="Times New Roman"/>
      </rPr>
      <t xml:space="preserve"> Terceirizado</t>
    </r>
  </si>
  <si>
    <r>
      <rPr>
        <b/>
        <sz val="10"/>
        <color theme="1"/>
        <rFont val="Times New Roman"/>
      </rPr>
      <t xml:space="preserve">Serviço de Transporte Escolar - </t>
    </r>
    <r>
      <rPr>
        <i/>
        <sz val="10"/>
        <color theme="1"/>
        <rFont val="Times New Roman"/>
      </rPr>
      <t>Veículo:</t>
    </r>
    <r>
      <rPr>
        <b/>
        <sz val="10"/>
        <color theme="1"/>
        <rFont val="Times New Roman"/>
      </rPr>
      <t xml:space="preserve"> Ônibus</t>
    </r>
    <r>
      <rPr>
        <sz val="10"/>
        <color theme="1"/>
        <rFont val="Times New Roman"/>
      </rPr>
      <t>-</t>
    </r>
    <r>
      <rPr>
        <b/>
        <sz val="10"/>
        <color theme="1"/>
        <rFont val="Times New Roman"/>
      </rPr>
      <t xml:space="preserve"> </t>
    </r>
    <r>
      <rPr>
        <i/>
        <sz val="10"/>
        <color theme="1"/>
        <rFont val="Times New Roman"/>
      </rPr>
      <t>Propriedade do Veículo:</t>
    </r>
    <r>
      <rPr>
        <b/>
        <sz val="10"/>
        <color theme="1"/>
        <rFont val="Times New Roman"/>
      </rPr>
      <t xml:space="preserve"> Terceirizado</t>
    </r>
  </si>
  <si>
    <t>MICRO - ÔNIBUS</t>
  </si>
  <si>
    <t>ÔNIBUS</t>
  </si>
  <si>
    <t>Taxa pré-fixada da TLP 02/2026</t>
  </si>
  <si>
    <t>Modelo Paradigma</t>
  </si>
  <si>
    <t xml:space="preserve">Modelo Paradigma </t>
  </si>
  <si>
    <t xml:space="preserve">Preço </t>
  </si>
  <si>
    <t xml:space="preserve">Modelo 0km de Referência </t>
  </si>
  <si>
    <t>O itinerario da manhã tem inicio no Sítio Carangueijo  (-8,373512 -35,59045) Emb. 7, continuando no Sítio Carangueijo  (-8,372929 -35,591444) Emb. 2, continuando no Sítio Carangueijo  (-8,375029 -35,593449) Emb. 7, continuando no Sítio Carangueijo  (-8,379704 -35,599303) Emb. 3, passando no Sítio Valentinho (-8,391637 -35,610933) Emb. 4, continuando no Sítio Valentinho (-8,392471 -35,612126) Emb. 4, passando na Fzd. Aça-Flor (-8,397209 -35,61349) Emb. 4, passando no Sítio Cabeleireira  (-8,415018 -35,615408) Emb. 4, continuando no Sítio Cabeleireira  (-8,417478 -35,617091) Emb. 5, continuando no Sítio Cabeleireira  (-8,418895 -35,618022) Emb. 1, passando no Sítio Jussara (-8,421833 -35,655576) Emb. 5, parando na Esc. Mul. David Gonçalves  (-8,421901 -35,661441) Desemb. 6, parando na Esc. Mul. Francisdete Tenorio de Holanda (-8,424797 -35,676165) Desemb. 5, parando na Esc. Mul. Manoel Damásio Monteiro (-8,420982 -35,665841) Desemb. 4, parando na EREM Leobaldo Soares da Silva (-8,418077 -35,663152) Desemb. 10, parando na Creche tia Waldja/Esc. Mul Maria Judite (-8,418205 -35,663783) Desemb. 5, parando na Esc. Mul. Claudio Lopes (-8,417256 -35,665274) Desemb. 5, e finalizando na Esc. Mul. Ministro Marcos Freire (-8,414492 -35,665366) Desemb. 9.</t>
  </si>
  <si>
    <t>Manha</t>
  </si>
  <si>
    <t>44</t>
  </si>
  <si>
    <t>O itinerario da manhã tem inicio no Estreito (-8,413706 -35,707867) Emb. 3, passando no Carvão  (-8,409895 -35,697056) Emb. 1, passando na Fzd. Ma&amp;pe (-8,406159 -35,692727) Emb. 2, passando no Riacho seco (-8,39904 -35,694455) Emb. 2, continuando no Riacho seco (-8,398037 -35,696064) Emb. 2, passando na Fzd. Purarema (-8,419711 -35,685541) Emb. 2, passando na Fzd. Arco Íris (-8,425293 -35,686975) Emb. 3, parando na Esc. Mul. David Gonçalves  (-8,421901 -35,661441) Desemb. 2, parando na EREM Leobaldo Soares da Silva (-8,418077 -35,663152) Desemb. 6, parando na Creche tia Waldja/Esc. Mul Maria Judite (-8,418205 -35,663783) Desemb. 4, e finalizando na Esc. Mul. Claudio Lopes (-8,417256 -35,665274) Desemb. 3.
O itinerario de devolução do integral realizado nas terças e quintas tem inicio na Esc. Mul Maria Judite (-8,418205 -35,663783) Emb. 4, passando na EREM Leobaldo Soares da Silva (-8,418077 -35,663152) Emb. 6, parando na Fzd. Arco Íris (-8,425293 -35,686975) Desemb. 2, parando na Fzd. Purarema (-8,419711 -35,685541) Desemb. 2, parando na Fzd. Ma&amp;pe (-8,406159 -35,692727) Desemb. 2, parando no Riacho seco (-8,398037 -35,696064) Desemb. 2, parando no Carvão  (-8,409895 -35,697056) Desemb. 1, e finalizando no Estreito (-8,413706 -35,707867) Desemb. 1.</t>
  </si>
  <si>
    <t>Manha e Integral</t>
  </si>
  <si>
    <t>16</t>
  </si>
  <si>
    <t>O itinerario da manhã e integral tem inicio nos Coelhos (-8,390666 -35,6515) Emb. 2, passando no Sítio Oseias (-8,410089 -35,658036) Emb. 2, continuando no Sítio Oseias (-8,408468 -35,655477) Emb. 1, parando no EREM Leobaldo Soares da Silva (-8,418077 -35,663152) Desemb. 3, e finalizando na Creche tia Waldja/Esc. Mul Maria Judite (-8,418205 -35,663783) Desemb. 2.
(Apenas nas terças e quintas é realizada a devolução do integral).</t>
  </si>
  <si>
    <t>O itinerario da manhã tem inicio no Eng capivarinha (-8,446909 -35,606803) Emb. 1, continuando no Eng capivarinha (-8,447125 -35,609623) Emb. 2, continuando no Eng capivarinha (-8,44762 -35,611429) Emb. 1, continuando no Eng capivarinha (-8,448695 -35,612999) Emb. 2, continuando no Eng capivarinha (-8,447573 -35,617788) Emb. 2, continuando no Eng capivarinha (-8,447147 -35,619616) Emb. 3, continuando no Eng capivarinha (-8,447168 -35,611749) Emb. 2, continuando no Eng capivarinha (-8,446829 -35,608672) Emb. 3, parando na Esc. Mul. David Gonçalves  (-8,421901 -35,661441) Desemb. 2, parando na Esc. Mul. Francisdete Tenorio de Holanda (-8,424797 -35,676165) Desemb. 2, parando na Esc. Mul. Manoel Damásio Monteiro (-8,420982 -35,665841) Desemb. 2, parando na Creche tia Waldja/Esc. Mul Maria Judite (-8,418205 -35,663783) Desemb. 4, parando na Esc. Mul. Claudio Lopes (-8,417256 -35,665274) Desemb. 3, e finalizando na Esc. Mul. Ministro Marcos Freire (-8,414492 -35,665366) Desemb. 3.
O itinerario de devolução do integral realizado nas terças e quintas tem inicio na Creche tia Waldja/Esc. Mul Maria Judite (-8,418205 -35,663783) Emb. 1, passando na Esc. Mul. Francisdete Tenorio de Holanda (-8,424797 -35,676165) Emb. 2, parando no Eng capivarinha (-8,447573 -35,617788) Desemb. 2, e finalizando no Eng capivarinha (-8,447147 -35,619616) Emb. 1.</t>
  </si>
  <si>
    <t>O itinerario da manhã tem inicio no Sítio Colinas (-8,432292 -35,577979) Emb. 2, continuando no Sítio Colinas (-8,43252 -35,5803) Emb. 3, passando no Sítio Gata (-8,43831 -35,586679) Emb. 3, continuando no Sítio Gata (-8,443794 -35,591344) Emb. 3, passando no Sítio Silvestre  (-8,448509 -35,588255) Emb. 3, parando na Esc. Mul. David Gonçalves  (-8,421901 -35,661441) Desemb. 4, parando na Esc. Mul. Manoel Damásio Monteiro (-8,420982 -35,665841) Desemb. 3, parando na EREM Leobaldo Soares da Silva (-8,418077 -35,663152) Desemb 5, e finalizando na Esc. Mul. Claudio Lopes (-8,417256 -35,665274) Desemb. 2. 
O itinerario do integral realizado nas terças e quintas tem inicio no EREM Leobaldo Soares da Silva (-8,418077 -35,663152) Emb. 5, parando no Sítio Silvestre  (-8,448509 -35,588255) Desemb. 1, parando no Sítio Gata (-8,443794 -35,591344) Desemb. 1, continuando no Sítio Gata (-8,43831 -35,586679) Desemb. 2, e finalizando no Sítio Colinas (-8,432292 -35,577979) Desemb. 1.</t>
  </si>
  <si>
    <t>Micro Ônibus Iveco 70c17 Way C</t>
  </si>
  <si>
    <t>Comil Svelto Ano 2016 Volvo
B270f Mwm 6cc 2p</t>
  </si>
  <si>
    <t>Mercedes-Benz Sprinter Van 2.2 Cdi 415</t>
  </si>
  <si>
    <t>LOTE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</si>
</sst>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4" formatCode="_-&quot;R$&quot;\ * #,##0.00_-;\-&quot;R$&quot;\ * #,##0.00_-;_-&quot;R$&quot;\ * &quot;-&quot;??_-;_-@_-"/>
    <numFmt numFmtId="164" formatCode="##\ &quot;meses&quot;"/>
    <numFmt numFmtId="165" formatCode="[$R$ -416]#,##0.00"/>
    <numFmt numFmtId="166" formatCode="##\ &quot;/semana&quot;"/>
    <numFmt numFmtId="167" formatCode="00"/>
    <numFmt numFmtId="168" formatCode="[$R$ -416]#,##0.00\ &quot;/km&quot;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00000"/>
    <numFmt numFmtId="175" formatCode="0.000000000000"/>
    <numFmt numFmtId="176" formatCode="0.00000"/>
    <numFmt numFmtId="177" formatCode="0.0000"/>
    <numFmt numFmtId="178" formatCode="#,##0.00_ ;[Red]\-#,##0.00\ "/>
    <numFmt numFmtId="179" formatCode="#,##0.000"/>
    <numFmt numFmtId="180" formatCode="0.00000000000"/>
    <numFmt numFmtId="181" formatCode="0.0000000000000"/>
    <numFmt numFmtId="182" formatCode="0.000000"/>
    <numFmt numFmtId="183" formatCode="0&quot;Km&quot;"/>
    <numFmt numFmtId="184" formatCode="#,##0.0000"/>
    <numFmt numFmtId="185" formatCode="#,##0.0000000000000000"/>
    <numFmt numFmtId="186" formatCode="00&quot; anos&quot;"/>
    <numFmt numFmtId="187" formatCode="##,#00\ &quot;h&quot;"/>
    <numFmt numFmtId="188" formatCode="0.000%"/>
    <numFmt numFmtId="189" formatCode="&quot;R$&quot;\ #,##0.00"/>
  </numFmts>
  <fonts count="41" x14ac:knownFonts="1">
    <font>
      <sz val="10"/>
      <color rgb="FF000000"/>
      <name val="Arial"/>
      <scheme val="minor"/>
    </font>
    <font>
      <b/>
      <sz val="14"/>
      <color rgb="FFFFFFFF"/>
      <name val="Times New Roman"/>
    </font>
    <font>
      <b/>
      <sz val="12"/>
      <color rgb="FFFFFFFF"/>
      <name val="Times New Roman"/>
    </font>
    <font>
      <sz val="10"/>
      <color rgb="FFFFFFFF"/>
      <name val="Times New Roman"/>
    </font>
    <font>
      <sz val="10"/>
      <color theme="1"/>
      <name val="Times New Roman"/>
    </font>
    <font>
      <sz val="10"/>
      <name val="Arial"/>
    </font>
    <font>
      <b/>
      <sz val="10"/>
      <color rgb="FFFFFFFF"/>
      <name val="Times New Roman"/>
    </font>
    <font>
      <b/>
      <sz val="10"/>
      <color rgb="FFFFFFFF"/>
      <name val="Times New Roman"/>
    </font>
    <font>
      <sz val="10"/>
      <color theme="1"/>
      <name val="Arial"/>
    </font>
    <font>
      <i/>
      <sz val="10"/>
      <color rgb="FFFFFFFF"/>
      <name val="Times New Roman"/>
    </font>
    <font>
      <sz val="10"/>
      <color rgb="FFFFFFFF"/>
      <name val="Times New Roman"/>
    </font>
    <font>
      <sz val="10"/>
      <color rgb="FFFFFFFF"/>
      <name val="Arial"/>
    </font>
    <font>
      <b/>
      <sz val="10"/>
      <color theme="1"/>
      <name val="Times New Roman"/>
    </font>
    <font>
      <b/>
      <sz val="10"/>
      <color rgb="FF000000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rgb="FF000000"/>
      <name val="Times New Roman"/>
    </font>
    <font>
      <i/>
      <sz val="9"/>
      <color theme="1"/>
      <name val="Times New Roman"/>
    </font>
    <font>
      <i/>
      <sz val="10"/>
      <color theme="1"/>
      <name val="Times New Roman"/>
    </font>
    <font>
      <b/>
      <i/>
      <sz val="10"/>
      <color theme="1"/>
      <name val="Times New Roman"/>
    </font>
    <font>
      <b/>
      <sz val="14"/>
      <color theme="1"/>
      <name val="Times New Roman"/>
    </font>
    <font>
      <i/>
      <sz val="10"/>
      <color theme="1"/>
      <name val="Times New Roman"/>
    </font>
    <font>
      <i/>
      <sz val="10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sz val="10"/>
      <color rgb="FF000000"/>
      <name val="Times New Roman"/>
    </font>
    <font>
      <sz val="10"/>
      <color theme="1"/>
      <name val="Arial"/>
      <scheme val="minor"/>
    </font>
    <font>
      <sz val="10"/>
      <color rgb="FFFF0000"/>
      <name val="Times New Roman"/>
    </font>
    <font>
      <sz val="14"/>
      <color rgb="FFF3F3F3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sz val="11"/>
      <color rgb="FF000000"/>
      <name val="Times New Roman"/>
    </font>
    <font>
      <b/>
      <sz val="20"/>
      <color rgb="FFFFFFFF"/>
      <name val="Times New Roman"/>
    </font>
    <font>
      <b/>
      <sz val="8"/>
      <color rgb="FFFFFFFF"/>
      <name val="Times New Roman"/>
    </font>
    <font>
      <b/>
      <sz val="11"/>
      <color rgb="FFFFFFFF"/>
      <name val="Times New Roman"/>
    </font>
    <font>
      <i/>
      <sz val="9"/>
      <color rgb="FFFFFFFF"/>
      <name val="Times New Roman"/>
    </font>
    <font>
      <i/>
      <sz val="8"/>
      <color rgb="FFFFFFFF"/>
      <name val="Times New Roman"/>
    </font>
    <font>
      <sz val="8"/>
      <color rgb="FF000000"/>
      <name val="Times New Roman"/>
    </font>
    <font>
      <sz val="7"/>
      <color rgb="FF000000"/>
      <name val="Times New Roman"/>
    </font>
    <font>
      <sz val="10"/>
      <color rgb="FFFFFFFF"/>
      <name val="Calibri"/>
      <family val="2"/>
    </font>
    <font>
      <sz val="10"/>
      <color rgb="FFFFFFFF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1F497D"/>
        <bgColor rgb="FF1F497D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666666"/>
        <bgColor rgb="FF666666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8FAADC"/>
        <bgColor rgb="FF8FAADC"/>
      </patternFill>
    </fill>
    <fill>
      <patternFill patternType="solid">
        <fgColor rgb="FF434343"/>
        <bgColor rgb="FF434343"/>
      </patternFill>
    </fill>
    <fill>
      <patternFill patternType="solid">
        <fgColor rgb="FF1C4587"/>
        <bgColor rgb="FF1C4587"/>
      </patternFill>
    </fill>
    <fill>
      <patternFill patternType="solid">
        <fgColor theme="2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7B7B7"/>
      </left>
      <right/>
      <top style="thin">
        <color rgb="FFB7B7B7"/>
      </top>
      <bottom/>
      <diagonal/>
    </border>
    <border>
      <left/>
      <right/>
      <top style="thin">
        <color rgb="FFB7B7B7"/>
      </top>
      <bottom/>
      <diagonal/>
    </border>
    <border>
      <left/>
      <right style="thin">
        <color rgb="FFB7B7B7"/>
      </right>
      <top style="thin">
        <color rgb="FFB7B7B7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0" fontId="3" fillId="2" borderId="0" xfId="0" applyNumberFormat="1" applyFont="1" applyFill="1"/>
    <xf numFmtId="0" fontId="4" fillId="2" borderId="0" xfId="0" applyFont="1" applyFill="1"/>
    <xf numFmtId="10" fontId="3" fillId="0" borderId="0" xfId="0" applyNumberFormat="1" applyFont="1"/>
    <xf numFmtId="0" fontId="2" fillId="2" borderId="0" xfId="0" applyFont="1" applyFill="1"/>
    <xf numFmtId="0" fontId="3" fillId="4" borderId="7" xfId="0" applyFont="1" applyFill="1" applyBorder="1"/>
    <xf numFmtId="0" fontId="6" fillId="4" borderId="0" xfId="0" applyFont="1" applyFill="1"/>
    <xf numFmtId="164" fontId="3" fillId="4" borderId="8" xfId="0" applyNumberFormat="1" applyFont="1" applyFill="1" applyBorder="1"/>
    <xf numFmtId="0" fontId="3" fillId="2" borderId="0" xfId="0" applyFont="1" applyFill="1"/>
    <xf numFmtId="3" fontId="3" fillId="4" borderId="8" xfId="0" applyNumberFormat="1" applyFont="1" applyFill="1" applyBorder="1"/>
    <xf numFmtId="0" fontId="3" fillId="5" borderId="9" xfId="0" applyFont="1" applyFill="1" applyBorder="1"/>
    <xf numFmtId="0" fontId="4" fillId="6" borderId="7" xfId="0" applyFont="1" applyFill="1" applyBorder="1"/>
    <xf numFmtId="165" fontId="3" fillId="6" borderId="8" xfId="0" applyNumberFormat="1" applyFont="1" applyFill="1" applyBorder="1"/>
    <xf numFmtId="10" fontId="3" fillId="4" borderId="8" xfId="0" applyNumberFormat="1" applyFont="1" applyFill="1" applyBorder="1"/>
    <xf numFmtId="0" fontId="3" fillId="5" borderId="7" xfId="0" applyFont="1" applyFill="1" applyBorder="1"/>
    <xf numFmtId="0" fontId="3" fillId="5" borderId="8" xfId="0" applyFont="1" applyFill="1" applyBorder="1" applyAlignment="1">
      <alignment horizontal="right"/>
    </xf>
    <xf numFmtId="0" fontId="3" fillId="0" borderId="0" xfId="0" applyFont="1"/>
    <xf numFmtId="165" fontId="3" fillId="5" borderId="8" xfId="0" applyNumberFormat="1" applyFont="1" applyFill="1" applyBorder="1" applyAlignment="1">
      <alignment horizontal="right"/>
    </xf>
    <xf numFmtId="10" fontId="3" fillId="4" borderId="8" xfId="0" applyNumberFormat="1" applyFont="1" applyFill="1" applyBorder="1" applyAlignment="1">
      <alignment horizontal="right"/>
    </xf>
    <xf numFmtId="0" fontId="8" fillId="4" borderId="0" xfId="0" applyFont="1" applyFill="1"/>
    <xf numFmtId="10" fontId="8" fillId="4" borderId="8" xfId="0" applyNumberFormat="1" applyFont="1" applyFill="1" applyBorder="1"/>
    <xf numFmtId="165" fontId="2" fillId="2" borderId="0" xfId="0" applyNumberFormat="1" applyFont="1" applyFill="1"/>
    <xf numFmtId="0" fontId="4" fillId="0" borderId="0" xfId="0" applyFont="1"/>
    <xf numFmtId="0" fontId="3" fillId="6" borderId="0" xfId="0" applyFont="1" applyFill="1"/>
    <xf numFmtId="165" fontId="10" fillId="2" borderId="0" xfId="0" applyNumberFormat="1" applyFont="1" applyFill="1" applyAlignment="1">
      <alignment horizontal="right" vertical="center"/>
    </xf>
    <xf numFmtId="0" fontId="4" fillId="5" borderId="7" xfId="0" applyFont="1" applyFill="1" applyBorder="1"/>
    <xf numFmtId="0" fontId="3" fillId="5" borderId="13" xfId="0" applyFont="1" applyFill="1" applyBorder="1"/>
    <xf numFmtId="165" fontId="10" fillId="5" borderId="15" xfId="0" applyNumberFormat="1" applyFont="1" applyFill="1" applyBorder="1" applyAlignment="1">
      <alignment horizontal="right" vertical="center"/>
    </xf>
    <xf numFmtId="0" fontId="4" fillId="5" borderId="13" xfId="0" applyFont="1" applyFill="1" applyBorder="1"/>
    <xf numFmtId="165" fontId="3" fillId="5" borderId="15" xfId="0" applyNumberFormat="1" applyFont="1" applyFill="1" applyBorder="1" applyAlignment="1">
      <alignment horizontal="right"/>
    </xf>
    <xf numFmtId="0" fontId="6" fillId="2" borderId="0" xfId="0" applyFont="1" applyFill="1"/>
    <xf numFmtId="0" fontId="3" fillId="0" borderId="7" xfId="0" applyFont="1" applyBorder="1"/>
    <xf numFmtId="0" fontId="4" fillId="6" borderId="13" xfId="0" applyFont="1" applyFill="1" applyBorder="1"/>
    <xf numFmtId="165" fontId="3" fillId="6" borderId="15" xfId="0" applyNumberFormat="1" applyFont="1" applyFill="1" applyBorder="1"/>
    <xf numFmtId="0" fontId="3" fillId="6" borderId="7" xfId="0" applyFont="1" applyFill="1" applyBorder="1"/>
    <xf numFmtId="0" fontId="6" fillId="6" borderId="0" xfId="0" applyFont="1" applyFill="1"/>
    <xf numFmtId="166" fontId="3" fillId="6" borderId="8" xfId="0" applyNumberFormat="1" applyFont="1" applyFill="1" applyBorder="1"/>
    <xf numFmtId="166" fontId="3" fillId="6" borderId="0" xfId="0" applyNumberFormat="1" applyFont="1" applyFill="1"/>
    <xf numFmtId="167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167" fontId="6" fillId="4" borderId="17" xfId="0" applyNumberFormat="1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4" fontId="6" fillId="4" borderId="17" xfId="0" applyNumberFormat="1" applyFont="1" applyFill="1" applyBorder="1" applyAlignment="1">
      <alignment horizontal="center" vertical="center" wrapText="1"/>
    </xf>
    <xf numFmtId="167" fontId="4" fillId="7" borderId="17" xfId="0" applyNumberFormat="1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/>
    </xf>
    <xf numFmtId="2" fontId="4" fillId="8" borderId="17" xfId="0" applyNumberFormat="1" applyFont="1" applyFill="1" applyBorder="1" applyAlignment="1">
      <alignment horizontal="center" vertical="center"/>
    </xf>
    <xf numFmtId="2" fontId="4" fillId="7" borderId="17" xfId="0" applyNumberFormat="1" applyFont="1" applyFill="1" applyBorder="1" applyAlignment="1">
      <alignment horizontal="center" vertical="center"/>
    </xf>
    <xf numFmtId="168" fontId="4" fillId="7" borderId="17" xfId="0" applyNumberFormat="1" applyFont="1" applyFill="1" applyBorder="1" applyAlignment="1">
      <alignment horizontal="center" vertical="center"/>
    </xf>
    <xf numFmtId="165" fontId="4" fillId="7" borderId="1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9" borderId="17" xfId="0" applyFont="1" applyFill="1" applyBorder="1" applyAlignment="1">
      <alignment horizontal="right" wrapText="1"/>
    </xf>
    <xf numFmtId="4" fontId="3" fillId="9" borderId="17" xfId="0" applyNumberFormat="1" applyFont="1" applyFill="1" applyBorder="1" applyAlignment="1">
      <alignment horizontal="center"/>
    </xf>
    <xf numFmtId="0" fontId="4" fillId="9" borderId="17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4" fillId="2" borderId="17" xfId="0" applyFont="1" applyFill="1" applyBorder="1" applyAlignment="1">
      <alignment horizontal="center" wrapText="1"/>
    </xf>
    <xf numFmtId="169" fontId="4" fillId="0" borderId="0" xfId="0" applyNumberFormat="1" applyFont="1" applyAlignment="1">
      <alignment horizontal="right" wrapText="1"/>
    </xf>
    <xf numFmtId="169" fontId="4" fillId="2" borderId="17" xfId="0" applyNumberFormat="1" applyFont="1" applyFill="1" applyBorder="1" applyAlignment="1">
      <alignment horizontal="right" wrapText="1"/>
    </xf>
    <xf numFmtId="0" fontId="16" fillId="2" borderId="17" xfId="0" applyFont="1" applyFill="1" applyBorder="1" applyAlignment="1">
      <alignment horizontal="right" wrapText="1"/>
    </xf>
    <xf numFmtId="165" fontId="4" fillId="2" borderId="17" xfId="0" applyNumberFormat="1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/>
    </xf>
    <xf numFmtId="165" fontId="17" fillId="2" borderId="17" xfId="0" applyNumberFormat="1" applyFont="1" applyFill="1" applyBorder="1" applyAlignment="1">
      <alignment horizontal="right"/>
    </xf>
    <xf numFmtId="165" fontId="4" fillId="2" borderId="17" xfId="0" applyNumberFormat="1" applyFont="1" applyFill="1" applyBorder="1" applyAlignment="1">
      <alignment horizontal="right" wrapText="1"/>
    </xf>
    <xf numFmtId="170" fontId="4" fillId="2" borderId="17" xfId="0" applyNumberFormat="1" applyFont="1" applyFill="1" applyBorder="1" applyAlignment="1">
      <alignment horizontal="right"/>
    </xf>
    <xf numFmtId="171" fontId="4" fillId="2" borderId="17" xfId="0" applyNumberFormat="1" applyFont="1" applyFill="1" applyBorder="1" applyAlignment="1">
      <alignment horizontal="center"/>
    </xf>
    <xf numFmtId="4" fontId="17" fillId="2" borderId="17" xfId="0" applyNumberFormat="1" applyFont="1" applyFill="1" applyBorder="1" applyAlignment="1">
      <alignment horizontal="right"/>
    </xf>
    <xf numFmtId="0" fontId="4" fillId="13" borderId="17" xfId="0" applyFont="1" applyFill="1" applyBorder="1"/>
    <xf numFmtId="0" fontId="14" fillId="0" borderId="0" xfId="0" applyFont="1"/>
    <xf numFmtId="0" fontId="6" fillId="3" borderId="17" xfId="0" applyFont="1" applyFill="1" applyBorder="1" applyAlignment="1">
      <alignment horizontal="center"/>
    </xf>
    <xf numFmtId="165" fontId="6" fillId="3" borderId="17" xfId="0" applyNumberFormat="1" applyFont="1" applyFill="1" applyBorder="1" applyAlignment="1">
      <alignment horizontal="right"/>
    </xf>
    <xf numFmtId="0" fontId="4" fillId="14" borderId="17" xfId="0" applyFont="1" applyFill="1" applyBorder="1"/>
    <xf numFmtId="4" fontId="4" fillId="0" borderId="0" xfId="0" applyNumberFormat="1" applyFont="1"/>
    <xf numFmtId="0" fontId="4" fillId="0" borderId="24" xfId="0" applyFont="1" applyBorder="1"/>
    <xf numFmtId="2" fontId="4" fillId="0" borderId="24" xfId="0" applyNumberFormat="1" applyFont="1" applyBorder="1"/>
    <xf numFmtId="2" fontId="4" fillId="0" borderId="0" xfId="0" applyNumberFormat="1" applyFont="1"/>
    <xf numFmtId="0" fontId="1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2" fillId="15" borderId="22" xfId="0" applyFont="1" applyFill="1" applyBorder="1" applyAlignment="1">
      <alignment horizontal="center" vertical="center"/>
    </xf>
    <xf numFmtId="165" fontId="4" fillId="0" borderId="24" xfId="0" applyNumberFormat="1" applyFont="1" applyBorder="1"/>
    <xf numFmtId="0" fontId="21" fillId="0" borderId="0" xfId="0" applyFont="1" applyAlignment="1">
      <alignment horizontal="right"/>
    </xf>
    <xf numFmtId="165" fontId="21" fillId="2" borderId="29" xfId="0" applyNumberFormat="1" applyFont="1" applyFill="1" applyBorder="1" applyAlignment="1">
      <alignment horizontal="left"/>
    </xf>
    <xf numFmtId="0" fontId="16" fillId="0" borderId="30" xfId="0" applyFont="1" applyBorder="1"/>
    <xf numFmtId="165" fontId="16" fillId="0" borderId="24" xfId="0" applyNumberFormat="1" applyFont="1" applyBorder="1" applyAlignment="1">
      <alignment horizontal="right"/>
    </xf>
    <xf numFmtId="165" fontId="21" fillId="0" borderId="29" xfId="0" applyNumberFormat="1" applyFont="1" applyBorder="1" applyAlignment="1">
      <alignment horizontal="left"/>
    </xf>
    <xf numFmtId="165" fontId="16" fillId="0" borderId="29" xfId="0" applyNumberFormat="1" applyFont="1" applyBorder="1" applyAlignment="1">
      <alignment horizontal="right"/>
    </xf>
    <xf numFmtId="165" fontId="4" fillId="0" borderId="29" xfId="0" applyNumberFormat="1" applyFont="1" applyBorder="1"/>
    <xf numFmtId="172" fontId="16" fillId="2" borderId="29" xfId="0" applyNumberFormat="1" applyFont="1" applyFill="1" applyBorder="1" applyAlignment="1">
      <alignment horizontal="right"/>
    </xf>
    <xf numFmtId="165" fontId="12" fillId="16" borderId="17" xfId="0" applyNumberFormat="1" applyFont="1" applyFill="1" applyBorder="1" applyAlignment="1">
      <alignment horizontal="right"/>
    </xf>
    <xf numFmtId="4" fontId="16" fillId="2" borderId="29" xfId="0" applyNumberFormat="1" applyFont="1" applyFill="1" applyBorder="1" applyAlignment="1">
      <alignment horizontal="right"/>
    </xf>
    <xf numFmtId="2" fontId="13" fillId="15" borderId="17" xfId="0" applyNumberFormat="1" applyFont="1" applyFill="1" applyBorder="1" applyAlignment="1">
      <alignment horizontal="right"/>
    </xf>
    <xf numFmtId="2" fontId="13" fillId="15" borderId="17" xfId="0" applyNumberFormat="1" applyFont="1" applyFill="1" applyBorder="1" applyAlignment="1">
      <alignment horizontal="center"/>
    </xf>
    <xf numFmtId="2" fontId="16" fillId="0" borderId="24" xfId="0" applyNumberFormat="1" applyFont="1" applyBorder="1" applyAlignment="1">
      <alignment horizontal="right"/>
    </xf>
    <xf numFmtId="165" fontId="4" fillId="2" borderId="24" xfId="0" applyNumberFormat="1" applyFont="1" applyFill="1" applyBorder="1" applyAlignment="1">
      <alignment horizontal="right"/>
    </xf>
    <xf numFmtId="2" fontId="16" fillId="2" borderId="29" xfId="0" applyNumberFormat="1" applyFont="1" applyFill="1" applyBorder="1" applyAlignment="1">
      <alignment horizontal="right"/>
    </xf>
    <xf numFmtId="0" fontId="12" fillId="15" borderId="17" xfId="0" applyFont="1" applyFill="1" applyBorder="1" applyAlignment="1">
      <alignment horizontal="center" vertical="center"/>
    </xf>
    <xf numFmtId="173" fontId="16" fillId="2" borderId="24" xfId="0" applyNumberFormat="1" applyFont="1" applyFill="1" applyBorder="1" applyAlignment="1">
      <alignment horizontal="right"/>
    </xf>
    <xf numFmtId="165" fontId="4" fillId="2" borderId="29" xfId="0" applyNumberFormat="1" applyFont="1" applyFill="1" applyBorder="1" applyAlignment="1">
      <alignment horizontal="right"/>
    </xf>
    <xf numFmtId="174" fontId="22" fillId="2" borderId="29" xfId="0" applyNumberFormat="1" applyFont="1" applyFill="1" applyBorder="1"/>
    <xf numFmtId="175" fontId="22" fillId="2" borderId="29" xfId="0" applyNumberFormat="1" applyFont="1" applyFill="1" applyBorder="1"/>
    <xf numFmtId="165" fontId="22" fillId="2" borderId="29" xfId="0" applyNumberFormat="1" applyFont="1" applyFill="1" applyBorder="1"/>
    <xf numFmtId="2" fontId="13" fillId="16" borderId="17" xfId="0" applyNumberFormat="1" applyFont="1" applyFill="1" applyBorder="1" applyAlignment="1">
      <alignment horizontal="right"/>
    </xf>
    <xf numFmtId="0" fontId="16" fillId="2" borderId="17" xfId="0" applyFont="1" applyFill="1" applyBorder="1"/>
    <xf numFmtId="2" fontId="13" fillId="2" borderId="17" xfId="0" applyNumberFormat="1" applyFont="1" applyFill="1" applyBorder="1" applyAlignment="1">
      <alignment horizontal="right"/>
    </xf>
    <xf numFmtId="0" fontId="13" fillId="2" borderId="17" xfId="0" applyFont="1" applyFill="1" applyBorder="1"/>
    <xf numFmtId="177" fontId="16" fillId="2" borderId="17" xfId="0" applyNumberFormat="1" applyFont="1" applyFill="1" applyBorder="1" applyAlignment="1">
      <alignment horizontal="right"/>
    </xf>
    <xf numFmtId="165" fontId="4" fillId="0" borderId="24" xfId="0" applyNumberFormat="1" applyFont="1" applyBorder="1" applyAlignment="1">
      <alignment horizontal="right"/>
    </xf>
    <xf numFmtId="0" fontId="4" fillId="0" borderId="30" xfId="0" applyFont="1" applyBorder="1"/>
    <xf numFmtId="40" fontId="21" fillId="0" borderId="29" xfId="0" applyNumberFormat="1" applyFont="1" applyBorder="1" applyAlignment="1">
      <alignment horizontal="left"/>
    </xf>
    <xf numFmtId="177" fontId="13" fillId="15" borderId="17" xfId="0" applyNumberFormat="1" applyFont="1" applyFill="1" applyBorder="1" applyAlignment="1">
      <alignment horizontal="right"/>
    </xf>
    <xf numFmtId="165" fontId="4" fillId="0" borderId="29" xfId="0" applyNumberFormat="1" applyFont="1" applyBorder="1" applyAlignment="1">
      <alignment horizontal="right"/>
    </xf>
    <xf numFmtId="4" fontId="4" fillId="2" borderId="24" xfId="0" applyNumberFormat="1" applyFont="1" applyFill="1" applyBorder="1" applyAlignment="1">
      <alignment horizontal="right"/>
    </xf>
    <xf numFmtId="4" fontId="4" fillId="2" borderId="25" xfId="0" applyNumberFormat="1" applyFont="1" applyFill="1" applyBorder="1" applyAlignment="1">
      <alignment horizontal="right"/>
    </xf>
    <xf numFmtId="165" fontId="12" fillId="16" borderId="17" xfId="0" applyNumberFormat="1" applyFont="1" applyFill="1" applyBorder="1" applyAlignment="1">
      <alignment horizontal="right" vertical="center"/>
    </xf>
    <xf numFmtId="2" fontId="12" fillId="15" borderId="17" xfId="0" applyNumberFormat="1" applyFont="1" applyFill="1" applyBorder="1" applyAlignment="1">
      <alignment horizontal="right"/>
    </xf>
    <xf numFmtId="10" fontId="12" fillId="2" borderId="25" xfId="0" applyNumberFormat="1" applyFont="1" applyFill="1" applyBorder="1" applyAlignment="1">
      <alignment horizontal="right" vertical="center"/>
    </xf>
    <xf numFmtId="165" fontId="6" fillId="4" borderId="17" xfId="0" applyNumberFormat="1" applyFont="1" applyFill="1" applyBorder="1" applyAlignment="1">
      <alignment horizontal="right" vertical="center"/>
    </xf>
    <xf numFmtId="4" fontId="4" fillId="0" borderId="24" xfId="0" applyNumberFormat="1" applyFont="1" applyBorder="1" applyAlignment="1">
      <alignment horizontal="right"/>
    </xf>
    <xf numFmtId="4" fontId="4" fillId="0" borderId="29" xfId="0" applyNumberFormat="1" applyFont="1" applyBorder="1" applyAlignment="1">
      <alignment horizontal="right"/>
    </xf>
    <xf numFmtId="178" fontId="4" fillId="0" borderId="0" xfId="0" applyNumberFormat="1" applyFont="1"/>
    <xf numFmtId="179" fontId="13" fillId="15" borderId="17" xfId="0" applyNumberFormat="1" applyFont="1" applyFill="1" applyBorder="1" applyAlignment="1">
      <alignment horizontal="right"/>
    </xf>
    <xf numFmtId="10" fontId="4" fillId="0" borderId="17" xfId="0" applyNumberFormat="1" applyFont="1" applyBorder="1"/>
    <xf numFmtId="40" fontId="4" fillId="0" borderId="0" xfId="0" applyNumberFormat="1" applyFont="1"/>
    <xf numFmtId="168" fontId="6" fillId="4" borderId="17" xfId="0" applyNumberFormat="1" applyFont="1" applyFill="1" applyBorder="1" applyAlignment="1">
      <alignment horizontal="right"/>
    </xf>
    <xf numFmtId="180" fontId="22" fillId="2" borderId="29" xfId="0" applyNumberFormat="1" applyFont="1" applyFill="1" applyBorder="1"/>
    <xf numFmtId="181" fontId="22" fillId="2" borderId="29" xfId="0" applyNumberFormat="1" applyFont="1" applyFill="1" applyBorder="1"/>
    <xf numFmtId="173" fontId="16" fillId="2" borderId="17" xfId="0" applyNumberFormat="1" applyFont="1" applyFill="1" applyBorder="1" applyAlignment="1">
      <alignment horizontal="right"/>
    </xf>
    <xf numFmtId="173" fontId="13" fillId="15" borderId="17" xfId="0" applyNumberFormat="1" applyFont="1" applyFill="1" applyBorder="1" applyAlignment="1">
      <alignment horizontal="right"/>
    </xf>
    <xf numFmtId="0" fontId="23" fillId="17" borderId="0" xfId="0" applyFont="1" applyFill="1" applyAlignment="1">
      <alignment vertical="center"/>
    </xf>
    <xf numFmtId="0" fontId="24" fillId="13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 wrapText="1"/>
    </xf>
    <xf numFmtId="0" fontId="15" fillId="18" borderId="17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26" fillId="0" borderId="0" xfId="0" applyFont="1"/>
    <xf numFmtId="183" fontId="18" fillId="2" borderId="17" xfId="0" applyNumberFormat="1" applyFont="1" applyFill="1" applyBorder="1" applyAlignment="1">
      <alignment horizontal="center" vertical="center"/>
    </xf>
    <xf numFmtId="10" fontId="14" fillId="2" borderId="17" xfId="0" applyNumberFormat="1" applyFont="1" applyFill="1" applyBorder="1" applyAlignment="1">
      <alignment horizontal="right" vertical="center"/>
    </xf>
    <xf numFmtId="165" fontId="14" fillId="2" borderId="17" xfId="0" applyNumberFormat="1" applyFont="1" applyFill="1" applyBorder="1" applyAlignment="1">
      <alignment horizontal="right" vertical="center"/>
    </xf>
    <xf numFmtId="165" fontId="25" fillId="2" borderId="17" xfId="0" applyNumberFormat="1" applyFont="1" applyFill="1" applyBorder="1" applyAlignment="1">
      <alignment horizontal="right" vertical="center"/>
    </xf>
    <xf numFmtId="165" fontId="10" fillId="2" borderId="0" xfId="0" applyNumberFormat="1" applyFont="1" applyFill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165" fontId="10" fillId="2" borderId="0" xfId="0" applyNumberFormat="1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17" xfId="0" applyFont="1" applyFill="1" applyBorder="1" applyAlignment="1">
      <alignment horizontal="right" vertical="center"/>
    </xf>
    <xf numFmtId="10" fontId="14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19" borderId="17" xfId="0" applyFont="1" applyFill="1" applyBorder="1" applyAlignment="1">
      <alignment vertical="center"/>
    </xf>
    <xf numFmtId="0" fontId="15" fillId="18" borderId="1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0" fontId="14" fillId="0" borderId="17" xfId="0" applyNumberFormat="1" applyFont="1" applyBorder="1" applyAlignment="1">
      <alignment vertical="center"/>
    </xf>
    <xf numFmtId="0" fontId="14" fillId="2" borderId="0" xfId="0" applyFont="1" applyFill="1"/>
    <xf numFmtId="184" fontId="14" fillId="0" borderId="0" xfId="0" applyNumberFormat="1" applyFont="1"/>
    <xf numFmtId="0" fontId="27" fillId="0" borderId="0" xfId="0" applyFont="1" applyAlignment="1">
      <alignment horizontal="center" vertical="center"/>
    </xf>
    <xf numFmtId="0" fontId="12" fillId="18" borderId="17" xfId="0" applyFont="1" applyFill="1" applyBorder="1" applyAlignment="1">
      <alignment horizontal="center" vertical="center" wrapText="1"/>
    </xf>
    <xf numFmtId="185" fontId="27" fillId="0" borderId="0" xfId="0" applyNumberFormat="1" applyFont="1" applyAlignment="1">
      <alignment vertical="center"/>
    </xf>
    <xf numFmtId="186" fontId="4" fillId="0" borderId="17" xfId="0" applyNumberFormat="1" applyFont="1" applyBorder="1" applyAlignment="1">
      <alignment horizontal="center" vertical="center"/>
    </xf>
    <xf numFmtId="185" fontId="27" fillId="0" borderId="0" xfId="0" applyNumberFormat="1" applyFont="1" applyAlignment="1">
      <alignment horizontal="right" vertical="center"/>
    </xf>
    <xf numFmtId="0" fontId="28" fillId="0" borderId="0" xfId="0" applyFont="1" applyAlignment="1">
      <alignment horizontal="center"/>
    </xf>
    <xf numFmtId="0" fontId="6" fillId="3" borderId="0" xfId="0" applyFont="1" applyFill="1"/>
    <xf numFmtId="0" fontId="4" fillId="3" borderId="0" xfId="0" applyFont="1" applyFill="1"/>
    <xf numFmtId="0" fontId="29" fillId="0" borderId="0" xfId="0" applyFont="1" applyAlignment="1">
      <alignment horizontal="right"/>
    </xf>
    <xf numFmtId="0" fontId="4" fillId="0" borderId="0" xfId="0" quotePrefix="1" applyFont="1"/>
    <xf numFmtId="0" fontId="29" fillId="0" borderId="0" xfId="0" applyFont="1"/>
    <xf numFmtId="187" fontId="30" fillId="0" borderId="0" xfId="0" applyNumberFormat="1" applyFont="1"/>
    <xf numFmtId="4" fontId="4" fillId="21" borderId="0" xfId="0" applyNumberFormat="1" applyFont="1" applyFill="1"/>
    <xf numFmtId="4" fontId="6" fillId="21" borderId="0" xfId="0" applyNumberFormat="1" applyFont="1" applyFill="1" applyAlignment="1">
      <alignment horizontal="center" wrapText="1"/>
    </xf>
    <xf numFmtId="0" fontId="4" fillId="20" borderId="0" xfId="0" applyFont="1" applyFill="1"/>
    <xf numFmtId="0" fontId="6" fillId="21" borderId="26" xfId="0" applyFont="1" applyFill="1" applyBorder="1"/>
    <xf numFmtId="0" fontId="4" fillId="21" borderId="28" xfId="0" applyFont="1" applyFill="1" applyBorder="1"/>
    <xf numFmtId="0" fontId="4" fillId="21" borderId="17" xfId="0" applyFont="1" applyFill="1" applyBorder="1"/>
    <xf numFmtId="0" fontId="16" fillId="0" borderId="0" xfId="0" applyFont="1"/>
    <xf numFmtId="4" fontId="16" fillId="2" borderId="0" xfId="0" applyNumberFormat="1" applyFont="1" applyFill="1" applyAlignment="1">
      <alignment horizontal="right"/>
    </xf>
    <xf numFmtId="0" fontId="6" fillId="21" borderId="0" xfId="0" applyFont="1" applyFill="1"/>
    <xf numFmtId="0" fontId="4" fillId="21" borderId="0" xfId="0" applyFont="1" applyFill="1"/>
    <xf numFmtId="10" fontId="4" fillId="21" borderId="17" xfId="0" applyNumberFormat="1" applyFont="1" applyFill="1" applyBorder="1"/>
    <xf numFmtId="4" fontId="6" fillId="21" borderId="17" xfId="0" applyNumberFormat="1" applyFont="1" applyFill="1" applyBorder="1" applyAlignment="1">
      <alignment horizontal="right"/>
    </xf>
    <xf numFmtId="0" fontId="4" fillId="21" borderId="24" xfId="0" applyFont="1" applyFill="1" applyBorder="1"/>
    <xf numFmtId="0" fontId="4" fillId="0" borderId="29" xfId="0" applyFont="1" applyBorder="1"/>
    <xf numFmtId="4" fontId="4" fillId="0" borderId="29" xfId="0" applyNumberFormat="1" applyFont="1" applyBorder="1"/>
    <xf numFmtId="4" fontId="4" fillId="0" borderId="24" xfId="0" applyNumberFormat="1" applyFont="1" applyBorder="1"/>
    <xf numFmtId="0" fontId="4" fillId="0" borderId="31" xfId="0" applyFont="1" applyBorder="1"/>
    <xf numFmtId="10" fontId="16" fillId="0" borderId="29" xfId="0" applyNumberFormat="1" applyFont="1" applyBorder="1" applyAlignment="1">
      <alignment horizontal="right"/>
    </xf>
    <xf numFmtId="4" fontId="16" fillId="0" borderId="29" xfId="0" applyNumberFormat="1" applyFont="1" applyBorder="1" applyAlignment="1">
      <alignment horizontal="right"/>
    </xf>
    <xf numFmtId="0" fontId="13" fillId="0" borderId="23" xfId="0" applyFont="1" applyBorder="1"/>
    <xf numFmtId="10" fontId="13" fillId="0" borderId="25" xfId="0" applyNumberFormat="1" applyFont="1" applyBorder="1" applyAlignment="1">
      <alignment horizontal="right"/>
    </xf>
    <xf numFmtId="4" fontId="13" fillId="0" borderId="25" xfId="0" applyNumberFormat="1" applyFont="1" applyBorder="1" applyAlignment="1">
      <alignment horizontal="right"/>
    </xf>
    <xf numFmtId="0" fontId="13" fillId="0" borderId="20" xfId="0" applyFont="1" applyBorder="1"/>
    <xf numFmtId="0" fontId="4" fillId="0" borderId="22" xfId="0" applyFont="1" applyBorder="1"/>
    <xf numFmtId="188" fontId="4" fillId="0" borderId="24" xfId="0" applyNumberFormat="1" applyFont="1" applyBorder="1"/>
    <xf numFmtId="10" fontId="16" fillId="2" borderId="29" xfId="0" applyNumberFormat="1" applyFont="1" applyFill="1" applyBorder="1" applyAlignment="1">
      <alignment horizontal="right"/>
    </xf>
    <xf numFmtId="0" fontId="14" fillId="0" borderId="31" xfId="0" applyFont="1" applyBorder="1"/>
    <xf numFmtId="10" fontId="13" fillId="2" borderId="25" xfId="0" applyNumberFormat="1" applyFont="1" applyFill="1" applyBorder="1" applyAlignment="1">
      <alignment horizontal="right"/>
    </xf>
    <xf numFmtId="188" fontId="4" fillId="2" borderId="24" xfId="0" applyNumberFormat="1" applyFont="1" applyFill="1" applyBorder="1"/>
    <xf numFmtId="10" fontId="4" fillId="0" borderId="24" xfId="0" applyNumberFormat="1" applyFont="1" applyBorder="1"/>
    <xf numFmtId="10" fontId="13" fillId="0" borderId="29" xfId="0" applyNumberFormat="1" applyFont="1" applyBorder="1" applyAlignment="1">
      <alignment horizontal="right"/>
    </xf>
    <xf numFmtId="0" fontId="4" fillId="20" borderId="25" xfId="0" applyFont="1" applyFill="1" applyBorder="1"/>
    <xf numFmtId="0" fontId="4" fillId="20" borderId="17" xfId="0" applyFont="1" applyFill="1" applyBorder="1"/>
    <xf numFmtId="10" fontId="12" fillId="21" borderId="17" xfId="0" applyNumberFormat="1" applyFont="1" applyFill="1" applyBorder="1" applyAlignment="1">
      <alignment horizontal="right"/>
    </xf>
    <xf numFmtId="0" fontId="12" fillId="0" borderId="0" xfId="0" applyFont="1"/>
    <xf numFmtId="188" fontId="12" fillId="21" borderId="0" xfId="0" applyNumberFormat="1" applyFont="1" applyFill="1"/>
    <xf numFmtId="0" fontId="12" fillId="20" borderId="0" xfId="0" applyFont="1" applyFill="1"/>
    <xf numFmtId="0" fontId="12" fillId="20" borderId="24" xfId="0" applyFont="1" applyFill="1" applyBorder="1"/>
    <xf numFmtId="0" fontId="12" fillId="21" borderId="24" xfId="0" applyFont="1" applyFill="1" applyBorder="1"/>
    <xf numFmtId="0" fontId="12" fillId="21" borderId="29" xfId="0" applyFont="1" applyFill="1" applyBorder="1"/>
    <xf numFmtId="188" fontId="4" fillId="0" borderId="29" xfId="0" applyNumberFormat="1" applyFont="1" applyBorder="1"/>
    <xf numFmtId="0" fontId="4" fillId="0" borderId="19" xfId="0" applyFont="1" applyBorder="1"/>
    <xf numFmtId="188" fontId="4" fillId="0" borderId="25" xfId="0" applyNumberFormat="1" applyFont="1" applyBorder="1"/>
    <xf numFmtId="188" fontId="4" fillId="0" borderId="17" xfId="0" applyNumberFormat="1" applyFont="1" applyBorder="1"/>
    <xf numFmtId="0" fontId="33" fillId="4" borderId="30" xfId="0" applyFont="1" applyFill="1" applyBorder="1"/>
    <xf numFmtId="0" fontId="33" fillId="4" borderId="31" xfId="0" applyFont="1" applyFill="1" applyBorder="1" applyAlignment="1">
      <alignment horizontal="right"/>
    </xf>
    <xf numFmtId="0" fontId="2" fillId="23" borderId="30" xfId="0" applyFont="1" applyFill="1" applyBorder="1" applyAlignment="1">
      <alignment vertical="top" wrapText="1"/>
    </xf>
    <xf numFmtId="10" fontId="2" fillId="23" borderId="31" xfId="0" applyNumberFormat="1" applyFont="1" applyFill="1" applyBorder="1" applyAlignment="1">
      <alignment horizontal="right" vertical="top" wrapText="1"/>
    </xf>
    <xf numFmtId="4" fontId="4" fillId="0" borderId="31" xfId="0" applyNumberFormat="1" applyFont="1" applyBorder="1"/>
    <xf numFmtId="0" fontId="29" fillId="21" borderId="17" xfId="0" applyFont="1" applyFill="1" applyBorder="1" applyAlignment="1">
      <alignment horizontal="center" wrapText="1"/>
    </xf>
    <xf numFmtId="0" fontId="29" fillId="21" borderId="20" xfId="0" applyFont="1" applyFill="1" applyBorder="1"/>
    <xf numFmtId="10" fontId="34" fillId="21" borderId="22" xfId="0" applyNumberFormat="1" applyFont="1" applyFill="1" applyBorder="1" applyAlignment="1">
      <alignment horizontal="right" wrapText="1"/>
    </xf>
    <xf numFmtId="10" fontId="4" fillId="0" borderId="31" xfId="0" applyNumberFormat="1" applyFont="1" applyBorder="1"/>
    <xf numFmtId="10" fontId="4" fillId="0" borderId="31" xfId="0" applyNumberFormat="1" applyFont="1" applyBorder="1" applyAlignment="1">
      <alignment horizontal="right"/>
    </xf>
    <xf numFmtId="0" fontId="4" fillId="0" borderId="30" xfId="0" applyFont="1" applyBorder="1" applyAlignment="1">
      <alignment vertical="center" wrapText="1"/>
    </xf>
    <xf numFmtId="10" fontId="4" fillId="2" borderId="31" xfId="0" applyNumberFormat="1" applyFont="1" applyFill="1" applyBorder="1" applyAlignment="1">
      <alignment horizontal="right" vertical="center" wrapText="1"/>
    </xf>
    <xf numFmtId="10" fontId="4" fillId="0" borderId="31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vertical="center" wrapText="1"/>
    </xf>
    <xf numFmtId="10" fontId="4" fillId="0" borderId="19" xfId="0" applyNumberFormat="1" applyFont="1" applyBorder="1" applyAlignment="1">
      <alignment horizontal="right" vertical="center" wrapText="1"/>
    </xf>
    <xf numFmtId="0" fontId="29" fillId="21" borderId="23" xfId="0" applyFont="1" applyFill="1" applyBorder="1"/>
    <xf numFmtId="10" fontId="34" fillId="21" borderId="19" xfId="0" applyNumberFormat="1" applyFont="1" applyFill="1" applyBorder="1" applyAlignment="1">
      <alignment horizontal="right" wrapText="1"/>
    </xf>
    <xf numFmtId="0" fontId="4" fillId="8" borderId="24" xfId="0" applyFont="1" applyFill="1" applyBorder="1" applyAlignment="1">
      <alignment vertical="center"/>
    </xf>
    <xf numFmtId="0" fontId="4" fillId="24" borderId="32" xfId="0" applyFont="1" applyFill="1" applyBorder="1" applyAlignment="1">
      <alignment vertical="center"/>
    </xf>
    <xf numFmtId="189" fontId="0" fillId="0" borderId="0" xfId="0" applyNumberFormat="1"/>
    <xf numFmtId="185" fontId="16" fillId="0" borderId="17" xfId="0" applyNumberFormat="1" applyFont="1" applyBorder="1" applyAlignment="1">
      <alignment horizontal="center" vertical="center" wrapText="1"/>
    </xf>
    <xf numFmtId="165" fontId="39" fillId="5" borderId="0" xfId="0" applyNumberFormat="1" applyFont="1" applyFill="1" applyAlignment="1">
      <alignment horizontal="center" vertical="center" wrapText="1"/>
    </xf>
    <xf numFmtId="165" fontId="40" fillId="5" borderId="12" xfId="0" applyNumberFormat="1" applyFont="1" applyFill="1" applyBorder="1" applyAlignment="1">
      <alignment horizontal="right"/>
    </xf>
    <xf numFmtId="10" fontId="39" fillId="4" borderId="8" xfId="0" applyNumberFormat="1" applyFont="1" applyFill="1" applyBorder="1"/>
    <xf numFmtId="165" fontId="40" fillId="6" borderId="8" xfId="0" applyNumberFormat="1" applyFont="1" applyFill="1" applyBorder="1"/>
    <xf numFmtId="165" fontId="40" fillId="6" borderId="8" xfId="0" applyNumberFormat="1" applyFont="1" applyFill="1" applyBorder="1" applyAlignment="1">
      <alignment horizontal="right"/>
    </xf>
    <xf numFmtId="44" fontId="4" fillId="7" borderId="17" xfId="0" applyNumberFormat="1" applyFont="1" applyFill="1" applyBorder="1" applyAlignment="1">
      <alignment vertical="center"/>
    </xf>
    <xf numFmtId="44" fontId="3" fillId="9" borderId="17" xfId="0" applyNumberFormat="1" applyFont="1" applyFill="1" applyBorder="1" applyAlignment="1">
      <alignment horizontal="right"/>
    </xf>
    <xf numFmtId="0" fontId="39" fillId="5" borderId="7" xfId="0" applyFont="1" applyFill="1" applyBorder="1" applyAlignment="1">
      <alignment horizontal="right" vertical="center" wrapText="1"/>
    </xf>
    <xf numFmtId="167" fontId="2" fillId="4" borderId="0" xfId="0" applyNumberFormat="1" applyFont="1" applyFill="1" applyAlignment="1">
      <alignment horizontal="center" vertical="center"/>
    </xf>
    <xf numFmtId="0" fontId="0" fillId="0" borderId="0" xfId="0"/>
    <xf numFmtId="0" fontId="6" fillId="4" borderId="0" xfId="0" applyFont="1" applyFill="1"/>
    <xf numFmtId="165" fontId="6" fillId="6" borderId="1" xfId="0" applyNumberFormat="1" applyFont="1" applyFill="1" applyBorder="1"/>
    <xf numFmtId="0" fontId="5" fillId="0" borderId="2" xfId="0" applyFont="1" applyBorder="1"/>
    <xf numFmtId="0" fontId="5" fillId="0" borderId="3" xfId="0" applyFont="1" applyBorder="1"/>
    <xf numFmtId="0" fontId="3" fillId="6" borderId="0" xfId="0" applyFont="1" applyFill="1" applyAlignment="1">
      <alignment horizontal="right"/>
    </xf>
    <xf numFmtId="0" fontId="6" fillId="5" borderId="10" xfId="0" applyFont="1" applyFill="1" applyBorder="1" applyAlignment="1">
      <alignment horizontal="left" vertical="center"/>
    </xf>
    <xf numFmtId="0" fontId="5" fillId="0" borderId="11" xfId="0" applyFont="1" applyBorder="1"/>
    <xf numFmtId="0" fontId="6" fillId="5" borderId="9" xfId="0" applyFont="1" applyFill="1" applyBorder="1"/>
    <xf numFmtId="0" fontId="6" fillId="5" borderId="10" xfId="0" applyFont="1" applyFill="1" applyBorder="1"/>
    <xf numFmtId="0" fontId="6" fillId="5" borderId="11" xfId="0" applyFont="1" applyFill="1" applyBorder="1"/>
    <xf numFmtId="0" fontId="7" fillId="5" borderId="0" xfId="0" applyFont="1" applyFill="1" applyAlignment="1">
      <alignment horizontal="left" vertical="center"/>
    </xf>
    <xf numFmtId="0" fontId="5" fillId="0" borderId="12" xfId="0" applyFont="1" applyBorder="1"/>
    <xf numFmtId="0" fontId="6" fillId="5" borderId="0" xfId="0" applyFont="1" applyFill="1" applyAlignment="1">
      <alignment horizontal="left" vertical="center"/>
    </xf>
    <xf numFmtId="165" fontId="7" fillId="6" borderId="1" xfId="0" applyNumberFormat="1" applyFont="1" applyFill="1" applyBorder="1"/>
    <xf numFmtId="0" fontId="2" fillId="4" borderId="1" xfId="0" applyFont="1" applyFill="1" applyBorder="1" applyAlignment="1">
      <alignment horizontal="center"/>
    </xf>
    <xf numFmtId="0" fontId="9" fillId="4" borderId="0" xfId="0" applyFont="1" applyFill="1" applyAlignment="1">
      <alignment horizontal="right"/>
    </xf>
    <xf numFmtId="0" fontId="7" fillId="5" borderId="1" xfId="0" applyFont="1" applyFill="1" applyBorder="1"/>
    <xf numFmtId="0" fontId="3" fillId="6" borderId="0" xfId="0" applyFont="1" applyFill="1"/>
    <xf numFmtId="0" fontId="3" fillId="0" borderId="0" xfId="0" applyFont="1"/>
    <xf numFmtId="0" fontId="2" fillId="6" borderId="1" xfId="0" applyFont="1" applyFill="1" applyBorder="1" applyAlignment="1">
      <alignment horizontal="center"/>
    </xf>
    <xf numFmtId="0" fontId="3" fillId="5" borderId="0" xfId="0" applyFont="1" applyFill="1" applyAlignment="1">
      <alignment horizontal="right"/>
    </xf>
    <xf numFmtId="0" fontId="2" fillId="2" borderId="0" xfId="0" applyFont="1" applyFill="1"/>
    <xf numFmtId="0" fontId="3" fillId="5" borderId="14" xfId="0" applyFont="1" applyFill="1" applyBorder="1" applyAlignment="1">
      <alignment horizontal="right"/>
    </xf>
    <xf numFmtId="0" fontId="5" fillId="0" borderId="14" xfId="0" applyFont="1" applyBorder="1"/>
    <xf numFmtId="0" fontId="1" fillId="3" borderId="0" xfId="0" applyFont="1" applyFill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4" fillId="2" borderId="0" xfId="0" applyFont="1" applyFill="1"/>
    <xf numFmtId="0" fontId="6" fillId="5" borderId="1" xfId="0" applyFont="1" applyFill="1" applyBorder="1"/>
    <xf numFmtId="0" fontId="7" fillId="2" borderId="0" xfId="0" applyFont="1" applyFill="1" applyAlignment="1">
      <alignment horizontal="left" vertical="center"/>
    </xf>
    <xf numFmtId="0" fontId="9" fillId="6" borderId="0" xfId="0" applyFont="1" applyFill="1" applyAlignment="1">
      <alignment horizontal="right"/>
    </xf>
    <xf numFmtId="0" fontId="9" fillId="6" borderId="14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center"/>
    </xf>
    <xf numFmtId="0" fontId="6" fillId="5" borderId="13" xfId="0" applyFont="1" applyFill="1" applyBorder="1"/>
    <xf numFmtId="0" fontId="11" fillId="5" borderId="14" xfId="0" applyFont="1" applyFill="1" applyBorder="1"/>
    <xf numFmtId="0" fontId="5" fillId="0" borderId="16" xfId="0" applyFont="1" applyBorder="1"/>
    <xf numFmtId="0" fontId="2" fillId="5" borderId="1" xfId="0" applyFont="1" applyFill="1" applyBorder="1" applyAlignment="1">
      <alignment horizontal="center"/>
    </xf>
    <xf numFmtId="165" fontId="4" fillId="2" borderId="24" xfId="0" applyNumberFormat="1" applyFont="1" applyFill="1" applyBorder="1" applyAlignment="1">
      <alignment horizontal="right" vertical="center" wrapText="1"/>
    </xf>
    <xf numFmtId="0" fontId="5" fillId="0" borderId="29" xfId="0" applyFont="1" applyBorder="1"/>
    <xf numFmtId="0" fontId="5" fillId="0" borderId="25" xfId="0" applyFont="1" applyBorder="1"/>
    <xf numFmtId="0" fontId="15" fillId="2" borderId="26" xfId="0" applyFont="1" applyFill="1" applyBorder="1" applyAlignment="1">
      <alignment wrapText="1"/>
    </xf>
    <xf numFmtId="0" fontId="5" fillId="0" borderId="27" xfId="0" applyFont="1" applyBorder="1"/>
    <xf numFmtId="0" fontId="5" fillId="0" borderId="28" xfId="0" applyFont="1" applyBorder="1"/>
    <xf numFmtId="0" fontId="4" fillId="0" borderId="18" xfId="0" applyFont="1" applyBorder="1"/>
    <xf numFmtId="0" fontId="5" fillId="0" borderId="18" xfId="0" applyFont="1" applyBorder="1"/>
    <xf numFmtId="0" fontId="5" fillId="0" borderId="19" xfId="0" applyFont="1" applyBorder="1"/>
    <xf numFmtId="0" fontId="1" fillId="10" borderId="20" xfId="0" applyFont="1" applyFill="1" applyBorder="1" applyAlignment="1">
      <alignment horizontal="center" vertical="center"/>
    </xf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1" fillId="11" borderId="20" xfId="0" applyFont="1" applyFill="1" applyBorder="1" applyAlignment="1">
      <alignment horizontal="center" vertical="center"/>
    </xf>
    <xf numFmtId="0" fontId="12" fillId="12" borderId="24" xfId="0" applyFont="1" applyFill="1" applyBorder="1" applyAlignment="1">
      <alignment horizontal="center" vertical="center" wrapText="1"/>
    </xf>
    <xf numFmtId="4" fontId="13" fillId="12" borderId="24" xfId="0" applyNumberFormat="1" applyFont="1" applyFill="1" applyBorder="1" applyAlignment="1">
      <alignment horizontal="center" vertical="center" wrapText="1"/>
    </xf>
    <xf numFmtId="0" fontId="13" fillId="12" borderId="24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wrapText="1"/>
    </xf>
    <xf numFmtId="0" fontId="12" fillId="15" borderId="26" xfId="0" applyFont="1" applyFill="1" applyBorder="1" applyAlignment="1">
      <alignment horizontal="center" vertical="center"/>
    </xf>
    <xf numFmtId="0" fontId="4" fillId="0" borderId="0" xfId="0" applyFont="1"/>
    <xf numFmtId="0" fontId="21" fillId="0" borderId="0" xfId="0" applyFont="1" applyAlignment="1">
      <alignment horizontal="right"/>
    </xf>
    <xf numFmtId="0" fontId="16" fillId="0" borderId="30" xfId="0" applyFont="1" applyBorder="1"/>
    <xf numFmtId="2" fontId="13" fillId="15" borderId="26" xfId="0" applyNumberFormat="1" applyFont="1" applyFill="1" applyBorder="1" applyAlignment="1">
      <alignment horizontal="center"/>
    </xf>
    <xf numFmtId="0" fontId="12" fillId="15" borderId="26" xfId="0" applyFont="1" applyFill="1" applyBorder="1" applyAlignment="1">
      <alignment horizontal="center"/>
    </xf>
    <xf numFmtId="0" fontId="12" fillId="16" borderId="26" xfId="0" applyFont="1" applyFill="1" applyBorder="1" applyAlignment="1">
      <alignment horizontal="right"/>
    </xf>
    <xf numFmtId="0" fontId="16" fillId="2" borderId="30" xfId="0" applyFont="1" applyFill="1" applyBorder="1"/>
    <xf numFmtId="0" fontId="22" fillId="2" borderId="30" xfId="0" applyFont="1" applyFill="1" applyBorder="1" applyAlignment="1">
      <alignment horizontal="right"/>
    </xf>
    <xf numFmtId="0" fontId="5" fillId="0" borderId="31" xfId="0" applyFont="1" applyBorder="1"/>
    <xf numFmtId="2" fontId="13" fillId="15" borderId="20" xfId="0" applyNumberFormat="1" applyFont="1" applyFill="1" applyBorder="1" applyAlignment="1">
      <alignment horizontal="center" vertical="center"/>
    </xf>
    <xf numFmtId="2" fontId="13" fillId="15" borderId="24" xfId="0" applyNumberFormat="1" applyFont="1" applyFill="1" applyBorder="1" applyAlignment="1">
      <alignment horizontal="center" vertical="center" wrapText="1"/>
    </xf>
    <xf numFmtId="0" fontId="13" fillId="16" borderId="26" xfId="0" applyFont="1" applyFill="1" applyBorder="1" applyAlignment="1">
      <alignment horizontal="right"/>
    </xf>
    <xf numFmtId="173" fontId="13" fillId="16" borderId="26" xfId="0" applyNumberFormat="1" applyFont="1" applyFill="1" applyBorder="1" applyAlignment="1">
      <alignment horizontal="center"/>
    </xf>
    <xf numFmtId="0" fontId="4" fillId="0" borderId="26" xfId="0" applyFont="1" applyBorder="1"/>
    <xf numFmtId="0" fontId="14" fillId="0" borderId="0" xfId="0" applyFont="1"/>
    <xf numFmtId="2" fontId="13" fillId="16" borderId="26" xfId="0" applyNumberFormat="1" applyFont="1" applyFill="1" applyBorder="1" applyAlignment="1">
      <alignment horizontal="center"/>
    </xf>
    <xf numFmtId="165" fontId="22" fillId="2" borderId="26" xfId="0" applyNumberFormat="1" applyFont="1" applyFill="1" applyBorder="1" applyAlignment="1">
      <alignment horizontal="right"/>
    </xf>
    <xf numFmtId="0" fontId="13" fillId="2" borderId="26" xfId="0" applyFont="1" applyFill="1" applyBorder="1" applyAlignment="1">
      <alignment horizontal="center"/>
    </xf>
    <xf numFmtId="176" fontId="22" fillId="2" borderId="26" xfId="0" applyNumberFormat="1" applyFont="1" applyFill="1" applyBorder="1" applyAlignment="1">
      <alignment horizontal="right"/>
    </xf>
    <xf numFmtId="0" fontId="12" fillId="15" borderId="23" xfId="0" applyFont="1" applyFill="1" applyBorder="1" applyAlignment="1">
      <alignment horizontal="center"/>
    </xf>
    <xf numFmtId="0" fontId="4" fillId="2" borderId="23" xfId="0" applyFont="1" applyFill="1" applyBorder="1"/>
    <xf numFmtId="0" fontId="12" fillId="16" borderId="26" xfId="0" applyFont="1" applyFill="1" applyBorder="1" applyAlignment="1">
      <alignment horizontal="right" vertical="center"/>
    </xf>
    <xf numFmtId="4" fontId="12" fillId="15" borderId="26" xfId="0" applyNumberFormat="1" applyFont="1" applyFill="1" applyBorder="1" applyAlignment="1">
      <alignment horizontal="center"/>
    </xf>
    <xf numFmtId="0" fontId="12" fillId="2" borderId="23" xfId="0" applyFont="1" applyFill="1" applyBorder="1" applyAlignment="1">
      <alignment horizontal="right" vertical="center"/>
    </xf>
    <xf numFmtId="0" fontId="4" fillId="0" borderId="20" xfId="0" applyFont="1" applyBorder="1"/>
    <xf numFmtId="0" fontId="5" fillId="0" borderId="30" xfId="0" applyFont="1" applyBorder="1"/>
    <xf numFmtId="0" fontId="1" fillId="4" borderId="20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left" vertical="center"/>
    </xf>
    <xf numFmtId="0" fontId="1" fillId="4" borderId="20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2" fontId="13" fillId="15" borderId="22" xfId="0" applyNumberFormat="1" applyFont="1" applyFill="1" applyBorder="1" applyAlignment="1">
      <alignment horizontal="center" vertical="center" wrapText="1"/>
    </xf>
    <xf numFmtId="2" fontId="12" fillId="16" borderId="26" xfId="0" applyNumberFormat="1" applyFont="1" applyFill="1" applyBorder="1" applyAlignment="1">
      <alignment horizontal="center"/>
    </xf>
    <xf numFmtId="0" fontId="4" fillId="2" borderId="20" xfId="0" applyFont="1" applyFill="1" applyBorder="1"/>
    <xf numFmtId="0" fontId="22" fillId="2" borderId="26" xfId="0" applyFont="1" applyFill="1" applyBorder="1" applyAlignment="1">
      <alignment horizontal="right"/>
    </xf>
    <xf numFmtId="0" fontId="6" fillId="4" borderId="26" xfId="0" applyFont="1" applyFill="1" applyBorder="1" applyAlignment="1">
      <alignment horizontal="right"/>
    </xf>
    <xf numFmtId="0" fontId="6" fillId="4" borderId="26" xfId="0" applyFont="1" applyFill="1" applyBorder="1" applyAlignment="1">
      <alignment horizontal="right" vertical="center"/>
    </xf>
    <xf numFmtId="182" fontId="22" fillId="2" borderId="26" xfId="0" applyNumberFormat="1" applyFont="1" applyFill="1" applyBorder="1" applyAlignment="1">
      <alignment horizontal="right"/>
    </xf>
    <xf numFmtId="0" fontId="18" fillId="13" borderId="0" xfId="0" applyFont="1" applyFill="1" applyAlignment="1">
      <alignment vertical="center"/>
    </xf>
    <xf numFmtId="0" fontId="12" fillId="18" borderId="26" xfId="0" applyFont="1" applyFill="1" applyBorder="1" applyAlignment="1">
      <alignment horizontal="center" vertical="center"/>
    </xf>
    <xf numFmtId="0" fontId="15" fillId="18" borderId="26" xfId="0" applyFont="1" applyFill="1" applyBorder="1" applyAlignment="1">
      <alignment horizontal="center" vertical="center"/>
    </xf>
    <xf numFmtId="0" fontId="12" fillId="17" borderId="0" xfId="0" applyFont="1" applyFill="1" applyAlignment="1">
      <alignment vertical="center"/>
    </xf>
    <xf numFmtId="0" fontId="15" fillId="17" borderId="0" xfId="0" applyFont="1" applyFill="1" applyAlignment="1">
      <alignment vertical="center"/>
    </xf>
    <xf numFmtId="0" fontId="28" fillId="20" borderId="0" xfId="0" applyFont="1" applyFill="1" applyAlignment="1">
      <alignment horizontal="center"/>
    </xf>
    <xf numFmtId="0" fontId="29" fillId="0" borderId="0" xfId="0" applyFont="1"/>
    <xf numFmtId="187" fontId="30" fillId="0" borderId="0" xfId="0" applyNumberFormat="1" applyFont="1"/>
    <xf numFmtId="0" fontId="31" fillId="2" borderId="0" xfId="0" applyFont="1" applyFill="1"/>
    <xf numFmtId="0" fontId="6" fillId="3" borderId="0" xfId="0" applyFont="1" applyFill="1"/>
    <xf numFmtId="0" fontId="4" fillId="20" borderId="0" xfId="0" applyFont="1" applyFill="1"/>
    <xf numFmtId="0" fontId="6" fillId="21" borderId="20" xfId="0" applyFont="1" applyFill="1" applyBorder="1"/>
    <xf numFmtId="0" fontId="13" fillId="0" borderId="30" xfId="0" applyFont="1" applyBorder="1"/>
    <xf numFmtId="0" fontId="13" fillId="0" borderId="23" xfId="0" applyFont="1" applyBorder="1"/>
    <xf numFmtId="4" fontId="6" fillId="21" borderId="26" xfId="0" applyNumberFormat="1" applyFont="1" applyFill="1" applyBorder="1" applyAlignment="1">
      <alignment horizontal="center"/>
    </xf>
    <xf numFmtId="0" fontId="6" fillId="21" borderId="26" xfId="0" applyFont="1" applyFill="1" applyBorder="1"/>
    <xf numFmtId="4" fontId="13" fillId="0" borderId="26" xfId="0" applyNumberFormat="1" applyFont="1" applyBorder="1" applyAlignment="1">
      <alignment horizontal="center"/>
    </xf>
    <xf numFmtId="0" fontId="13" fillId="0" borderId="20" xfId="0" applyFont="1" applyBorder="1"/>
    <xf numFmtId="0" fontId="29" fillId="0" borderId="26" xfId="0" applyFont="1" applyBorder="1" applyAlignment="1">
      <alignment horizontal="center"/>
    </xf>
    <xf numFmtId="0" fontId="32" fillId="20" borderId="20" xfId="0" applyFont="1" applyFill="1" applyBorder="1" applyAlignment="1">
      <alignment horizontal="center"/>
    </xf>
    <xf numFmtId="0" fontId="6" fillId="22" borderId="30" xfId="0" applyFont="1" applyFill="1" applyBorder="1" applyAlignment="1">
      <alignment wrapText="1"/>
    </xf>
  </cellXfs>
  <cellStyles count="1">
    <cellStyle name="Normal" xfId="0" builtinId="0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nde.gov.br/sigarpweb/index.php/consultas/pregao2/view/nu_seq_pregao/2001" TargetMode="External"/><Relationship Id="rId1" Type="http://schemas.openxmlformats.org/officeDocument/2006/relationships/hyperlink" Target="https://www.fnde.gov.br/sigarpweb/index.php/consultas/pregao2/view/nu_seq_pregao/200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03864"/>
    <outlinePr summaryBelow="0" summaryRight="0"/>
    <pageSetUpPr fitToPage="1"/>
  </sheetPr>
  <dimension ref="A1:O36"/>
  <sheetViews>
    <sheetView showGridLines="0" view="pageBreakPreview" zoomScaleNormal="100" zoomScaleSheetLayoutView="100" workbookViewId="0">
      <selection activeCell="K3" sqref="K3:K27"/>
    </sheetView>
  </sheetViews>
  <sheetFormatPr defaultColWidth="12.6328125" defaultRowHeight="15.75" customHeight="1" x14ac:dyDescent="0.25"/>
  <cols>
    <col min="1" max="1" width="0.36328125" customWidth="1"/>
    <col min="2" max="2" width="2" customWidth="1"/>
    <col min="3" max="3" width="8.90625" customWidth="1"/>
    <col min="4" max="4" width="19" customWidth="1"/>
    <col min="5" max="5" width="10.81640625" customWidth="1"/>
    <col min="6" max="6" width="6.08984375" customWidth="1"/>
    <col min="7" max="7" width="2" customWidth="1"/>
    <col min="8" max="8" width="14.6328125" customWidth="1"/>
    <col min="9" max="9" width="16.36328125" customWidth="1"/>
    <col min="10" max="10" width="26.36328125" customWidth="1"/>
    <col min="11" max="11" width="6.08984375" customWidth="1"/>
    <col min="12" max="12" width="3.6328125" customWidth="1"/>
    <col min="14" max="14" width="24.6328125" customWidth="1"/>
    <col min="15" max="15" width="12.6328125" customWidth="1"/>
  </cols>
  <sheetData>
    <row r="1" spans="1:15" ht="22.5" customHeight="1" x14ac:dyDescent="0.25">
      <c r="A1" s="1"/>
      <c r="B1" s="280" t="s">
        <v>0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</row>
    <row r="2" spans="1:15" ht="5.25" customHeight="1" x14ac:dyDescent="0.3">
      <c r="A2" s="2"/>
      <c r="B2" s="2"/>
      <c r="C2" s="2"/>
      <c r="D2" s="2"/>
      <c r="E2" s="2"/>
      <c r="F2" s="3"/>
      <c r="G2" s="2"/>
      <c r="H2" s="2"/>
      <c r="I2" s="2"/>
      <c r="J2" s="2"/>
      <c r="K2" s="4"/>
      <c r="L2" s="2"/>
      <c r="M2" s="2"/>
      <c r="N2" s="2"/>
      <c r="O2" s="2"/>
    </row>
    <row r="3" spans="1:15" ht="15" x14ac:dyDescent="0.3">
      <c r="A3" s="2"/>
      <c r="B3" s="270" t="s">
        <v>1</v>
      </c>
      <c r="C3" s="258"/>
      <c r="D3" s="258"/>
      <c r="E3" s="259"/>
      <c r="F3" s="5"/>
      <c r="G3" s="281" t="s">
        <v>2</v>
      </c>
      <c r="H3" s="282"/>
      <c r="I3" s="282"/>
      <c r="J3" s="283"/>
      <c r="K3" s="284"/>
      <c r="L3" s="275" t="s">
        <v>3</v>
      </c>
      <c r="M3" s="258"/>
      <c r="N3" s="258"/>
      <c r="O3" s="259"/>
    </row>
    <row r="4" spans="1:15" ht="15" x14ac:dyDescent="0.3">
      <c r="A4" s="6"/>
      <c r="B4" s="7"/>
      <c r="C4" s="256" t="s">
        <v>4</v>
      </c>
      <c r="D4" s="255"/>
      <c r="E4" s="9">
        <v>24</v>
      </c>
      <c r="F4" s="5"/>
      <c r="G4" s="285" t="s">
        <v>318</v>
      </c>
      <c r="H4" s="258"/>
      <c r="I4" s="258"/>
      <c r="J4" s="259"/>
      <c r="K4" s="255"/>
      <c r="L4" s="257" t="s">
        <v>321</v>
      </c>
      <c r="M4" s="258"/>
      <c r="N4" s="258"/>
      <c r="O4" s="259"/>
    </row>
    <row r="5" spans="1:15" ht="13" x14ac:dyDescent="0.3">
      <c r="A5" s="10"/>
      <c r="B5" s="7"/>
      <c r="C5" s="256" t="s">
        <v>5</v>
      </c>
      <c r="D5" s="255"/>
      <c r="E5" s="11">
        <v>200</v>
      </c>
      <c r="F5" s="5"/>
      <c r="G5" s="12"/>
      <c r="H5" s="261" t="s">
        <v>327</v>
      </c>
      <c r="I5" s="262"/>
      <c r="J5" s="246" t="s">
        <v>340</v>
      </c>
      <c r="K5" s="255"/>
      <c r="L5" s="13"/>
      <c r="M5" s="260" t="s">
        <v>6</v>
      </c>
      <c r="N5" s="255"/>
      <c r="O5" s="249">
        <v>1735.32</v>
      </c>
    </row>
    <row r="6" spans="1:15" ht="13" x14ac:dyDescent="0.3">
      <c r="A6" s="10"/>
      <c r="B6" s="7"/>
      <c r="C6" s="256" t="s">
        <v>7</v>
      </c>
      <c r="D6" s="255"/>
      <c r="E6" s="15">
        <v>0.05</v>
      </c>
      <c r="F6" s="5"/>
      <c r="G6" s="16"/>
      <c r="H6" s="266" t="s">
        <v>8</v>
      </c>
      <c r="I6" s="267"/>
      <c r="J6" s="17">
        <v>2016</v>
      </c>
      <c r="K6" s="255"/>
      <c r="L6" s="13"/>
      <c r="M6" s="260" t="s">
        <v>9</v>
      </c>
      <c r="N6" s="255"/>
      <c r="O6" s="14">
        <v>800</v>
      </c>
    </row>
    <row r="7" spans="1:15" ht="13" x14ac:dyDescent="0.3">
      <c r="A7" s="10"/>
      <c r="B7" s="18"/>
      <c r="C7" s="18"/>
      <c r="D7" s="18"/>
      <c r="E7" s="18"/>
      <c r="F7" s="5"/>
      <c r="G7" s="16"/>
      <c r="H7" s="268" t="s">
        <v>329</v>
      </c>
      <c r="I7" s="267"/>
      <c r="J7" s="19">
        <v>228000</v>
      </c>
      <c r="K7" s="255"/>
      <c r="L7" s="257" t="s">
        <v>325</v>
      </c>
      <c r="M7" s="258"/>
      <c r="N7" s="258"/>
      <c r="O7" s="259"/>
    </row>
    <row r="8" spans="1:15" ht="15" x14ac:dyDescent="0.3">
      <c r="A8" s="6"/>
      <c r="B8" s="270" t="s">
        <v>11</v>
      </c>
      <c r="C8" s="258"/>
      <c r="D8" s="258"/>
      <c r="E8" s="259"/>
      <c r="F8" s="5"/>
      <c r="G8" s="16"/>
      <c r="H8" s="266" t="s">
        <v>12</v>
      </c>
      <c r="I8" s="267"/>
      <c r="J8" s="19">
        <v>436266.8</v>
      </c>
      <c r="K8" s="255"/>
      <c r="L8" s="13"/>
      <c r="M8" s="260" t="s">
        <v>13</v>
      </c>
      <c r="N8" s="255"/>
      <c r="O8" s="249">
        <v>2794.9</v>
      </c>
    </row>
    <row r="9" spans="1:15" ht="13" x14ac:dyDescent="0.3">
      <c r="A9" s="4"/>
      <c r="B9" s="7"/>
      <c r="C9" s="256" t="s">
        <v>326</v>
      </c>
      <c r="D9" s="255"/>
      <c r="E9" s="20">
        <v>7.7700000000000005E-2</v>
      </c>
      <c r="F9" s="5"/>
      <c r="G9" s="263" t="s">
        <v>320</v>
      </c>
      <c r="H9" s="264"/>
      <c r="I9" s="264"/>
      <c r="J9" s="265"/>
      <c r="K9" s="255"/>
      <c r="L9" s="13"/>
      <c r="M9" s="260" t="s">
        <v>14</v>
      </c>
      <c r="N9" s="255"/>
      <c r="O9" s="14">
        <v>550</v>
      </c>
    </row>
    <row r="10" spans="1:15" ht="26" x14ac:dyDescent="0.3">
      <c r="A10" s="4"/>
      <c r="B10" s="7"/>
      <c r="C10" s="8" t="s">
        <v>15</v>
      </c>
      <c r="D10" s="21"/>
      <c r="E10" s="22"/>
      <c r="F10" s="5"/>
      <c r="G10" s="12"/>
      <c r="H10" s="261" t="s">
        <v>328</v>
      </c>
      <c r="I10" s="262"/>
      <c r="J10" s="253" t="s">
        <v>341</v>
      </c>
      <c r="K10" s="255"/>
      <c r="L10" s="269" t="s">
        <v>16</v>
      </c>
      <c r="M10" s="258"/>
      <c r="N10" s="258"/>
      <c r="O10" s="259"/>
    </row>
    <row r="11" spans="1:15" ht="13" x14ac:dyDescent="0.3">
      <c r="A11" s="4"/>
      <c r="B11" s="7"/>
      <c r="C11" s="271">
        <v>2026</v>
      </c>
      <c r="D11" s="267"/>
      <c r="E11" s="248">
        <v>3.8100000000000002E-2</v>
      </c>
      <c r="F11" s="5">
        <f ca="1">IF(E4&gt;=12-MONTH(TODAY()),(E11+E$9)/12*(12-MONTH(TODAY())),(E11+E$9)/12*E4)</f>
        <v>3.8600000000000002E-2</v>
      </c>
      <c r="G11" s="16"/>
      <c r="H11" s="266" t="s">
        <v>8</v>
      </c>
      <c r="I11" s="267"/>
      <c r="J11" s="17">
        <v>2016</v>
      </c>
      <c r="K11" s="255"/>
      <c r="L11" s="13"/>
      <c r="M11" s="260" t="s">
        <v>17</v>
      </c>
      <c r="N11" s="255"/>
      <c r="O11" s="249">
        <v>842.85</v>
      </c>
    </row>
    <row r="12" spans="1:15" ht="15" x14ac:dyDescent="0.3">
      <c r="A12" s="23"/>
      <c r="B12" s="7"/>
      <c r="C12" s="271">
        <v>2027</v>
      </c>
      <c r="D12" s="267"/>
      <c r="E12" s="248">
        <v>4.1799999999999997E-2</v>
      </c>
      <c r="F12" s="5">
        <f ca="1">IF(E$4&gt;=24-MONTH(TODAY()),E12+E$9,IF(E$4-12+MONTH(TODAY())&lt;0,0,(E12+E$9)/12*(E$4-12+MONTH(TODAY()))))</f>
        <v>0.1195</v>
      </c>
      <c r="G12" s="16"/>
      <c r="H12" s="268" t="s">
        <v>329</v>
      </c>
      <c r="I12" s="267"/>
      <c r="J12" s="19">
        <v>269900</v>
      </c>
      <c r="K12" s="255"/>
      <c r="L12" s="13"/>
      <c r="M12" s="260" t="s">
        <v>18</v>
      </c>
      <c r="N12" s="255"/>
      <c r="O12" s="14">
        <v>400</v>
      </c>
    </row>
    <row r="13" spans="1:15" ht="13" x14ac:dyDescent="0.3">
      <c r="A13" s="4"/>
      <c r="B13" s="7"/>
      <c r="C13" s="271">
        <v>2028</v>
      </c>
      <c r="D13" s="267"/>
      <c r="E13" s="248">
        <v>3.7999999999999999E-2</v>
      </c>
      <c r="F13" s="5">
        <f ca="1">IF(E$4&gt;=36-MONTH(TODAY()),E13+E$9,IF(E$4-24+MONTH(TODAY())&lt;0,0,(E13+E$9)/12*(E$4-24+MONTH(TODAY()))))</f>
        <v>7.7133333333333332E-2</v>
      </c>
      <c r="G13" s="16"/>
      <c r="H13" s="266" t="s">
        <v>19</v>
      </c>
      <c r="I13" s="267"/>
      <c r="J13" s="19">
        <v>497152.49</v>
      </c>
      <c r="K13" s="255"/>
      <c r="L13" s="24"/>
      <c r="M13" s="24"/>
      <c r="N13" s="24"/>
      <c r="O13" s="24"/>
    </row>
    <row r="14" spans="1:15" ht="15" x14ac:dyDescent="0.3">
      <c r="A14" s="4"/>
      <c r="B14" s="7"/>
      <c r="C14" s="271">
        <v>2029</v>
      </c>
      <c r="D14" s="267"/>
      <c r="E14" s="248">
        <v>3.5000000000000003E-2</v>
      </c>
      <c r="F14" s="5">
        <f ca="1">IF(E$4&gt;=48-MONTH(TODAY()),E14+E$9,IF(E$4-36+MONTH(TODAY())&lt;0,0,(E14+E$9)/12*(E$4-36+MONTH(TODAY()))))</f>
        <v>0</v>
      </c>
      <c r="G14" s="272" t="s">
        <v>20</v>
      </c>
      <c r="H14" s="258"/>
      <c r="I14" s="258"/>
      <c r="J14" s="259"/>
      <c r="K14" s="255"/>
      <c r="L14" s="275" t="s">
        <v>21</v>
      </c>
      <c r="M14" s="258"/>
      <c r="N14" s="258"/>
      <c r="O14" s="259"/>
    </row>
    <row r="15" spans="1:15" ht="16.25" customHeight="1" x14ac:dyDescent="0.3">
      <c r="A15" s="4"/>
      <c r="B15" s="7"/>
      <c r="C15" s="271">
        <v>2030</v>
      </c>
      <c r="D15" s="267"/>
      <c r="E15" s="248">
        <v>3.5000000000000003E-2</v>
      </c>
      <c r="F15" s="5">
        <f ca="1">IF(E$4&gt;=60-MONTH(TODAY()),E15+E$9,IF(E$4-48+MONTH(TODAY())&lt;0,0,(E15+E$9)/12*(E$4-48+MONTH(TODAY()))))</f>
        <v>0</v>
      </c>
      <c r="G15" s="12"/>
      <c r="H15" s="261" t="s">
        <v>328</v>
      </c>
      <c r="I15" s="262"/>
      <c r="J15" s="247" t="s">
        <v>342</v>
      </c>
      <c r="K15" s="255"/>
      <c r="L15" s="269" t="s">
        <v>22</v>
      </c>
      <c r="M15" s="258"/>
      <c r="N15" s="258"/>
      <c r="O15" s="259"/>
    </row>
    <row r="16" spans="1:15" ht="15" x14ac:dyDescent="0.3">
      <c r="A16" s="23"/>
      <c r="B16" s="7"/>
      <c r="C16" s="271">
        <v>2031</v>
      </c>
      <c r="D16" s="267"/>
      <c r="E16" s="248">
        <v>3.5000000000000003E-2</v>
      </c>
      <c r="F16" s="5">
        <f ca="1">IF(E$4&gt;=72-MONTH(TODAY()),E16+E$9,IF(E$4-60+MONTH(TODAY())&lt;0,0,(E16+E$9)/12*(E$4-60+MONTH(TODAY()))))</f>
        <v>0</v>
      </c>
      <c r="G16" s="16"/>
      <c r="H16" s="266" t="s">
        <v>8</v>
      </c>
      <c r="I16" s="267"/>
      <c r="J16" s="17">
        <v>2016</v>
      </c>
      <c r="K16" s="255"/>
      <c r="L16" s="13"/>
      <c r="M16" s="273" t="s">
        <v>23</v>
      </c>
      <c r="N16" s="255"/>
      <c r="O16" s="250">
        <v>182.32</v>
      </c>
    </row>
    <row r="17" spans="1:15" ht="13" x14ac:dyDescent="0.3">
      <c r="A17" s="4"/>
      <c r="B17" s="18"/>
      <c r="C17" s="274"/>
      <c r="D17" s="255"/>
      <c r="E17" s="18"/>
      <c r="F17" s="5"/>
      <c r="G17" s="16"/>
      <c r="H17" s="268" t="s">
        <v>329</v>
      </c>
      <c r="I17" s="267"/>
      <c r="J17" s="19">
        <v>159970</v>
      </c>
      <c r="K17" s="255"/>
      <c r="L17" s="13"/>
      <c r="M17" s="273" t="s">
        <v>24</v>
      </c>
      <c r="N17" s="255"/>
      <c r="O17" s="250">
        <v>0</v>
      </c>
    </row>
    <row r="18" spans="1:15" ht="13" x14ac:dyDescent="0.3">
      <c r="A18" s="4"/>
      <c r="B18" s="18"/>
      <c r="C18" s="18"/>
      <c r="D18" s="18"/>
      <c r="E18" s="18"/>
      <c r="F18" s="5"/>
      <c r="G18" s="16"/>
      <c r="H18" s="268" t="s">
        <v>330</v>
      </c>
      <c r="I18" s="267"/>
      <c r="J18" s="19">
        <v>378544</v>
      </c>
      <c r="K18" s="255"/>
      <c r="L18" s="13"/>
      <c r="M18" s="273" t="s">
        <v>25</v>
      </c>
      <c r="N18" s="255"/>
      <c r="O18" s="250">
        <v>200</v>
      </c>
    </row>
    <row r="19" spans="1:15" ht="13" x14ac:dyDescent="0.3">
      <c r="A19" s="4"/>
      <c r="B19" s="18"/>
      <c r="C19" s="18"/>
      <c r="D19" s="18"/>
      <c r="E19" s="18"/>
      <c r="F19" s="5"/>
      <c r="G19" s="10"/>
      <c r="H19" s="286"/>
      <c r="I19" s="255"/>
      <c r="J19" s="26"/>
      <c r="K19" s="255"/>
      <c r="L19" s="13"/>
      <c r="M19" s="25" t="s">
        <v>26</v>
      </c>
      <c r="N19" s="25"/>
      <c r="O19" s="250">
        <v>150</v>
      </c>
    </row>
    <row r="20" spans="1:15" ht="15" x14ac:dyDescent="0.3">
      <c r="A20" s="10"/>
      <c r="B20" s="18"/>
      <c r="C20" s="18"/>
      <c r="D20" s="18"/>
      <c r="E20" s="18"/>
      <c r="F20" s="5"/>
      <c r="G20" s="293" t="s">
        <v>27</v>
      </c>
      <c r="H20" s="258"/>
      <c r="I20" s="258"/>
      <c r="J20" s="259"/>
      <c r="K20" s="255"/>
      <c r="L20" s="13"/>
      <c r="M20" s="273" t="s">
        <v>28</v>
      </c>
      <c r="N20" s="255"/>
      <c r="O20" s="250">
        <v>300</v>
      </c>
    </row>
    <row r="21" spans="1:15" ht="13" x14ac:dyDescent="0.3">
      <c r="A21" s="10"/>
      <c r="B21" s="18"/>
      <c r="C21" s="18"/>
      <c r="D21" s="18"/>
      <c r="E21" s="18"/>
      <c r="F21" s="5"/>
      <c r="G21" s="289" t="s">
        <v>319</v>
      </c>
      <c r="H21" s="258"/>
      <c r="I21" s="258"/>
      <c r="J21" s="259"/>
      <c r="K21" s="255"/>
      <c r="L21" s="13"/>
      <c r="M21" s="273" t="s">
        <v>29</v>
      </c>
      <c r="N21" s="255"/>
      <c r="O21" s="250">
        <v>1200</v>
      </c>
    </row>
    <row r="22" spans="1:15" ht="13" x14ac:dyDescent="0.3">
      <c r="A22" s="10"/>
      <c r="B22" s="18"/>
      <c r="C22" s="18"/>
      <c r="D22" s="18"/>
      <c r="E22" s="18"/>
      <c r="F22" s="5"/>
      <c r="G22" s="27"/>
      <c r="H22" s="276" t="s">
        <v>30</v>
      </c>
      <c r="I22" s="255"/>
      <c r="J22" s="19">
        <v>2093.08</v>
      </c>
      <c r="K22" s="255"/>
      <c r="L22" s="13"/>
      <c r="M22" s="273" t="s">
        <v>31</v>
      </c>
      <c r="N22" s="255"/>
      <c r="O22" s="250">
        <v>217.3646</v>
      </c>
    </row>
    <row r="23" spans="1:15" ht="13" x14ac:dyDescent="0.3">
      <c r="A23" s="10"/>
      <c r="B23" s="18"/>
      <c r="C23" s="18"/>
      <c r="D23" s="18"/>
      <c r="E23" s="18"/>
      <c r="F23" s="5"/>
      <c r="G23" s="28"/>
      <c r="H23" s="278" t="s">
        <v>32</v>
      </c>
      <c r="I23" s="279"/>
      <c r="J23" s="29"/>
      <c r="K23" s="255"/>
      <c r="L23" s="269" t="s">
        <v>33</v>
      </c>
      <c r="M23" s="258"/>
      <c r="N23" s="258"/>
      <c r="O23" s="259"/>
    </row>
    <row r="24" spans="1:15" ht="13" x14ac:dyDescent="0.3">
      <c r="A24" s="10"/>
      <c r="B24" s="18"/>
      <c r="C24" s="18"/>
      <c r="D24" s="18"/>
      <c r="E24" s="18"/>
      <c r="F24" s="5"/>
      <c r="G24" s="289" t="s">
        <v>34</v>
      </c>
      <c r="H24" s="258"/>
      <c r="I24" s="258"/>
      <c r="J24" s="259"/>
      <c r="K24" s="255"/>
      <c r="L24" s="13"/>
      <c r="M24" s="273" t="s">
        <v>35</v>
      </c>
      <c r="N24" s="255"/>
      <c r="O24" s="14">
        <v>7.18</v>
      </c>
    </row>
    <row r="25" spans="1:15" ht="13" x14ac:dyDescent="0.3">
      <c r="A25" s="10"/>
      <c r="B25" s="18"/>
      <c r="C25" s="18"/>
      <c r="D25" s="18"/>
      <c r="E25" s="18"/>
      <c r="F25" s="5"/>
      <c r="G25" s="27"/>
      <c r="H25" s="276" t="s">
        <v>30</v>
      </c>
      <c r="I25" s="255"/>
      <c r="J25" s="19">
        <v>3043.51</v>
      </c>
      <c r="K25" s="255"/>
      <c r="L25" s="13"/>
      <c r="M25" s="273" t="s">
        <v>36</v>
      </c>
      <c r="N25" s="255"/>
      <c r="O25" s="14">
        <v>49.33</v>
      </c>
    </row>
    <row r="26" spans="1:15" ht="15" x14ac:dyDescent="0.3">
      <c r="A26" s="6"/>
      <c r="B26" s="277"/>
      <c r="C26" s="255"/>
      <c r="D26" s="255"/>
      <c r="E26" s="255"/>
      <c r="F26" s="5"/>
      <c r="G26" s="30"/>
      <c r="H26" s="278" t="s">
        <v>37</v>
      </c>
      <c r="I26" s="279"/>
      <c r="J26" s="31"/>
      <c r="K26" s="255"/>
      <c r="L26" s="13"/>
      <c r="M26" s="273" t="s">
        <v>38</v>
      </c>
      <c r="N26" s="255"/>
      <c r="O26" s="14">
        <v>42.99</v>
      </c>
    </row>
    <row r="27" spans="1:15" ht="13" x14ac:dyDescent="0.3">
      <c r="A27" s="10"/>
      <c r="B27" s="10"/>
      <c r="C27" s="32"/>
      <c r="D27" s="10"/>
      <c r="E27" s="3"/>
      <c r="F27" s="5"/>
      <c r="G27" s="289" t="s">
        <v>39</v>
      </c>
      <c r="H27" s="258"/>
      <c r="I27" s="258"/>
      <c r="J27" s="259"/>
      <c r="K27" s="255"/>
      <c r="L27" s="13"/>
      <c r="M27" s="273" t="s">
        <v>40</v>
      </c>
      <c r="N27" s="255"/>
      <c r="O27" s="14">
        <v>46.99</v>
      </c>
    </row>
    <row r="28" spans="1:15" ht="13" x14ac:dyDescent="0.3">
      <c r="A28" s="4"/>
      <c r="B28" s="33"/>
      <c r="C28" s="18"/>
      <c r="D28" s="18"/>
      <c r="E28" s="18"/>
      <c r="F28" s="5"/>
      <c r="G28" s="16"/>
      <c r="H28" s="276" t="s">
        <v>30</v>
      </c>
      <c r="I28" s="255"/>
      <c r="J28" s="19">
        <v>1762.03</v>
      </c>
      <c r="K28" s="24"/>
      <c r="L28" s="13"/>
      <c r="M28" s="273" t="s">
        <v>41</v>
      </c>
      <c r="N28" s="255"/>
      <c r="O28" s="14">
        <v>44.88</v>
      </c>
    </row>
    <row r="29" spans="1:15" ht="13" x14ac:dyDescent="0.3">
      <c r="A29" s="4"/>
      <c r="B29" s="33"/>
      <c r="C29" s="18"/>
      <c r="D29" s="18"/>
      <c r="E29" s="18"/>
      <c r="F29" s="5"/>
      <c r="G29" s="28"/>
      <c r="H29" s="278" t="s">
        <v>42</v>
      </c>
      <c r="I29" s="279"/>
      <c r="J29" s="29"/>
      <c r="K29" s="24"/>
      <c r="L29" s="13"/>
      <c r="M29" s="273" t="s">
        <v>43</v>
      </c>
      <c r="N29" s="255"/>
      <c r="O29" s="14">
        <v>40.9</v>
      </c>
    </row>
    <row r="30" spans="1:15" ht="13" x14ac:dyDescent="0.3">
      <c r="A30" s="4"/>
      <c r="B30" s="33"/>
      <c r="C30" s="18"/>
      <c r="D30" s="18"/>
      <c r="E30" s="18"/>
      <c r="F30" s="5"/>
      <c r="G30" s="290" t="s">
        <v>44</v>
      </c>
      <c r="H30" s="279"/>
      <c r="I30" s="291"/>
      <c r="J30" s="292"/>
      <c r="K30" s="24"/>
      <c r="L30" s="13"/>
      <c r="M30" s="273" t="s">
        <v>45</v>
      </c>
      <c r="N30" s="255"/>
      <c r="O30" s="14"/>
    </row>
    <row r="31" spans="1:15" ht="13" x14ac:dyDescent="0.3">
      <c r="A31" s="4"/>
      <c r="B31" s="33"/>
      <c r="C31" s="18"/>
      <c r="D31" s="18"/>
      <c r="E31" s="18"/>
      <c r="F31" s="5"/>
      <c r="K31" s="24"/>
      <c r="L31" s="13"/>
      <c r="M31" s="287" t="s">
        <v>46</v>
      </c>
      <c r="N31" s="255"/>
      <c r="O31" s="14">
        <v>170</v>
      </c>
    </row>
    <row r="32" spans="1:15" ht="13" x14ac:dyDescent="0.3">
      <c r="A32" s="4"/>
      <c r="B32" s="33"/>
      <c r="C32" s="18"/>
      <c r="D32" s="18"/>
      <c r="E32" s="18"/>
      <c r="F32" s="5"/>
      <c r="K32" s="24"/>
      <c r="L32" s="13"/>
      <c r="M32" s="287" t="s">
        <v>47</v>
      </c>
      <c r="N32" s="255"/>
      <c r="O32" s="14">
        <v>140</v>
      </c>
    </row>
    <row r="33" spans="1:15" ht="13" x14ac:dyDescent="0.3">
      <c r="A33" s="4"/>
      <c r="B33" s="18"/>
      <c r="C33" s="18"/>
      <c r="D33" s="18"/>
      <c r="E33" s="18"/>
      <c r="F33" s="5"/>
      <c r="K33" s="24"/>
      <c r="L33" s="13"/>
      <c r="M33" s="287" t="s">
        <v>48</v>
      </c>
      <c r="N33" s="255"/>
      <c r="O33" s="14">
        <v>60</v>
      </c>
    </row>
    <row r="34" spans="1:15" ht="13" x14ac:dyDescent="0.3">
      <c r="A34" s="4"/>
      <c r="B34" s="18"/>
      <c r="C34" s="18"/>
      <c r="D34" s="18"/>
      <c r="E34" s="18"/>
      <c r="F34" s="5"/>
      <c r="K34" s="24"/>
      <c r="L34" s="34"/>
      <c r="M34" s="288" t="s">
        <v>49</v>
      </c>
      <c r="N34" s="279"/>
      <c r="O34" s="35">
        <v>50</v>
      </c>
    </row>
    <row r="35" spans="1:15" ht="13" x14ac:dyDescent="0.3">
      <c r="A35" s="4"/>
      <c r="B35" s="18"/>
      <c r="C35" s="18"/>
      <c r="D35" s="18"/>
      <c r="E35" s="18"/>
      <c r="F35" s="5"/>
      <c r="K35" s="24"/>
      <c r="L35" s="36"/>
      <c r="M35" s="37" t="s">
        <v>50</v>
      </c>
      <c r="N35" s="37"/>
      <c r="O35" s="38">
        <v>250</v>
      </c>
    </row>
    <row r="36" spans="1:15" ht="13" x14ac:dyDescent="0.3">
      <c r="A36" s="4"/>
      <c r="B36" s="18"/>
      <c r="C36" s="18"/>
      <c r="D36" s="18"/>
      <c r="E36" s="18"/>
      <c r="F36" s="5"/>
      <c r="K36" s="24"/>
      <c r="L36" s="25"/>
      <c r="M36" s="37"/>
      <c r="N36" s="37"/>
      <c r="O36" s="39"/>
    </row>
  </sheetData>
  <mergeCells count="75">
    <mergeCell ref="H23:I23"/>
    <mergeCell ref="L23:O23"/>
    <mergeCell ref="G24:J24"/>
    <mergeCell ref="M24:N24"/>
    <mergeCell ref="G20:J20"/>
    <mergeCell ref="M20:N20"/>
    <mergeCell ref="G21:J21"/>
    <mergeCell ref="M21:N21"/>
    <mergeCell ref="H22:I22"/>
    <mergeCell ref="M22:N22"/>
    <mergeCell ref="M33:N33"/>
    <mergeCell ref="M34:N34"/>
    <mergeCell ref="M26:N26"/>
    <mergeCell ref="G27:J27"/>
    <mergeCell ref="M27:N27"/>
    <mergeCell ref="H28:I28"/>
    <mergeCell ref="M28:N28"/>
    <mergeCell ref="H29:I29"/>
    <mergeCell ref="M29:N29"/>
    <mergeCell ref="G30:H30"/>
    <mergeCell ref="I30:J30"/>
    <mergeCell ref="M30:N30"/>
    <mergeCell ref="M31:N31"/>
    <mergeCell ref="M32:N32"/>
    <mergeCell ref="H25:I25"/>
    <mergeCell ref="M25:N25"/>
    <mergeCell ref="B26:E26"/>
    <mergeCell ref="H26:I26"/>
    <mergeCell ref="B1:O1"/>
    <mergeCell ref="B3:E3"/>
    <mergeCell ref="G3:J3"/>
    <mergeCell ref="K3:K27"/>
    <mergeCell ref="L3:O3"/>
    <mergeCell ref="G4:J4"/>
    <mergeCell ref="M9:N9"/>
    <mergeCell ref="H17:I17"/>
    <mergeCell ref="M17:N17"/>
    <mergeCell ref="H18:I18"/>
    <mergeCell ref="M18:N18"/>
    <mergeCell ref="H19:I19"/>
    <mergeCell ref="M16:N16"/>
    <mergeCell ref="C17:D17"/>
    <mergeCell ref="L14:O14"/>
    <mergeCell ref="C15:D15"/>
    <mergeCell ref="H15:I15"/>
    <mergeCell ref="L15:O15"/>
    <mergeCell ref="C13:D13"/>
    <mergeCell ref="H13:I13"/>
    <mergeCell ref="C14:D14"/>
    <mergeCell ref="G14:J14"/>
    <mergeCell ref="C16:D16"/>
    <mergeCell ref="H16:I16"/>
    <mergeCell ref="C11:D11"/>
    <mergeCell ref="H11:I11"/>
    <mergeCell ref="M11:N11"/>
    <mergeCell ref="C12:D12"/>
    <mergeCell ref="H12:I12"/>
    <mergeCell ref="M12:N12"/>
    <mergeCell ref="C9:D9"/>
    <mergeCell ref="G9:J9"/>
    <mergeCell ref="H8:I8"/>
    <mergeCell ref="H10:I10"/>
    <mergeCell ref="M6:N6"/>
    <mergeCell ref="H7:I7"/>
    <mergeCell ref="L10:O10"/>
    <mergeCell ref="H6:I6"/>
    <mergeCell ref="C6:D6"/>
    <mergeCell ref="B8:E8"/>
    <mergeCell ref="L7:O7"/>
    <mergeCell ref="M8:N8"/>
    <mergeCell ref="C4:D4"/>
    <mergeCell ref="C5:D5"/>
    <mergeCell ref="L4:O4"/>
    <mergeCell ref="M5:N5"/>
    <mergeCell ref="H5:I5"/>
  </mergeCells>
  <hyperlinks>
    <hyperlink ref="H8" r:id="rId1" xr:uid="{00000000-0004-0000-0000-000000000000}"/>
    <hyperlink ref="H13" r:id="rId2" xr:uid="{00000000-0004-0000-0000-000001000000}"/>
  </hyperlinks>
  <pageMargins left="0.511811024" right="0.511811024" top="0.78740157499999996" bottom="0.78740157499999996" header="0.31496062000000002" footer="0.31496062000000002"/>
  <pageSetup paperSize="9" scale="83" fitToHeight="6" orientation="landscape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03864"/>
    <outlinePr summaryBelow="0" summaryRight="0"/>
    <pageSetUpPr fitToPage="1"/>
  </sheetPr>
  <dimension ref="A1:M63"/>
  <sheetViews>
    <sheetView view="pageBreakPreview" zoomScale="60" zoomScaleNormal="83" workbookViewId="0">
      <pane ySplit="3" topLeftCell="A4" activePane="bottomLeft" state="frozen"/>
      <selection pane="bottomLeft" activeCell="G5" sqref="G5"/>
    </sheetView>
  </sheetViews>
  <sheetFormatPr defaultColWidth="12.6328125" defaultRowHeight="15.75" customHeight="1" x14ac:dyDescent="0.25"/>
  <cols>
    <col min="1" max="1" width="6.1796875" customWidth="1"/>
    <col min="2" max="2" width="74.08984375" customWidth="1"/>
    <col min="3" max="3" width="20.1796875" customWidth="1"/>
    <col min="4" max="5" width="12.90625" customWidth="1"/>
    <col min="6" max="6" width="13" customWidth="1"/>
    <col min="7" max="8" width="14.6328125" customWidth="1"/>
    <col min="9" max="10" width="14.1796875" customWidth="1"/>
    <col min="11" max="11" width="14.54296875" customWidth="1"/>
    <col min="12" max="12" width="17.36328125" customWidth="1"/>
    <col min="13" max="13" width="17.08984375" customWidth="1"/>
  </cols>
  <sheetData>
    <row r="1" spans="1:13" ht="30" customHeight="1" x14ac:dyDescent="0.25">
      <c r="A1" s="254" t="s">
        <v>51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1:13" ht="1.5" customHeight="1" x14ac:dyDescent="0.25">
      <c r="A2" s="40"/>
      <c r="B2" s="41"/>
      <c r="C2" s="42"/>
      <c r="D2" s="41"/>
      <c r="E2" s="43"/>
      <c r="F2" s="44"/>
      <c r="G2" s="45"/>
      <c r="H2" s="45"/>
      <c r="I2" s="45"/>
      <c r="J2" s="45"/>
      <c r="K2" s="45"/>
      <c r="L2" s="45"/>
      <c r="M2" s="45"/>
    </row>
    <row r="3" spans="1:13" ht="60.65" customHeight="1" x14ac:dyDescent="0.25">
      <c r="A3" s="46" t="s">
        <v>52</v>
      </c>
      <c r="B3" s="47" t="s">
        <v>53</v>
      </c>
      <c r="C3" s="47" t="s">
        <v>54</v>
      </c>
      <c r="D3" s="47" t="s">
        <v>55</v>
      </c>
      <c r="E3" s="47" t="s">
        <v>56</v>
      </c>
      <c r="F3" s="48" t="s">
        <v>57</v>
      </c>
      <c r="G3" s="48" t="s">
        <v>58</v>
      </c>
      <c r="H3" s="48" t="s">
        <v>59</v>
      </c>
      <c r="I3" s="48" t="s">
        <v>60</v>
      </c>
      <c r="J3" s="48" t="s">
        <v>61</v>
      </c>
      <c r="K3" s="48" t="s">
        <v>62</v>
      </c>
      <c r="L3" s="48" t="s">
        <v>63</v>
      </c>
      <c r="M3" s="48" t="s">
        <v>64</v>
      </c>
    </row>
    <row r="4" spans="1:13" ht="77.400000000000006" customHeight="1" x14ac:dyDescent="0.25">
      <c r="A4" s="49">
        <v>1</v>
      </c>
      <c r="B4" s="50" t="s">
        <v>331</v>
      </c>
      <c r="C4" s="51" t="s">
        <v>332</v>
      </c>
      <c r="D4" s="52" t="s">
        <v>333</v>
      </c>
      <c r="E4" s="51" t="s">
        <v>66</v>
      </c>
      <c r="F4" s="53">
        <v>16.82</v>
      </c>
      <c r="G4" s="53">
        <v>20.58</v>
      </c>
      <c r="H4" s="54">
        <f t="shared" ref="H4:H59" si="0">IF(E4="","",F4+G4)</f>
        <v>37.4</v>
      </c>
      <c r="I4" s="55">
        <f ca="1">IF(E4="Ônibus 3",Ônibus!L$46,IF(E4="Micro-Ônibus",'Micro-Ônibus'!L$46,IF(E4="Van",Van!L$45,"")))</f>
        <v>6.7621217827889177</v>
      </c>
      <c r="J4" s="55">
        <f ca="1">IF(E4="Ônibus 3",Ônibus!M$46,IF(E4="Micro-Ônibus",'Micro-Ônibus'!M$46,IF(E4="Van",Van!M$45,"")))</f>
        <v>5.3926974274579393</v>
      </c>
      <c r="K4" s="56">
        <f ca="1">IF(E4="Ônibus 3",Ônibus!E$39,IF(E4="Micro-Ônibus",'Micro-Ônibus'!E$39,IF(E4="Van",Van!E$39,"")))</f>
        <v>13296.207638125314</v>
      </c>
      <c r="L4" s="251">
        <f t="shared" ref="L4:L59" ca="1" si="1">(F4*I4+G4*J4)*200+K4*12</f>
        <v>204498.61194622255</v>
      </c>
      <c r="M4" s="251">
        <f ca="1">IF(L4="","",L4*('Dados de Entrada'!$E$4)/12)</f>
        <v>408997.22389244504</v>
      </c>
    </row>
    <row r="5" spans="1:13" ht="77.400000000000006" customHeight="1" x14ac:dyDescent="0.25">
      <c r="A5" s="49">
        <v>2</v>
      </c>
      <c r="B5" s="50" t="s">
        <v>334</v>
      </c>
      <c r="C5" s="51" t="s">
        <v>335</v>
      </c>
      <c r="D5" s="52" t="s">
        <v>336</v>
      </c>
      <c r="E5" s="51" t="s">
        <v>48</v>
      </c>
      <c r="F5" s="53">
        <v>21.18</v>
      </c>
      <c r="G5" s="53">
        <v>19.940000000000001</v>
      </c>
      <c r="H5" s="54">
        <f t="shared" si="0"/>
        <v>41.120000000000005</v>
      </c>
      <c r="I5" s="55">
        <f ca="1">IF(E5="Ônibus 3",Ônibus!L$46,IF(E5="Micro-Ônibus",'Micro-Ônibus'!L$46,IF(E5="Van",Van!L$45,"")))</f>
        <v>2.4383145867289264</v>
      </c>
      <c r="J5" s="55">
        <f ca="1">IF(E5="Ônibus 3",Ônibus!M$46,IF(E5="Micro-Ônibus",'Micro-Ônibus'!M$46,IF(E5="Van",Van!M$45,"")))</f>
        <v>1.9430614123000078</v>
      </c>
      <c r="K5" s="56">
        <f ca="1">IF(E5="Ônibus 3",Ônibus!E$39,IF(E5="Micro-Ônibus",'Micro-Ônibus'!E$39,IF(E5="Van",Van!E$39,"")))</f>
        <v>8372.2929517592165</v>
      </c>
      <c r="L5" s="251">
        <f t="shared" ca="1" si="1"/>
        <v>118545.14492274677</v>
      </c>
      <c r="M5" s="251">
        <f ca="1">IF(L5="","",L5*('Dados de Entrada'!$E$4)/12)</f>
        <v>237090.28984549353</v>
      </c>
    </row>
    <row r="6" spans="1:13" ht="77.400000000000006" customHeight="1" x14ac:dyDescent="0.25">
      <c r="A6" s="49">
        <v>3</v>
      </c>
      <c r="B6" s="50" t="s">
        <v>337</v>
      </c>
      <c r="C6" s="51" t="s">
        <v>335</v>
      </c>
      <c r="D6" s="52" t="s">
        <v>336</v>
      </c>
      <c r="E6" s="51" t="s">
        <v>48</v>
      </c>
      <c r="F6" s="53">
        <v>12.24</v>
      </c>
      <c r="G6" s="53">
        <v>2.4500000000000002</v>
      </c>
      <c r="H6" s="54">
        <f t="shared" si="0"/>
        <v>14.690000000000001</v>
      </c>
      <c r="I6" s="55">
        <f ca="1">IF(E6="Ônibus 3",Ônibus!L$46,IF(E6="Micro-Ônibus",'Micro-Ônibus'!L$46,IF(E6="Van",Van!L$45,"")))</f>
        <v>2.4383145867289264</v>
      </c>
      <c r="J6" s="55">
        <f ca="1">IF(E6="Ônibus 3",Ônibus!M$46,IF(E6="Micro-Ônibus",'Micro-Ônibus'!M$46,IF(E6="Van",Van!M$45,"")))</f>
        <v>1.9430614123000078</v>
      </c>
      <c r="K6" s="56">
        <f ca="1">IF(E6="Ônibus 3",Ônibus!E$39,IF(E6="Micro-Ônibus",'Micro-Ônibus'!E$39,IF(E6="Van",Van!E$39,"")))</f>
        <v>8372.2929517592165</v>
      </c>
      <c r="L6" s="251">
        <f t="shared" ca="1" si="1"/>
        <v>107388.60962145001</v>
      </c>
      <c r="M6" s="251">
        <f ca="1">IF(L6="","",L6*('Dados de Entrada'!$E$4)/12)</f>
        <v>214777.21924290003</v>
      </c>
    </row>
    <row r="7" spans="1:13" ht="77.400000000000006" customHeight="1" x14ac:dyDescent="0.25">
      <c r="A7" s="49">
        <v>4</v>
      </c>
      <c r="B7" s="50" t="s">
        <v>338</v>
      </c>
      <c r="C7" s="51" t="s">
        <v>335</v>
      </c>
      <c r="D7" s="52" t="s">
        <v>336</v>
      </c>
      <c r="E7" s="51" t="s">
        <v>48</v>
      </c>
      <c r="F7" s="53">
        <v>8.06</v>
      </c>
      <c r="G7" s="53">
        <v>41.69</v>
      </c>
      <c r="H7" s="54">
        <f t="shared" si="0"/>
        <v>49.75</v>
      </c>
      <c r="I7" s="55">
        <f ca="1">IF(E7="Ônibus 3",Ônibus!L$46,IF(E7="Micro-Ônibus",'Micro-Ônibus'!L$46,IF(E7="Van",Van!L$45,"")))</f>
        <v>2.4383145867289264</v>
      </c>
      <c r="J7" s="55">
        <f ca="1">IF(E7="Ônibus 3",Ônibus!M$46,IF(E7="Micro-Ônibus",'Micro-Ônibus'!M$46,IF(E7="Van",Van!M$45,"")))</f>
        <v>1.9430614123000078</v>
      </c>
      <c r="K7" s="56">
        <f ca="1">IF(E7="Ônibus 3",Ônibus!E$39,IF(E7="Micro-Ônibus",'Micro-Ônibus'!E$39,IF(E7="Van",Van!E$39,"")))</f>
        <v>8372.2929517592165</v>
      </c>
      <c r="L7" s="251">
        <f t="shared" ca="1" si="1"/>
        <v>120599.3245906751</v>
      </c>
      <c r="M7" s="251">
        <f ca="1">IF(L7="","",L7*('Dados de Entrada'!$E$4)/12)</f>
        <v>241198.64918135022</v>
      </c>
    </row>
    <row r="8" spans="1:13" ht="77.400000000000006" customHeight="1" x14ac:dyDescent="0.25">
      <c r="A8" s="49">
        <v>5</v>
      </c>
      <c r="B8" s="50" t="s">
        <v>339</v>
      </c>
      <c r="C8" s="51" t="s">
        <v>335</v>
      </c>
      <c r="D8" s="52" t="s">
        <v>336</v>
      </c>
      <c r="E8" s="51" t="s">
        <v>48</v>
      </c>
      <c r="F8" s="53">
        <v>15.96</v>
      </c>
      <c r="G8" s="53">
        <v>33.35</v>
      </c>
      <c r="H8" s="54">
        <f t="shared" si="0"/>
        <v>49.31</v>
      </c>
      <c r="I8" s="55">
        <f ca="1">IF(E8="Ônibus 3",Ônibus!L$46,IF(E8="Micro-Ônibus",'Micro-Ônibus'!L$46,IF(E8="Van",Van!L$45,"")))</f>
        <v>2.4383145867289264</v>
      </c>
      <c r="J8" s="55">
        <f ca="1">IF(E8="Ônibus 3",Ônibus!M$46,IF(E8="Micro-Ônibus",'Micro-Ônibus'!M$46,IF(E8="Van",Van!M$45,"")))</f>
        <v>1.9430614123000078</v>
      </c>
      <c r="K8" s="56">
        <f ca="1">IF(E8="Ônibus 3",Ônibus!E$39,IF(E8="Micro-Ônibus",'Micro-Ônibus'!E$39,IF(E8="Van",Van!E$39,"")))</f>
        <v>8372.2929517592165</v>
      </c>
      <c r="L8" s="251">
        <f t="shared" ca="1" si="1"/>
        <v>121210.83520199038</v>
      </c>
      <c r="M8" s="251">
        <f ca="1">IF(L8="","",L8*('Dados de Entrada'!$E$4)/12)</f>
        <v>242421.67040398077</v>
      </c>
    </row>
    <row r="9" spans="1:13" ht="13" hidden="1" x14ac:dyDescent="0.25">
      <c r="A9" s="49">
        <v>10</v>
      </c>
      <c r="B9" s="50"/>
      <c r="C9" s="51"/>
      <c r="D9" s="52"/>
      <c r="E9" s="51"/>
      <c r="F9" s="53"/>
      <c r="G9" s="53"/>
      <c r="H9" s="54" t="str">
        <f t="shared" si="0"/>
        <v/>
      </c>
      <c r="I9" s="55" t="str">
        <f>IF(E9="Ônibus 3",Ônibus!L$46,IF(E9="Micro-Ônibus",'Micro-Ônibus'!L$46,IF(E9="Van",Van!L$45,"")))</f>
        <v/>
      </c>
      <c r="J9" s="55" t="str">
        <f>IF(E9="Ônibus 3",Ônibus!M$46,IF(E9="Micro-Ônibus",'Micro-Ônibus'!M$46,IF(E9="Van",Van!M$45,"")))</f>
        <v/>
      </c>
      <c r="K9" s="56" t="str">
        <f>IF(E9="Ônibus 3",Ônibus!E$39,IF(E9="Micro-Ônibus",'Micro-Ônibus'!E$39,IF(E9="Van",Van!E$39,"")))</f>
        <v/>
      </c>
      <c r="L9" s="251" t="e">
        <f t="shared" si="1"/>
        <v>#VALUE!</v>
      </c>
      <c r="M9" s="251" t="e">
        <f>IF(L9="","",L9*('Dados de Entrada'!$E$4)/12)</f>
        <v>#VALUE!</v>
      </c>
    </row>
    <row r="10" spans="1:13" ht="13" hidden="1" x14ac:dyDescent="0.25">
      <c r="A10" s="49">
        <v>11</v>
      </c>
      <c r="B10" s="50"/>
      <c r="C10" s="51"/>
      <c r="D10" s="52"/>
      <c r="E10" s="51"/>
      <c r="F10" s="53"/>
      <c r="G10" s="53"/>
      <c r="H10" s="54" t="str">
        <f t="shared" si="0"/>
        <v/>
      </c>
      <c r="I10" s="55" t="str">
        <f>IF(E10="Ônibus 3",Ônibus!L$46,IF(E10="Micro-Ônibus",'Micro-Ônibus'!L$46,IF(E10="Van",Van!L$45,"")))</f>
        <v/>
      </c>
      <c r="J10" s="55" t="str">
        <f>IF(E10="Ônibus 3",Ônibus!M$46,IF(E10="Micro-Ônibus",'Micro-Ônibus'!M$46,IF(E10="Van",Van!M$45,"")))</f>
        <v/>
      </c>
      <c r="K10" s="56" t="str">
        <f>IF(E10="Ônibus 3",Ônibus!E$39,IF(E10="Micro-Ônibus",'Micro-Ônibus'!E$39,IF(E10="Van",Van!E$39,"")))</f>
        <v/>
      </c>
      <c r="L10" s="251" t="e">
        <f t="shared" si="1"/>
        <v>#VALUE!</v>
      </c>
      <c r="M10" s="251" t="e">
        <f>IF(L10="","",L10*('Dados de Entrada'!$E$4)/12)</f>
        <v>#VALUE!</v>
      </c>
    </row>
    <row r="11" spans="1:13" ht="13" hidden="1" x14ac:dyDescent="0.25">
      <c r="A11" s="49">
        <v>12</v>
      </c>
      <c r="B11" s="50"/>
      <c r="C11" s="51"/>
      <c r="D11" s="52"/>
      <c r="E11" s="51"/>
      <c r="F11" s="53"/>
      <c r="G11" s="53"/>
      <c r="H11" s="54" t="str">
        <f t="shared" si="0"/>
        <v/>
      </c>
      <c r="I11" s="55" t="str">
        <f>IF(E11="Ônibus 3",Ônibus!L$46,IF(E11="Micro-Ônibus",'Micro-Ônibus'!L$46,IF(E11="Van",Van!L$45,"")))</f>
        <v/>
      </c>
      <c r="J11" s="55" t="str">
        <f>IF(E11="Ônibus 3",Ônibus!M$46,IF(E11="Micro-Ônibus",'Micro-Ônibus'!M$46,IF(E11="Van",Van!M$45,"")))</f>
        <v/>
      </c>
      <c r="K11" s="56" t="str">
        <f>IF(E11="Ônibus 3",Ônibus!E$39,IF(E11="Micro-Ônibus",'Micro-Ônibus'!E$39,IF(E11="Van",Van!E$39,"")))</f>
        <v/>
      </c>
      <c r="L11" s="251" t="e">
        <f t="shared" si="1"/>
        <v>#VALUE!</v>
      </c>
      <c r="M11" s="251" t="e">
        <f>IF(L11="","",L11*('Dados de Entrada'!$E$4)/12)</f>
        <v>#VALUE!</v>
      </c>
    </row>
    <row r="12" spans="1:13" ht="13" hidden="1" x14ac:dyDescent="0.25">
      <c r="A12" s="49">
        <v>13</v>
      </c>
      <c r="B12" s="50"/>
      <c r="C12" s="51"/>
      <c r="D12" s="52"/>
      <c r="E12" s="51"/>
      <c r="F12" s="53"/>
      <c r="G12" s="53"/>
      <c r="H12" s="54" t="str">
        <f t="shared" si="0"/>
        <v/>
      </c>
      <c r="I12" s="55" t="str">
        <f>IF(E12="Ônibus 3",Ônibus!L$46,IF(E12="Micro-Ônibus",'Micro-Ônibus'!L$46,IF(E12="Van",Van!L$45,"")))</f>
        <v/>
      </c>
      <c r="J12" s="55" t="str">
        <f>IF(E12="Ônibus 3",Ônibus!M$46,IF(E12="Micro-Ônibus",'Micro-Ônibus'!M$46,IF(E12="Van",Van!M$45,"")))</f>
        <v/>
      </c>
      <c r="K12" s="56" t="str">
        <f>IF(E12="Ônibus 3",Ônibus!E$39,IF(E12="Micro-Ônibus",'Micro-Ônibus'!E$39,IF(E12="Van",Van!E$39,"")))</f>
        <v/>
      </c>
      <c r="L12" s="251" t="e">
        <f t="shared" si="1"/>
        <v>#VALUE!</v>
      </c>
      <c r="M12" s="251" t="e">
        <f>IF(L12="","",L12*('Dados de Entrada'!$E$4)/12)</f>
        <v>#VALUE!</v>
      </c>
    </row>
    <row r="13" spans="1:13" ht="13" hidden="1" x14ac:dyDescent="0.25">
      <c r="A13" s="49">
        <v>14</v>
      </c>
      <c r="B13" s="50"/>
      <c r="C13" s="51"/>
      <c r="D13" s="52"/>
      <c r="E13" s="51"/>
      <c r="F13" s="53"/>
      <c r="G13" s="53"/>
      <c r="H13" s="54" t="str">
        <f t="shared" si="0"/>
        <v/>
      </c>
      <c r="I13" s="55" t="str">
        <f>IF(E13="Ônibus 3",Ônibus!L$46,IF(E13="Micro-Ônibus",'Micro-Ônibus'!L$46,IF(E13="Van",Van!L$45,"")))</f>
        <v/>
      </c>
      <c r="J13" s="55" t="str">
        <f>IF(E13="Ônibus 3",Ônibus!M$46,IF(E13="Micro-Ônibus",'Micro-Ônibus'!M$46,IF(E13="Van",Van!M$45,"")))</f>
        <v/>
      </c>
      <c r="K13" s="56" t="str">
        <f>IF(E13="Ônibus 3",Ônibus!E$39,IF(E13="Micro-Ônibus",'Micro-Ônibus'!E$39,IF(E13="Van",Van!E$39,"")))</f>
        <v/>
      </c>
      <c r="L13" s="251" t="e">
        <f t="shared" si="1"/>
        <v>#VALUE!</v>
      </c>
      <c r="M13" s="251" t="e">
        <f>IF(L13="","",L13*('Dados de Entrada'!$E$4)/12)</f>
        <v>#VALUE!</v>
      </c>
    </row>
    <row r="14" spans="1:13" ht="79.75" hidden="1" customHeight="1" x14ac:dyDescent="0.25">
      <c r="A14" s="49">
        <v>15</v>
      </c>
      <c r="B14" s="50"/>
      <c r="C14" s="51"/>
      <c r="D14" s="52"/>
      <c r="E14" s="51"/>
      <c r="F14" s="53"/>
      <c r="G14" s="53"/>
      <c r="H14" s="54" t="str">
        <f t="shared" si="0"/>
        <v/>
      </c>
      <c r="I14" s="55" t="str">
        <f>IF(E14="Ônibus 3",Ônibus!L$46,IF(E14="Micro-Ônibus",'Micro-Ônibus'!L$46,IF(E14="Van",Van!L$45,"")))</f>
        <v/>
      </c>
      <c r="J14" s="55" t="str">
        <f>IF(E14="Ônibus 3",Ônibus!M$46,IF(E14="Micro-Ônibus",'Micro-Ônibus'!M$46,IF(E14="Van",Van!M$45,"")))</f>
        <v/>
      </c>
      <c r="K14" s="56" t="str">
        <f>IF(E14="Ônibus 3",Ônibus!E$39,IF(E14="Micro-Ônibus",'Micro-Ônibus'!E$39,IF(E14="Van",Van!E$39,"")))</f>
        <v/>
      </c>
      <c r="L14" s="251" t="e">
        <f t="shared" si="1"/>
        <v>#VALUE!</v>
      </c>
      <c r="M14" s="251" t="e">
        <f>IF(L14="","",L14*('Dados de Entrada'!$E$4)/12)</f>
        <v>#VALUE!</v>
      </c>
    </row>
    <row r="15" spans="1:13" ht="13" hidden="1" x14ac:dyDescent="0.25">
      <c r="A15" s="49">
        <v>16</v>
      </c>
      <c r="B15" s="50"/>
      <c r="C15" s="51"/>
      <c r="D15" s="52"/>
      <c r="E15" s="51"/>
      <c r="F15" s="53"/>
      <c r="G15" s="53"/>
      <c r="H15" s="54" t="str">
        <f t="shared" si="0"/>
        <v/>
      </c>
      <c r="I15" s="55" t="str">
        <f>IF(E15="Ônibus 3",Ônibus!L$46,IF(E15="Micro-Ônibus",'Micro-Ônibus'!L$46,IF(E15="Van",Van!L$45,"")))</f>
        <v/>
      </c>
      <c r="J15" s="55" t="str">
        <f>IF(E15="Ônibus 3",Ônibus!M$46,IF(E15="Micro-Ônibus",'Micro-Ônibus'!M$46,IF(E15="Van",Van!M$45,"")))</f>
        <v/>
      </c>
      <c r="K15" s="56" t="str">
        <f>IF(E15="Ônibus 3",Ônibus!E$39,IF(E15="Micro-Ônibus",'Micro-Ônibus'!E$39,IF(E15="Van",Van!E$39,"")))</f>
        <v/>
      </c>
      <c r="L15" s="251" t="e">
        <f t="shared" si="1"/>
        <v>#VALUE!</v>
      </c>
      <c r="M15" s="251" t="e">
        <f>IF(L15="","",L15*('Dados de Entrada'!$E$4)/12)</f>
        <v>#VALUE!</v>
      </c>
    </row>
    <row r="16" spans="1:13" ht="13" hidden="1" x14ac:dyDescent="0.25">
      <c r="A16" s="49">
        <v>17</v>
      </c>
      <c r="B16" s="50"/>
      <c r="C16" s="51"/>
      <c r="D16" s="52"/>
      <c r="E16" s="51"/>
      <c r="F16" s="53"/>
      <c r="G16" s="53"/>
      <c r="H16" s="54" t="str">
        <f t="shared" si="0"/>
        <v/>
      </c>
      <c r="I16" s="55" t="str">
        <f>IF(E16="Ônibus 3",Ônibus!L$46,IF(E16="Micro-Ônibus",'Micro-Ônibus'!L$46,IF(E16="Van",Van!L$45,"")))</f>
        <v/>
      </c>
      <c r="J16" s="55" t="str">
        <f>IF(E16="Ônibus 3",Ônibus!M$46,IF(E16="Micro-Ônibus",'Micro-Ônibus'!M$46,IF(E16="Van",Van!M$45,"")))</f>
        <v/>
      </c>
      <c r="K16" s="56" t="str">
        <f>IF(E16="Ônibus 3",Ônibus!E$39,IF(E16="Micro-Ônibus",'Micro-Ônibus'!E$39,IF(E16="Van",Van!E$39,"")))</f>
        <v/>
      </c>
      <c r="L16" s="251" t="e">
        <f t="shared" si="1"/>
        <v>#VALUE!</v>
      </c>
      <c r="M16" s="251" t="e">
        <f>IF(L16="","",L16*('Dados de Entrada'!$E$4)/12)</f>
        <v>#VALUE!</v>
      </c>
    </row>
    <row r="17" spans="1:13" ht="13" hidden="1" x14ac:dyDescent="0.25">
      <c r="A17" s="49">
        <v>18</v>
      </c>
      <c r="B17" s="50"/>
      <c r="C17" s="51"/>
      <c r="D17" s="52"/>
      <c r="E17" s="51"/>
      <c r="F17" s="53"/>
      <c r="G17" s="53"/>
      <c r="H17" s="54" t="str">
        <f t="shared" si="0"/>
        <v/>
      </c>
      <c r="I17" s="55" t="str">
        <f>IF(E17="Ônibus 3",Ônibus!L$46,IF(E17="Micro-Ônibus",'Micro-Ônibus'!L$46,IF(E17="Van",Van!L$45,"")))</f>
        <v/>
      </c>
      <c r="J17" s="55" t="str">
        <f>IF(E17="Ônibus 3",Ônibus!M$46,IF(E17="Micro-Ônibus",'Micro-Ônibus'!M$46,IF(E17="Van",Van!M$45,"")))</f>
        <v/>
      </c>
      <c r="K17" s="56" t="str">
        <f>IF(E17="Ônibus 3",Ônibus!E$39,IF(E17="Micro-Ônibus",'Micro-Ônibus'!E$39,IF(E17="Van",Van!E$39,"")))</f>
        <v/>
      </c>
      <c r="L17" s="251" t="e">
        <f t="shared" si="1"/>
        <v>#VALUE!</v>
      </c>
      <c r="M17" s="251" t="e">
        <f>IF(L17="","",L17*('Dados de Entrada'!$E$4)/12)</f>
        <v>#VALUE!</v>
      </c>
    </row>
    <row r="18" spans="1:13" ht="13" hidden="1" x14ac:dyDescent="0.25">
      <c r="A18" s="49">
        <v>19</v>
      </c>
      <c r="B18" s="50"/>
      <c r="C18" s="51"/>
      <c r="D18" s="52"/>
      <c r="E18" s="51"/>
      <c r="F18" s="53"/>
      <c r="G18" s="53"/>
      <c r="H18" s="54" t="str">
        <f t="shared" si="0"/>
        <v/>
      </c>
      <c r="I18" s="55" t="str">
        <f>IF(E18="Ônibus 3",Ônibus!L$46,IF(E18="Micro-Ônibus",'Micro-Ônibus'!L$46,IF(E18="Van",Van!L$45,"")))</f>
        <v/>
      </c>
      <c r="J18" s="55" t="str">
        <f>IF(E18="Ônibus 3",Ônibus!M$46,IF(E18="Micro-Ônibus",'Micro-Ônibus'!M$46,IF(E18="Van",Van!M$45,"")))</f>
        <v/>
      </c>
      <c r="K18" s="56" t="str">
        <f>IF(E18="Ônibus 3",Ônibus!E$39,IF(E18="Micro-Ônibus",'Micro-Ônibus'!E$39,IF(E18="Van",Van!E$39,"")))</f>
        <v/>
      </c>
      <c r="L18" s="251" t="e">
        <f t="shared" si="1"/>
        <v>#VALUE!</v>
      </c>
      <c r="M18" s="251" t="e">
        <f>IF(L18="","",L18*('Dados de Entrada'!$E$4)/12)</f>
        <v>#VALUE!</v>
      </c>
    </row>
    <row r="19" spans="1:13" ht="13" hidden="1" x14ac:dyDescent="0.25">
      <c r="A19" s="49">
        <v>20</v>
      </c>
      <c r="B19" s="50"/>
      <c r="C19" s="51"/>
      <c r="D19" s="52"/>
      <c r="E19" s="51"/>
      <c r="F19" s="53"/>
      <c r="G19" s="53"/>
      <c r="H19" s="54" t="str">
        <f t="shared" si="0"/>
        <v/>
      </c>
      <c r="I19" s="55" t="str">
        <f>IF(E19="Ônibus 3",Ônibus!L$46,IF(E19="Micro-Ônibus",'Micro-Ônibus'!L$46,IF(E19="Van",Van!L$45,"")))</f>
        <v/>
      </c>
      <c r="J19" s="55" t="str">
        <f>IF(E19="Ônibus 3",Ônibus!M$46,IF(E19="Micro-Ônibus",'Micro-Ônibus'!M$46,IF(E19="Van",Van!M$45,"")))</f>
        <v/>
      </c>
      <c r="K19" s="56" t="str">
        <f>IF(E19="Ônibus 3",Ônibus!E$39,IF(E19="Micro-Ônibus",'Micro-Ônibus'!E$39,IF(E19="Van",Van!E$39,"")))</f>
        <v/>
      </c>
      <c r="L19" s="251" t="e">
        <f t="shared" si="1"/>
        <v>#VALUE!</v>
      </c>
      <c r="M19" s="251" t="e">
        <f>IF(L19="","",L19*('Dados de Entrada'!$E$4)/12)</f>
        <v>#VALUE!</v>
      </c>
    </row>
    <row r="20" spans="1:13" ht="13" hidden="1" x14ac:dyDescent="0.25">
      <c r="A20" s="49">
        <v>21</v>
      </c>
      <c r="B20" s="50"/>
      <c r="C20" s="51"/>
      <c r="D20" s="52"/>
      <c r="E20" s="51"/>
      <c r="F20" s="53"/>
      <c r="G20" s="53"/>
      <c r="H20" s="54" t="str">
        <f t="shared" si="0"/>
        <v/>
      </c>
      <c r="I20" s="55" t="str">
        <f>IF(E20="Ônibus 3",Ônibus!L$46,IF(E20="Micro-Ônibus",'Micro-Ônibus'!L$46,IF(E20="Van",Van!L$45,"")))</f>
        <v/>
      </c>
      <c r="J20" s="55" t="str">
        <f>IF(E20="Ônibus 3",Ônibus!M$46,IF(E20="Micro-Ônibus",'Micro-Ônibus'!M$46,IF(E20="Van",Van!M$45,"")))</f>
        <v/>
      </c>
      <c r="K20" s="56" t="str">
        <f>IF(E20="Ônibus 3",Ônibus!E$39,IF(E20="Micro-Ônibus",'Micro-Ônibus'!E$39,IF(E20="Van",Van!E$39,"")))</f>
        <v/>
      </c>
      <c r="L20" s="251" t="e">
        <f t="shared" si="1"/>
        <v>#VALUE!</v>
      </c>
      <c r="M20" s="251" t="e">
        <f>IF(L20="","",L20*('Dados de Entrada'!$E$4)/12)</f>
        <v>#VALUE!</v>
      </c>
    </row>
    <row r="21" spans="1:13" ht="13" hidden="1" x14ac:dyDescent="0.25">
      <c r="A21" s="49">
        <v>22</v>
      </c>
      <c r="B21" s="50"/>
      <c r="C21" s="51"/>
      <c r="D21" s="52"/>
      <c r="E21" s="51"/>
      <c r="F21" s="53"/>
      <c r="G21" s="53"/>
      <c r="H21" s="54" t="str">
        <f t="shared" si="0"/>
        <v/>
      </c>
      <c r="I21" s="55" t="str">
        <f>IF(E21="Ônibus 3",Ônibus!L$46,IF(E21="Micro-Ônibus",'Micro-Ônibus'!L$46,IF(E21="Van",Van!L$45,"")))</f>
        <v/>
      </c>
      <c r="J21" s="55" t="str">
        <f>IF(E21="Ônibus 3",Ônibus!M$46,IF(E21="Micro-Ônibus",'Micro-Ônibus'!M$46,IF(E21="Van",Van!M$45,"")))</f>
        <v/>
      </c>
      <c r="K21" s="56" t="str">
        <f>IF(E21="Ônibus 3",Ônibus!E$39,IF(E21="Micro-Ônibus",'Micro-Ônibus'!E$39,IF(E21="Van",Van!E$39,"")))</f>
        <v/>
      </c>
      <c r="L21" s="251" t="e">
        <f t="shared" si="1"/>
        <v>#VALUE!</v>
      </c>
      <c r="M21" s="251" t="e">
        <f>IF(L21="","",L21*('Dados de Entrada'!$E$4)/12)</f>
        <v>#VALUE!</v>
      </c>
    </row>
    <row r="22" spans="1:13" ht="13" hidden="1" x14ac:dyDescent="0.25">
      <c r="A22" s="49">
        <v>23</v>
      </c>
      <c r="B22" s="50"/>
      <c r="C22" s="51"/>
      <c r="D22" s="52"/>
      <c r="E22" s="51"/>
      <c r="F22" s="53"/>
      <c r="G22" s="53"/>
      <c r="H22" s="54" t="str">
        <f t="shared" si="0"/>
        <v/>
      </c>
      <c r="I22" s="55" t="str">
        <f>IF(E22="Ônibus 3",Ônibus!L$46,IF(E22="Micro-Ônibus",'Micro-Ônibus'!L$46,IF(E22="Van",Van!L$45,"")))</f>
        <v/>
      </c>
      <c r="J22" s="55" t="str">
        <f>IF(E22="Ônibus 3",Ônibus!M$46,IF(E22="Micro-Ônibus",'Micro-Ônibus'!M$46,IF(E22="Van",Van!M$45,"")))</f>
        <v/>
      </c>
      <c r="K22" s="56" t="str">
        <f>IF(E22="Ônibus 3",Ônibus!E$39,IF(E22="Micro-Ônibus",'Micro-Ônibus'!E$39,IF(E22="Van",Van!E$39,"")))</f>
        <v/>
      </c>
      <c r="L22" s="251" t="e">
        <f t="shared" si="1"/>
        <v>#VALUE!</v>
      </c>
      <c r="M22" s="251" t="e">
        <f>IF(L22="","",L22*('Dados de Entrada'!$E$4)/12)</f>
        <v>#VALUE!</v>
      </c>
    </row>
    <row r="23" spans="1:13" ht="13" hidden="1" x14ac:dyDescent="0.25">
      <c r="A23" s="49">
        <v>24</v>
      </c>
      <c r="B23" s="50"/>
      <c r="C23" s="51"/>
      <c r="D23" s="52"/>
      <c r="E23" s="51"/>
      <c r="F23" s="53"/>
      <c r="G23" s="53"/>
      <c r="H23" s="54" t="str">
        <f t="shared" si="0"/>
        <v/>
      </c>
      <c r="I23" s="55" t="str">
        <f>IF(E23="Ônibus 3",Ônibus!L$46,IF(E23="Micro-Ônibus",'Micro-Ônibus'!L$46,IF(E23="Van",Van!L$45,"")))</f>
        <v/>
      </c>
      <c r="J23" s="55" t="str">
        <f>IF(E23="Ônibus 3",Ônibus!M$46,IF(E23="Micro-Ônibus",'Micro-Ônibus'!M$46,IF(E23="Van",Van!M$45,"")))</f>
        <v/>
      </c>
      <c r="K23" s="56" t="str">
        <f>IF(E23="Ônibus 3",Ônibus!E$39,IF(E23="Micro-Ônibus",'Micro-Ônibus'!E$39,IF(E23="Van",Van!E$39,"")))</f>
        <v/>
      </c>
      <c r="L23" s="251" t="e">
        <f t="shared" si="1"/>
        <v>#VALUE!</v>
      </c>
      <c r="M23" s="251" t="e">
        <f>IF(L23="","",L23*('Dados de Entrada'!$E$4)/12)</f>
        <v>#VALUE!</v>
      </c>
    </row>
    <row r="24" spans="1:13" ht="13" hidden="1" x14ac:dyDescent="0.25">
      <c r="A24" s="49">
        <v>25</v>
      </c>
      <c r="B24" s="50"/>
      <c r="C24" s="51"/>
      <c r="D24" s="52"/>
      <c r="E24" s="51"/>
      <c r="F24" s="53"/>
      <c r="G24" s="53"/>
      <c r="H24" s="54" t="str">
        <f t="shared" si="0"/>
        <v/>
      </c>
      <c r="I24" s="55" t="str">
        <f>IF(E24="Ônibus 3",Ônibus!L$46,IF(E24="Micro-Ônibus",'Micro-Ônibus'!L$46,IF(E24="Van",Van!L$45,"")))</f>
        <v/>
      </c>
      <c r="J24" s="55" t="str">
        <f>IF(E24="Ônibus 3",Ônibus!M$46,IF(E24="Micro-Ônibus",'Micro-Ônibus'!M$46,IF(E24="Van",Van!M$45,"")))</f>
        <v/>
      </c>
      <c r="K24" s="56" t="str">
        <f>IF(E24="Ônibus 3",Ônibus!E$39,IF(E24="Micro-Ônibus",'Micro-Ônibus'!E$39,IF(E24="Van",Van!E$39,"")))</f>
        <v/>
      </c>
      <c r="L24" s="251" t="e">
        <f t="shared" si="1"/>
        <v>#VALUE!</v>
      </c>
      <c r="M24" s="251" t="e">
        <f>IF(L24="","",L24*('Dados de Entrada'!$E$4)/12)</f>
        <v>#VALUE!</v>
      </c>
    </row>
    <row r="25" spans="1:13" ht="13" hidden="1" x14ac:dyDescent="0.25">
      <c r="A25" s="49">
        <v>26</v>
      </c>
      <c r="B25" s="50"/>
      <c r="C25" s="51"/>
      <c r="D25" s="52"/>
      <c r="E25" s="51"/>
      <c r="F25" s="53"/>
      <c r="G25" s="53"/>
      <c r="H25" s="54" t="str">
        <f t="shared" si="0"/>
        <v/>
      </c>
      <c r="I25" s="55" t="str">
        <f>IF(E25="Ônibus 3",Ônibus!L$46,IF(E25="Micro-Ônibus",'Micro-Ônibus'!L$46,IF(E25="Van",Van!L$45,"")))</f>
        <v/>
      </c>
      <c r="J25" s="55" t="str">
        <f>IF(E25="Ônibus 3",Ônibus!M$46,IF(E25="Micro-Ônibus",'Micro-Ônibus'!M$46,IF(E25="Van",Van!M$45,"")))</f>
        <v/>
      </c>
      <c r="K25" s="56" t="str">
        <f>IF(E25="Ônibus 3",Ônibus!E$39,IF(E25="Micro-Ônibus",'Micro-Ônibus'!E$39,IF(E25="Van",Van!E$39,"")))</f>
        <v/>
      </c>
      <c r="L25" s="251" t="e">
        <f t="shared" si="1"/>
        <v>#VALUE!</v>
      </c>
      <c r="M25" s="251" t="e">
        <f>IF(L25="","",L25*('Dados de Entrada'!$E$4)/12)</f>
        <v>#VALUE!</v>
      </c>
    </row>
    <row r="26" spans="1:13" ht="13" hidden="1" x14ac:dyDescent="0.25">
      <c r="A26" s="49">
        <v>27</v>
      </c>
      <c r="B26" s="50"/>
      <c r="C26" s="51"/>
      <c r="D26" s="52"/>
      <c r="E26" s="51"/>
      <c r="F26" s="53"/>
      <c r="G26" s="53"/>
      <c r="H26" s="54" t="str">
        <f t="shared" si="0"/>
        <v/>
      </c>
      <c r="I26" s="55" t="str">
        <f>IF(E26="Ônibus 3",Ônibus!L$46,IF(E26="Micro-Ônibus",'Micro-Ônibus'!L$46,IF(E26="Van",Van!L$45,"")))</f>
        <v/>
      </c>
      <c r="J26" s="55" t="str">
        <f>IF(E26="Ônibus 3",Ônibus!M$46,IF(E26="Micro-Ônibus",'Micro-Ônibus'!M$46,IF(E26="Van",Van!M$45,"")))</f>
        <v/>
      </c>
      <c r="K26" s="56" t="str">
        <f>IF(E26="Ônibus 3",Ônibus!E$39,IF(E26="Micro-Ônibus",'Micro-Ônibus'!E$39,IF(E26="Van",Van!E$39,"")))</f>
        <v/>
      </c>
      <c r="L26" s="251" t="e">
        <f t="shared" si="1"/>
        <v>#VALUE!</v>
      </c>
      <c r="M26" s="251" t="e">
        <f>IF(L26="","",L26*('Dados de Entrada'!$E$4)/12)</f>
        <v>#VALUE!</v>
      </c>
    </row>
    <row r="27" spans="1:13" ht="13" hidden="1" x14ac:dyDescent="0.25">
      <c r="A27" s="49">
        <v>28</v>
      </c>
      <c r="B27" s="50"/>
      <c r="C27" s="51"/>
      <c r="D27" s="52"/>
      <c r="E27" s="51"/>
      <c r="F27" s="53"/>
      <c r="G27" s="53"/>
      <c r="H27" s="54" t="str">
        <f t="shared" si="0"/>
        <v/>
      </c>
      <c r="I27" s="55" t="str">
        <f>IF(E27="Ônibus 3",Ônibus!L$46,IF(E27="Micro-Ônibus",'Micro-Ônibus'!L$46,IF(E27="Van",Van!L$45,"")))</f>
        <v/>
      </c>
      <c r="J27" s="55" t="str">
        <f>IF(E27="Ônibus 3",Ônibus!M$46,IF(E27="Micro-Ônibus",'Micro-Ônibus'!M$46,IF(E27="Van",Van!M$45,"")))</f>
        <v/>
      </c>
      <c r="K27" s="56" t="str">
        <f>IF(E27="Ônibus 3",Ônibus!E$39,IF(E27="Micro-Ônibus",'Micro-Ônibus'!E$39,IF(E27="Van",Van!E$39,"")))</f>
        <v/>
      </c>
      <c r="L27" s="251" t="e">
        <f t="shared" si="1"/>
        <v>#VALUE!</v>
      </c>
      <c r="M27" s="251" t="e">
        <f>IF(L27="","",L27*('Dados de Entrada'!$E$4)/12)</f>
        <v>#VALUE!</v>
      </c>
    </row>
    <row r="28" spans="1:13" ht="13" hidden="1" x14ac:dyDescent="0.25">
      <c r="A28" s="49">
        <v>29</v>
      </c>
      <c r="B28" s="50"/>
      <c r="C28" s="51"/>
      <c r="D28" s="52"/>
      <c r="E28" s="51"/>
      <c r="F28" s="53"/>
      <c r="G28" s="53"/>
      <c r="H28" s="54" t="str">
        <f t="shared" si="0"/>
        <v/>
      </c>
      <c r="I28" s="55" t="str">
        <f>IF(E28="Ônibus 3",Ônibus!L$46,IF(E28="Micro-Ônibus",'Micro-Ônibus'!L$46,IF(E28="Van",Van!L$45,"")))</f>
        <v/>
      </c>
      <c r="J28" s="55" t="str">
        <f>IF(E28="Ônibus 3",Ônibus!M$46,IF(E28="Micro-Ônibus",'Micro-Ônibus'!M$46,IF(E28="Van",Van!M$45,"")))</f>
        <v/>
      </c>
      <c r="K28" s="56" t="str">
        <f>IF(E28="Ônibus 3",Ônibus!E$39,IF(E28="Micro-Ônibus",'Micro-Ônibus'!E$39,IF(E28="Van",Van!E$39,"")))</f>
        <v/>
      </c>
      <c r="L28" s="251" t="e">
        <f t="shared" si="1"/>
        <v>#VALUE!</v>
      </c>
      <c r="M28" s="251" t="e">
        <f>IF(L28="","",L28*('Dados de Entrada'!$E$4)/12)</f>
        <v>#VALUE!</v>
      </c>
    </row>
    <row r="29" spans="1:13" ht="13" hidden="1" x14ac:dyDescent="0.25">
      <c r="A29" s="49">
        <v>30</v>
      </c>
      <c r="B29" s="50"/>
      <c r="C29" s="51"/>
      <c r="D29" s="52"/>
      <c r="E29" s="51"/>
      <c r="F29" s="53"/>
      <c r="G29" s="53"/>
      <c r="H29" s="54" t="str">
        <f t="shared" si="0"/>
        <v/>
      </c>
      <c r="I29" s="55" t="str">
        <f>IF(E29="Ônibus 3",Ônibus!L$46,IF(E29="Micro-Ônibus",'Micro-Ônibus'!L$46,IF(E29="Van",Van!L$45,"")))</f>
        <v/>
      </c>
      <c r="J29" s="55" t="str">
        <f>IF(E29="Ônibus 3",Ônibus!M$46,IF(E29="Micro-Ônibus",'Micro-Ônibus'!M$46,IF(E29="Van",Van!M$45,"")))</f>
        <v/>
      </c>
      <c r="K29" s="56" t="str">
        <f>IF(E29="Ônibus 3",Ônibus!E$39,IF(E29="Micro-Ônibus",'Micro-Ônibus'!E$39,IF(E29="Van",Van!E$39,"")))</f>
        <v/>
      </c>
      <c r="L29" s="251" t="e">
        <f t="shared" si="1"/>
        <v>#VALUE!</v>
      </c>
      <c r="M29" s="251" t="e">
        <f>IF(L29="","",L29*('Dados de Entrada'!$E$4)/12)</f>
        <v>#VALUE!</v>
      </c>
    </row>
    <row r="30" spans="1:13" ht="13" hidden="1" x14ac:dyDescent="0.25">
      <c r="A30" s="49">
        <v>31</v>
      </c>
      <c r="B30" s="50"/>
      <c r="C30" s="51"/>
      <c r="D30" s="52"/>
      <c r="E30" s="51"/>
      <c r="F30" s="53"/>
      <c r="G30" s="53"/>
      <c r="H30" s="54" t="str">
        <f t="shared" si="0"/>
        <v/>
      </c>
      <c r="I30" s="55" t="str">
        <f>IF(E30="Ônibus 3",Ônibus!L$46,IF(E30="Micro-Ônibus",'Micro-Ônibus'!L$46,IF(E30="Van",Van!L$45,"")))</f>
        <v/>
      </c>
      <c r="J30" s="55" t="str">
        <f>IF(E30="Ônibus 3",Ônibus!M$46,IF(E30="Micro-Ônibus",'Micro-Ônibus'!M$46,IF(E30="Van",Van!M$45,"")))</f>
        <v/>
      </c>
      <c r="K30" s="56" t="str">
        <f>IF(E30="Ônibus 3",Ônibus!E$39,IF(E30="Micro-Ônibus",'Micro-Ônibus'!E$39,IF(E30="Van",Van!E$39,"")))</f>
        <v/>
      </c>
      <c r="L30" s="251" t="e">
        <f t="shared" si="1"/>
        <v>#VALUE!</v>
      </c>
      <c r="M30" s="251" t="e">
        <f>IF(L30="","",L30*('Dados de Entrada'!$E$4)/12)</f>
        <v>#VALUE!</v>
      </c>
    </row>
    <row r="31" spans="1:13" ht="13" hidden="1" x14ac:dyDescent="0.25">
      <c r="A31" s="49">
        <v>32</v>
      </c>
      <c r="B31" s="50"/>
      <c r="C31" s="51"/>
      <c r="D31" s="52"/>
      <c r="E31" s="51"/>
      <c r="F31" s="53"/>
      <c r="G31" s="53"/>
      <c r="H31" s="54" t="str">
        <f t="shared" si="0"/>
        <v/>
      </c>
      <c r="I31" s="55" t="str">
        <f>IF(E31="Ônibus 3",Ônibus!L$46,IF(E31="Micro-Ônibus",'Micro-Ônibus'!L$46,IF(E31="Van",Van!L$45,"")))</f>
        <v/>
      </c>
      <c r="J31" s="55" t="str">
        <f>IF(E31="Ônibus 3",Ônibus!M$46,IF(E31="Micro-Ônibus",'Micro-Ônibus'!M$46,IF(E31="Van",Van!M$45,"")))</f>
        <v/>
      </c>
      <c r="K31" s="56" t="str">
        <f>IF(E31="Ônibus 3",Ônibus!E$39,IF(E31="Micro-Ônibus",'Micro-Ônibus'!E$39,IF(E31="Van",Van!E$39,"")))</f>
        <v/>
      </c>
      <c r="L31" s="251" t="e">
        <f t="shared" si="1"/>
        <v>#VALUE!</v>
      </c>
      <c r="M31" s="251" t="e">
        <f>IF(L31="","",L31*('Dados de Entrada'!$E$4)/12)</f>
        <v>#VALUE!</v>
      </c>
    </row>
    <row r="32" spans="1:13" ht="13" hidden="1" x14ac:dyDescent="0.25">
      <c r="A32" s="49">
        <v>33</v>
      </c>
      <c r="B32" s="50"/>
      <c r="C32" s="51"/>
      <c r="D32" s="52"/>
      <c r="E32" s="51"/>
      <c r="F32" s="53"/>
      <c r="G32" s="53"/>
      <c r="H32" s="54" t="str">
        <f t="shared" si="0"/>
        <v/>
      </c>
      <c r="I32" s="55" t="str">
        <f>IF(E32="Ônibus 3",Ônibus!L$46,IF(E32="Micro-Ônibus",'Micro-Ônibus'!L$46,IF(E32="Van",Van!L$45,"")))</f>
        <v/>
      </c>
      <c r="J32" s="55" t="str">
        <f>IF(E32="Ônibus 3",Ônibus!M$46,IF(E32="Micro-Ônibus",'Micro-Ônibus'!M$46,IF(E32="Van",Van!M$45,"")))</f>
        <v/>
      </c>
      <c r="K32" s="56" t="str">
        <f>IF(E32="Ônibus 3",Ônibus!E$39,IF(E32="Micro-Ônibus",'Micro-Ônibus'!E$39,IF(E32="Van",Van!E$39,"")))</f>
        <v/>
      </c>
      <c r="L32" s="251" t="e">
        <f t="shared" si="1"/>
        <v>#VALUE!</v>
      </c>
      <c r="M32" s="251" t="e">
        <f>IF(L32="","",L32*('Dados de Entrada'!$E$4)/12)</f>
        <v>#VALUE!</v>
      </c>
    </row>
    <row r="33" spans="1:13" ht="13" hidden="1" x14ac:dyDescent="0.25">
      <c r="A33" s="49">
        <v>34</v>
      </c>
      <c r="B33" s="50"/>
      <c r="C33" s="51"/>
      <c r="D33" s="52"/>
      <c r="E33" s="51"/>
      <c r="F33" s="53"/>
      <c r="G33" s="53"/>
      <c r="H33" s="54" t="str">
        <f t="shared" si="0"/>
        <v/>
      </c>
      <c r="I33" s="55" t="str">
        <f>IF(E33="Ônibus 3",Ônibus!L$46,IF(E33="Micro-Ônibus",'Micro-Ônibus'!L$46,IF(E33="Van",Van!L$45,"")))</f>
        <v/>
      </c>
      <c r="J33" s="55" t="str">
        <f>IF(E33="Ônibus 3",Ônibus!M$46,IF(E33="Micro-Ônibus",'Micro-Ônibus'!M$46,IF(E33="Van",Van!M$45,"")))</f>
        <v/>
      </c>
      <c r="K33" s="56" t="str">
        <f>IF(E33="Ônibus 3",Ônibus!E$39,IF(E33="Micro-Ônibus",'Micro-Ônibus'!E$39,IF(E33="Van",Van!E$39,"")))</f>
        <v/>
      </c>
      <c r="L33" s="251" t="e">
        <f t="shared" si="1"/>
        <v>#VALUE!</v>
      </c>
      <c r="M33" s="251" t="e">
        <f>IF(L33="","",L33*('Dados de Entrada'!$E$4)/12)</f>
        <v>#VALUE!</v>
      </c>
    </row>
    <row r="34" spans="1:13" ht="13" hidden="1" x14ac:dyDescent="0.25">
      <c r="A34" s="49">
        <v>35</v>
      </c>
      <c r="B34" s="50"/>
      <c r="C34" s="51"/>
      <c r="D34" s="52"/>
      <c r="E34" s="51"/>
      <c r="F34" s="53"/>
      <c r="G34" s="53"/>
      <c r="H34" s="54" t="str">
        <f t="shared" si="0"/>
        <v/>
      </c>
      <c r="I34" s="55" t="str">
        <f>IF(E34="Ônibus 3",Ônibus!L$46,IF(E34="Micro-Ônibus",'Micro-Ônibus'!L$46,IF(E34="Van",Van!L$45,"")))</f>
        <v/>
      </c>
      <c r="J34" s="55" t="str">
        <f>IF(E34="Ônibus 3",Ônibus!M$46,IF(E34="Micro-Ônibus",'Micro-Ônibus'!M$46,IF(E34="Van",Van!M$45,"")))</f>
        <v/>
      </c>
      <c r="K34" s="56" t="str">
        <f>IF(E34="Ônibus 3",Ônibus!E$39,IF(E34="Micro-Ônibus",'Micro-Ônibus'!E$39,IF(E34="Van",Van!E$39,"")))</f>
        <v/>
      </c>
      <c r="L34" s="251" t="e">
        <f t="shared" si="1"/>
        <v>#VALUE!</v>
      </c>
      <c r="M34" s="251" t="e">
        <f>IF(L34="","",L34*('Dados de Entrada'!$E$4)/12)</f>
        <v>#VALUE!</v>
      </c>
    </row>
    <row r="35" spans="1:13" ht="13" hidden="1" x14ac:dyDescent="0.25">
      <c r="A35" s="49">
        <v>36</v>
      </c>
      <c r="B35" s="50"/>
      <c r="C35" s="51"/>
      <c r="D35" s="52"/>
      <c r="E35" s="51"/>
      <c r="F35" s="53"/>
      <c r="G35" s="53"/>
      <c r="H35" s="54" t="str">
        <f t="shared" si="0"/>
        <v/>
      </c>
      <c r="I35" s="55" t="str">
        <f>IF(E35="Ônibus 3",Ônibus!L$46,IF(E35="Micro-Ônibus",'Micro-Ônibus'!L$46,IF(E35="Van",Van!L$45,"")))</f>
        <v/>
      </c>
      <c r="J35" s="55" t="str">
        <f>IF(E35="Ônibus 3",Ônibus!M$46,IF(E35="Micro-Ônibus",'Micro-Ônibus'!M$46,IF(E35="Van",Van!M$45,"")))</f>
        <v/>
      </c>
      <c r="K35" s="56" t="str">
        <f>IF(E35="Ônibus 3",Ônibus!E$39,IF(E35="Micro-Ônibus",'Micro-Ônibus'!E$39,IF(E35="Van",Van!E$39,"")))</f>
        <v/>
      </c>
      <c r="L35" s="251" t="e">
        <f t="shared" si="1"/>
        <v>#VALUE!</v>
      </c>
      <c r="M35" s="251" t="e">
        <f>IF(L35="","",L35*('Dados de Entrada'!$E$4)/12)</f>
        <v>#VALUE!</v>
      </c>
    </row>
    <row r="36" spans="1:13" ht="13" hidden="1" x14ac:dyDescent="0.25">
      <c r="A36" s="49">
        <v>37</v>
      </c>
      <c r="B36" s="50"/>
      <c r="C36" s="51"/>
      <c r="D36" s="52"/>
      <c r="E36" s="51"/>
      <c r="F36" s="53"/>
      <c r="G36" s="53"/>
      <c r="H36" s="54" t="str">
        <f t="shared" si="0"/>
        <v/>
      </c>
      <c r="I36" s="55" t="str">
        <f>IF(E36="Ônibus 3",Ônibus!L$46,IF(E36="Micro-Ônibus",'Micro-Ônibus'!L$46,IF(E36="Van",Van!L$45,"")))</f>
        <v/>
      </c>
      <c r="J36" s="55" t="str">
        <f>IF(E36="Ônibus 3",Ônibus!M$46,IF(E36="Micro-Ônibus",'Micro-Ônibus'!M$46,IF(E36="Van",Van!M$45,"")))</f>
        <v/>
      </c>
      <c r="K36" s="56" t="str">
        <f>IF(E36="Ônibus 3",Ônibus!E$39,IF(E36="Micro-Ônibus",'Micro-Ônibus'!E$39,IF(E36="Van",Van!E$39,"")))</f>
        <v/>
      </c>
      <c r="L36" s="251" t="e">
        <f t="shared" si="1"/>
        <v>#VALUE!</v>
      </c>
      <c r="M36" s="251" t="e">
        <f>IF(L36="","",L36*('Dados de Entrada'!$E$4)/12)</f>
        <v>#VALUE!</v>
      </c>
    </row>
    <row r="37" spans="1:13" ht="13" hidden="1" x14ac:dyDescent="0.25">
      <c r="A37" s="49">
        <v>38</v>
      </c>
      <c r="B37" s="50"/>
      <c r="C37" s="51"/>
      <c r="D37" s="52"/>
      <c r="E37" s="51"/>
      <c r="F37" s="53"/>
      <c r="G37" s="53"/>
      <c r="H37" s="54" t="str">
        <f t="shared" si="0"/>
        <v/>
      </c>
      <c r="I37" s="55" t="str">
        <f>IF(E37="Ônibus 3",Ônibus!L$46,IF(E37="Micro-Ônibus",'Micro-Ônibus'!L$46,IF(E37="Van",Van!L$45,"")))</f>
        <v/>
      </c>
      <c r="J37" s="55" t="str">
        <f>IF(E37="Ônibus 3",Ônibus!M$46,IF(E37="Micro-Ônibus",'Micro-Ônibus'!M$46,IF(E37="Van",Van!M$45,"")))</f>
        <v/>
      </c>
      <c r="K37" s="56" t="str">
        <f>IF(E37="Ônibus 3",Ônibus!E$39,IF(E37="Micro-Ônibus",'Micro-Ônibus'!E$39,IF(E37="Van",Van!E$39,"")))</f>
        <v/>
      </c>
      <c r="L37" s="251" t="e">
        <f t="shared" si="1"/>
        <v>#VALUE!</v>
      </c>
      <c r="M37" s="251" t="e">
        <f>IF(L37="","",L37*('Dados de Entrada'!$E$4)/12)</f>
        <v>#VALUE!</v>
      </c>
    </row>
    <row r="38" spans="1:13" ht="13" hidden="1" x14ac:dyDescent="0.25">
      <c r="A38" s="49">
        <v>39</v>
      </c>
      <c r="B38" s="50"/>
      <c r="C38" s="51"/>
      <c r="D38" s="52"/>
      <c r="E38" s="51"/>
      <c r="F38" s="53"/>
      <c r="G38" s="53"/>
      <c r="H38" s="54" t="str">
        <f t="shared" si="0"/>
        <v/>
      </c>
      <c r="I38" s="55" t="str">
        <f>IF(E38="Ônibus 3",Ônibus!L$46,IF(E38="Micro-Ônibus",'Micro-Ônibus'!L$46,IF(E38="Van",Van!L$45,"")))</f>
        <v/>
      </c>
      <c r="J38" s="55" t="str">
        <f>IF(E38="Ônibus 3",Ônibus!M$46,IF(E38="Micro-Ônibus",'Micro-Ônibus'!M$46,IF(E38="Van",Van!M$45,"")))</f>
        <v/>
      </c>
      <c r="K38" s="56" t="str">
        <f>IF(E38="Ônibus 3",Ônibus!E$39,IF(E38="Micro-Ônibus",'Micro-Ônibus'!E$39,IF(E38="Van",Van!E$39,"")))</f>
        <v/>
      </c>
      <c r="L38" s="251" t="e">
        <f t="shared" si="1"/>
        <v>#VALUE!</v>
      </c>
      <c r="M38" s="251" t="e">
        <f>IF(L38="","",L38*('Dados de Entrada'!$E$4)/12)</f>
        <v>#VALUE!</v>
      </c>
    </row>
    <row r="39" spans="1:13" ht="13" hidden="1" x14ac:dyDescent="0.25">
      <c r="A39" s="49">
        <v>40</v>
      </c>
      <c r="B39" s="50"/>
      <c r="C39" s="51"/>
      <c r="D39" s="52"/>
      <c r="E39" s="51"/>
      <c r="F39" s="53"/>
      <c r="G39" s="53"/>
      <c r="H39" s="54" t="str">
        <f t="shared" si="0"/>
        <v/>
      </c>
      <c r="I39" s="55" t="str">
        <f>IF(E39="Ônibus 3",Ônibus!L$46,IF(E39="Micro-Ônibus",'Micro-Ônibus'!L$46,IF(E39="Van",Van!L$45,"")))</f>
        <v/>
      </c>
      <c r="J39" s="55" t="str">
        <f>IF(E39="Ônibus 3",Ônibus!M$46,IF(E39="Micro-Ônibus",'Micro-Ônibus'!M$46,IF(E39="Van",Van!M$45,"")))</f>
        <v/>
      </c>
      <c r="K39" s="56" t="str">
        <f>IF(E39="Ônibus 3",Ônibus!E$39,IF(E39="Micro-Ônibus",'Micro-Ônibus'!E$39,IF(E39="Van",Van!E$39,"")))</f>
        <v/>
      </c>
      <c r="L39" s="251" t="e">
        <f t="shared" si="1"/>
        <v>#VALUE!</v>
      </c>
      <c r="M39" s="251" t="e">
        <f>IF(L39="","",L39*('Dados de Entrada'!$E$4)/12)</f>
        <v>#VALUE!</v>
      </c>
    </row>
    <row r="40" spans="1:13" ht="13" hidden="1" x14ac:dyDescent="0.25">
      <c r="A40" s="49">
        <v>41</v>
      </c>
      <c r="B40" s="50"/>
      <c r="C40" s="51"/>
      <c r="D40" s="52"/>
      <c r="E40" s="51"/>
      <c r="F40" s="53"/>
      <c r="G40" s="53"/>
      <c r="H40" s="54" t="str">
        <f t="shared" si="0"/>
        <v/>
      </c>
      <c r="I40" s="55" t="str">
        <f>IF(E40="Ônibus 3",Ônibus!L$46,IF(E40="Micro-Ônibus",'Micro-Ônibus'!L$46,IF(E40="Van",Van!L$45,"")))</f>
        <v/>
      </c>
      <c r="J40" s="55" t="str">
        <f>IF(E40="Ônibus 3",Ônibus!M$46,IF(E40="Micro-Ônibus",'Micro-Ônibus'!M$46,IF(E40="Van",Van!M$45,"")))</f>
        <v/>
      </c>
      <c r="K40" s="56" t="str">
        <f>IF(E40="Ônibus 3",Ônibus!E$39,IF(E40="Micro-Ônibus",'Micro-Ônibus'!E$39,IF(E40="Van",Van!E$39,"")))</f>
        <v/>
      </c>
      <c r="L40" s="251" t="e">
        <f t="shared" si="1"/>
        <v>#VALUE!</v>
      </c>
      <c r="M40" s="251" t="e">
        <f>IF(L40="","",L40*('Dados de Entrada'!$E$4)/12)</f>
        <v>#VALUE!</v>
      </c>
    </row>
    <row r="41" spans="1:13" ht="13" hidden="1" x14ac:dyDescent="0.25">
      <c r="A41" s="49">
        <v>42</v>
      </c>
      <c r="B41" s="50"/>
      <c r="C41" s="51"/>
      <c r="D41" s="52"/>
      <c r="E41" s="51"/>
      <c r="F41" s="53"/>
      <c r="G41" s="53"/>
      <c r="H41" s="54" t="str">
        <f t="shared" si="0"/>
        <v/>
      </c>
      <c r="I41" s="55" t="str">
        <f>IF(E41="Ônibus 3",Ônibus!L$46,IF(E41="Micro-Ônibus",'Micro-Ônibus'!L$46,IF(E41="Van",Van!L$45,"")))</f>
        <v/>
      </c>
      <c r="J41" s="55" t="str">
        <f>IF(E41="Ônibus 3",Ônibus!M$46,IF(E41="Micro-Ônibus",'Micro-Ônibus'!M$46,IF(E41="Van",Van!M$45,"")))</f>
        <v/>
      </c>
      <c r="K41" s="56" t="str">
        <f>IF(E41="Ônibus 3",Ônibus!E$39,IF(E41="Micro-Ônibus",'Micro-Ônibus'!E$39,IF(E41="Van",Van!E$39,"")))</f>
        <v/>
      </c>
      <c r="L41" s="251" t="e">
        <f t="shared" si="1"/>
        <v>#VALUE!</v>
      </c>
      <c r="M41" s="251" t="e">
        <f>IF(L41="","",L41*('Dados de Entrada'!$E$4)/12)</f>
        <v>#VALUE!</v>
      </c>
    </row>
    <row r="42" spans="1:13" ht="13" hidden="1" x14ac:dyDescent="0.25">
      <c r="A42" s="49">
        <v>43</v>
      </c>
      <c r="B42" s="50"/>
      <c r="C42" s="51"/>
      <c r="D42" s="52"/>
      <c r="E42" s="51"/>
      <c r="F42" s="53"/>
      <c r="G42" s="53"/>
      <c r="H42" s="54" t="str">
        <f t="shared" si="0"/>
        <v/>
      </c>
      <c r="I42" s="55" t="str">
        <f>IF(E42="Ônibus 3",Ônibus!L$46,IF(E42="Micro-Ônibus",'Micro-Ônibus'!L$46,IF(E42="Van",Van!L$45,"")))</f>
        <v/>
      </c>
      <c r="J42" s="55" t="str">
        <f>IF(E42="Ônibus 3",Ônibus!M$46,IF(E42="Micro-Ônibus",'Micro-Ônibus'!M$46,IF(E42="Van",Van!M$45,"")))</f>
        <v/>
      </c>
      <c r="K42" s="56" t="str">
        <f>IF(E42="Ônibus 3",Ônibus!E$39,IF(E42="Micro-Ônibus",'Micro-Ônibus'!E$39,IF(E42="Van",Van!E$39,"")))</f>
        <v/>
      </c>
      <c r="L42" s="251" t="e">
        <f t="shared" si="1"/>
        <v>#VALUE!</v>
      </c>
      <c r="M42" s="251" t="e">
        <f>IF(L42="","",L42*('Dados de Entrada'!$E$4)/12)</f>
        <v>#VALUE!</v>
      </c>
    </row>
    <row r="43" spans="1:13" ht="13" hidden="1" x14ac:dyDescent="0.25">
      <c r="A43" s="49">
        <v>44</v>
      </c>
      <c r="B43" s="50"/>
      <c r="C43" s="51"/>
      <c r="D43" s="52"/>
      <c r="E43" s="51"/>
      <c r="F43" s="53"/>
      <c r="G43" s="53"/>
      <c r="H43" s="54" t="str">
        <f t="shared" si="0"/>
        <v/>
      </c>
      <c r="I43" s="55" t="str">
        <f>IF(E43="Ônibus 3",Ônibus!L$46,IF(E43="Micro-Ônibus",'Micro-Ônibus'!L$46,IF(E43="Van",Van!L$45,"")))</f>
        <v/>
      </c>
      <c r="J43" s="55" t="str">
        <f>IF(E43="Ônibus 3",Ônibus!M$46,IF(E43="Micro-Ônibus",'Micro-Ônibus'!M$46,IF(E43="Van",Van!M$45,"")))</f>
        <v/>
      </c>
      <c r="K43" s="56" t="str">
        <f>IF(E43="Ônibus 3",Ônibus!E$39,IF(E43="Micro-Ônibus",'Micro-Ônibus'!E$39,IF(E43="Van",Van!E$39,"")))</f>
        <v/>
      </c>
      <c r="L43" s="251" t="e">
        <f t="shared" si="1"/>
        <v>#VALUE!</v>
      </c>
      <c r="M43" s="251" t="e">
        <f>IF(L43="","",L43*('Dados de Entrada'!$E$4)/12)</f>
        <v>#VALUE!</v>
      </c>
    </row>
    <row r="44" spans="1:13" ht="13" hidden="1" x14ac:dyDescent="0.25">
      <c r="A44" s="49">
        <v>45</v>
      </c>
      <c r="B44" s="50"/>
      <c r="C44" s="51"/>
      <c r="D44" s="52"/>
      <c r="E44" s="51"/>
      <c r="F44" s="53"/>
      <c r="G44" s="53"/>
      <c r="H44" s="54" t="str">
        <f t="shared" si="0"/>
        <v/>
      </c>
      <c r="I44" s="55" t="str">
        <f>IF(E44="Ônibus 3",Ônibus!L$46,IF(E44="Micro-Ônibus",'Micro-Ônibus'!L$46,IF(E44="Van",Van!L$45,"")))</f>
        <v/>
      </c>
      <c r="J44" s="55" t="str">
        <f>IF(E44="Ônibus 3",Ônibus!M$46,IF(E44="Micro-Ônibus",'Micro-Ônibus'!M$46,IF(E44="Van",Van!M$45,"")))</f>
        <v/>
      </c>
      <c r="K44" s="56" t="str">
        <f>IF(E44="Ônibus 3",Ônibus!E$39,IF(E44="Micro-Ônibus",'Micro-Ônibus'!E$39,IF(E44="Van",Van!E$39,"")))</f>
        <v/>
      </c>
      <c r="L44" s="251" t="e">
        <f t="shared" si="1"/>
        <v>#VALUE!</v>
      </c>
      <c r="M44" s="251" t="e">
        <f>IF(L44="","",L44*('Dados de Entrada'!$E$4)/12)</f>
        <v>#VALUE!</v>
      </c>
    </row>
    <row r="45" spans="1:13" ht="13" hidden="1" x14ac:dyDescent="0.25">
      <c r="A45" s="49">
        <v>46</v>
      </c>
      <c r="B45" s="50"/>
      <c r="C45" s="51"/>
      <c r="D45" s="52"/>
      <c r="E45" s="51"/>
      <c r="F45" s="53"/>
      <c r="G45" s="53"/>
      <c r="H45" s="54" t="str">
        <f t="shared" si="0"/>
        <v/>
      </c>
      <c r="I45" s="55" t="str">
        <f>IF(E45="Ônibus 3",Ônibus!L$46,IF(E45="Micro-Ônibus",'Micro-Ônibus'!L$46,IF(E45="Van",Van!L$45,"")))</f>
        <v/>
      </c>
      <c r="J45" s="55" t="str">
        <f>IF(E45="Ônibus 3",Ônibus!M$46,IF(E45="Micro-Ônibus",'Micro-Ônibus'!M$46,IF(E45="Van",Van!M$45,"")))</f>
        <v/>
      </c>
      <c r="K45" s="56" t="str">
        <f>IF(E45="Ônibus 3",Ônibus!E$39,IF(E45="Micro-Ônibus",'Micro-Ônibus'!E$39,IF(E45="Van",Van!E$39,"")))</f>
        <v/>
      </c>
      <c r="L45" s="251" t="e">
        <f t="shared" si="1"/>
        <v>#VALUE!</v>
      </c>
      <c r="M45" s="251" t="e">
        <f>IF(L45="","",L45*('Dados de Entrada'!$E$4)/12)</f>
        <v>#VALUE!</v>
      </c>
    </row>
    <row r="46" spans="1:13" ht="13" hidden="1" x14ac:dyDescent="0.25">
      <c r="A46" s="49">
        <v>47</v>
      </c>
      <c r="B46" s="50"/>
      <c r="C46" s="51"/>
      <c r="D46" s="52"/>
      <c r="E46" s="51"/>
      <c r="F46" s="53"/>
      <c r="G46" s="53"/>
      <c r="H46" s="54" t="str">
        <f t="shared" si="0"/>
        <v/>
      </c>
      <c r="I46" s="55" t="str">
        <f>IF(E46="Ônibus 3",Ônibus!L$46,IF(E46="Micro-Ônibus",'Micro-Ônibus'!L$46,IF(E46="Van",Van!L$45,"")))</f>
        <v/>
      </c>
      <c r="J46" s="55" t="str">
        <f>IF(E46="Ônibus 3",Ônibus!M$46,IF(E46="Micro-Ônibus",'Micro-Ônibus'!M$46,IF(E46="Van",Van!M$45,"")))</f>
        <v/>
      </c>
      <c r="K46" s="56" t="str">
        <f>IF(E46="Ônibus 3",Ônibus!E$39,IF(E46="Micro-Ônibus",'Micro-Ônibus'!E$39,IF(E46="Van",Van!E$39,"")))</f>
        <v/>
      </c>
      <c r="L46" s="251" t="e">
        <f t="shared" si="1"/>
        <v>#VALUE!</v>
      </c>
      <c r="M46" s="251" t="e">
        <f>IF(L46="","",L46*('Dados de Entrada'!$E$4)/12)</f>
        <v>#VALUE!</v>
      </c>
    </row>
    <row r="47" spans="1:13" ht="13" hidden="1" x14ac:dyDescent="0.25">
      <c r="A47" s="49">
        <v>48</v>
      </c>
      <c r="B47" s="50"/>
      <c r="C47" s="51"/>
      <c r="D47" s="52"/>
      <c r="E47" s="51"/>
      <c r="F47" s="53"/>
      <c r="G47" s="53"/>
      <c r="H47" s="54" t="str">
        <f t="shared" si="0"/>
        <v/>
      </c>
      <c r="I47" s="55" t="str">
        <f>IF(E47="Ônibus 3",Ônibus!L$46,IF(E47="Micro-Ônibus",'Micro-Ônibus'!L$46,IF(E47="Van",Van!L$45,"")))</f>
        <v/>
      </c>
      <c r="J47" s="55" t="str">
        <f>IF(E47="Ônibus 3",Ônibus!M$46,IF(E47="Micro-Ônibus",'Micro-Ônibus'!M$46,IF(E47="Van",Van!M$45,"")))</f>
        <v/>
      </c>
      <c r="K47" s="56" t="str">
        <f>IF(E47="Ônibus 3",Ônibus!E$39,IF(E47="Micro-Ônibus",'Micro-Ônibus'!E$39,IF(E47="Van",Van!E$39,"")))</f>
        <v/>
      </c>
      <c r="L47" s="251" t="e">
        <f t="shared" si="1"/>
        <v>#VALUE!</v>
      </c>
      <c r="M47" s="251" t="e">
        <f>IF(L47="","",L47*('Dados de Entrada'!$E$4)/12)</f>
        <v>#VALUE!</v>
      </c>
    </row>
    <row r="48" spans="1:13" ht="13" hidden="1" x14ac:dyDescent="0.25">
      <c r="A48" s="49">
        <v>49</v>
      </c>
      <c r="B48" s="50"/>
      <c r="C48" s="51"/>
      <c r="D48" s="52"/>
      <c r="E48" s="51"/>
      <c r="F48" s="53"/>
      <c r="G48" s="53"/>
      <c r="H48" s="54" t="str">
        <f t="shared" si="0"/>
        <v/>
      </c>
      <c r="I48" s="55" t="str">
        <f>IF(E48="Ônibus 3",Ônibus!L$46,IF(E48="Micro-Ônibus",'Micro-Ônibus'!L$46,IF(E48="Van",Van!L$45,"")))</f>
        <v/>
      </c>
      <c r="J48" s="55" t="str">
        <f>IF(E48="Ônibus 3",Ônibus!M$46,IF(E48="Micro-Ônibus",'Micro-Ônibus'!M$46,IF(E48="Van",Van!M$45,"")))</f>
        <v/>
      </c>
      <c r="K48" s="56" t="str">
        <f>IF(E48="Ônibus 3",Ônibus!E$39,IF(E48="Micro-Ônibus",'Micro-Ônibus'!E$39,IF(E48="Van",Van!E$39,"")))</f>
        <v/>
      </c>
      <c r="L48" s="251" t="e">
        <f t="shared" si="1"/>
        <v>#VALUE!</v>
      </c>
      <c r="M48" s="251" t="e">
        <f>IF(L48="","",L48*('Dados de Entrada'!$E$4)/12)</f>
        <v>#VALUE!</v>
      </c>
    </row>
    <row r="49" spans="1:13" ht="13" hidden="1" x14ac:dyDescent="0.25">
      <c r="A49" s="49">
        <v>50</v>
      </c>
      <c r="B49" s="50"/>
      <c r="C49" s="51"/>
      <c r="D49" s="52"/>
      <c r="E49" s="51"/>
      <c r="F49" s="53"/>
      <c r="G49" s="53"/>
      <c r="H49" s="54" t="str">
        <f t="shared" si="0"/>
        <v/>
      </c>
      <c r="I49" s="55" t="str">
        <f>IF(E49="Ônibus 3",Ônibus!L$46,IF(E49="Micro-Ônibus",'Micro-Ônibus'!L$46,IF(E49="Van",Van!L$45,"")))</f>
        <v/>
      </c>
      <c r="J49" s="55" t="str">
        <f>IF(E49="Ônibus 3",Ônibus!M$46,IF(E49="Micro-Ônibus",'Micro-Ônibus'!M$46,IF(E49="Van",Van!M$45,"")))</f>
        <v/>
      </c>
      <c r="K49" s="56" t="str">
        <f>IF(E49="Ônibus 3",Ônibus!E$39,IF(E49="Micro-Ônibus",'Micro-Ônibus'!E$39,IF(E49="Van",Van!E$39,"")))</f>
        <v/>
      </c>
      <c r="L49" s="251" t="e">
        <f t="shared" si="1"/>
        <v>#VALUE!</v>
      </c>
      <c r="M49" s="251" t="e">
        <f>IF(L49="","",L49*('Dados de Entrada'!$E$4)/12)</f>
        <v>#VALUE!</v>
      </c>
    </row>
    <row r="50" spans="1:13" ht="13" hidden="1" x14ac:dyDescent="0.25">
      <c r="A50" s="49">
        <v>51</v>
      </c>
      <c r="B50" s="50"/>
      <c r="C50" s="51"/>
      <c r="D50" s="52"/>
      <c r="E50" s="51"/>
      <c r="F50" s="53"/>
      <c r="G50" s="53"/>
      <c r="H50" s="54" t="str">
        <f t="shared" si="0"/>
        <v/>
      </c>
      <c r="I50" s="55" t="str">
        <f>IF(E50="Ônibus 3",Ônibus!L$46,IF(E50="Micro-Ônibus",'Micro-Ônibus'!L$46,IF(E50="Van",Van!L$45,"")))</f>
        <v/>
      </c>
      <c r="J50" s="55" t="str">
        <f>IF(E50="Ônibus 3",Ônibus!M$46,IF(E50="Micro-Ônibus",'Micro-Ônibus'!M$46,IF(E50="Van",Van!M$45,"")))</f>
        <v/>
      </c>
      <c r="K50" s="56" t="str">
        <f>IF(E50="Ônibus 3",Ônibus!E$39,IF(E50="Micro-Ônibus",'Micro-Ônibus'!E$39,IF(E50="Van",Van!E$39,"")))</f>
        <v/>
      </c>
      <c r="L50" s="251" t="e">
        <f t="shared" si="1"/>
        <v>#VALUE!</v>
      </c>
      <c r="M50" s="251" t="e">
        <f>IF(L50="","",L50*('Dados de Entrada'!$E$4)/12)</f>
        <v>#VALUE!</v>
      </c>
    </row>
    <row r="51" spans="1:13" ht="13" hidden="1" x14ac:dyDescent="0.25">
      <c r="A51" s="49">
        <v>52</v>
      </c>
      <c r="B51" s="50"/>
      <c r="C51" s="51"/>
      <c r="D51" s="52"/>
      <c r="E51" s="51"/>
      <c r="F51" s="53"/>
      <c r="G51" s="53"/>
      <c r="H51" s="54" t="str">
        <f t="shared" si="0"/>
        <v/>
      </c>
      <c r="I51" s="55" t="str">
        <f>IF(E51="Ônibus 3",Ônibus!L$46,IF(E51="Micro-Ônibus",'Micro-Ônibus'!L$46,IF(E51="Van",Van!L$45,"")))</f>
        <v/>
      </c>
      <c r="J51" s="55" t="str">
        <f>IF(E51="Ônibus 3",Ônibus!M$46,IF(E51="Micro-Ônibus",'Micro-Ônibus'!M$46,IF(E51="Van",Van!M$45,"")))</f>
        <v/>
      </c>
      <c r="K51" s="56" t="str">
        <f>IF(E51="Ônibus 3",Ônibus!E$39,IF(E51="Micro-Ônibus",'Micro-Ônibus'!E$39,IF(E51="Van",Van!E$39,"")))</f>
        <v/>
      </c>
      <c r="L51" s="251" t="e">
        <f t="shared" si="1"/>
        <v>#VALUE!</v>
      </c>
      <c r="M51" s="251" t="e">
        <f>IF(L51="","",L51*('Dados de Entrada'!$E$4)/12)</f>
        <v>#VALUE!</v>
      </c>
    </row>
    <row r="52" spans="1:13" ht="13" hidden="1" x14ac:dyDescent="0.25">
      <c r="A52" s="49">
        <v>53</v>
      </c>
      <c r="B52" s="50"/>
      <c r="C52" s="51"/>
      <c r="D52" s="52"/>
      <c r="E52" s="51"/>
      <c r="F52" s="53"/>
      <c r="G52" s="53"/>
      <c r="H52" s="54" t="str">
        <f t="shared" si="0"/>
        <v/>
      </c>
      <c r="I52" s="55" t="str">
        <f>IF(E52="Ônibus 3",Ônibus!L$46,IF(E52="Micro-Ônibus",'Micro-Ônibus'!L$46,IF(E52="Van",Van!L$45,"")))</f>
        <v/>
      </c>
      <c r="J52" s="55" t="str">
        <f>IF(E52="Ônibus 3",Ônibus!M$46,IF(E52="Micro-Ônibus",'Micro-Ônibus'!M$46,IF(E52="Van",Van!M$45,"")))</f>
        <v/>
      </c>
      <c r="K52" s="56" t="str">
        <f>IF(E52="Ônibus 3",Ônibus!E$39,IF(E52="Micro-Ônibus",'Micro-Ônibus'!E$39,IF(E52="Van",Van!E$39,"")))</f>
        <v/>
      </c>
      <c r="L52" s="251" t="e">
        <f t="shared" si="1"/>
        <v>#VALUE!</v>
      </c>
      <c r="M52" s="251" t="e">
        <f>IF(L52="","",L52*('Dados de Entrada'!$E$4)/12)</f>
        <v>#VALUE!</v>
      </c>
    </row>
    <row r="53" spans="1:13" ht="36.65" hidden="1" customHeight="1" x14ac:dyDescent="0.25">
      <c r="A53" s="49">
        <v>54</v>
      </c>
      <c r="B53" s="50"/>
      <c r="C53" s="51"/>
      <c r="D53" s="52"/>
      <c r="E53" s="51"/>
      <c r="F53" s="53"/>
      <c r="G53" s="53"/>
      <c r="H53" s="54" t="str">
        <f t="shared" si="0"/>
        <v/>
      </c>
      <c r="I53" s="55" t="str">
        <f>IF(E53="Ônibus 3",Ônibus!L$46,IF(E53="Micro-Ônibus",'Micro-Ônibus'!L$46,IF(E53="Van",Van!L$45,"")))</f>
        <v/>
      </c>
      <c r="J53" s="55" t="str">
        <f>IF(E53="Ônibus 3",Ônibus!M$46,IF(E53="Micro-Ônibus",'Micro-Ônibus'!M$46,IF(E53="Van",Van!M$45,"")))</f>
        <v/>
      </c>
      <c r="K53" s="56" t="str">
        <f>IF(E53="Ônibus 3",Ônibus!E$39,IF(E53="Micro-Ônibus",'Micro-Ônibus'!E$39,IF(E53="Van",Van!E$39,"")))</f>
        <v/>
      </c>
      <c r="L53" s="251" t="e">
        <f t="shared" si="1"/>
        <v>#VALUE!</v>
      </c>
      <c r="M53" s="251" t="e">
        <f>IF(L53="","",L53*('Dados de Entrada'!$E$4)/12)</f>
        <v>#VALUE!</v>
      </c>
    </row>
    <row r="54" spans="1:13" ht="13" hidden="1" x14ac:dyDescent="0.25">
      <c r="A54" s="49">
        <v>55</v>
      </c>
      <c r="B54" s="50"/>
      <c r="C54" s="51"/>
      <c r="D54" s="52"/>
      <c r="E54" s="51"/>
      <c r="F54" s="53"/>
      <c r="G54" s="53"/>
      <c r="H54" s="54" t="str">
        <f t="shared" si="0"/>
        <v/>
      </c>
      <c r="I54" s="55" t="str">
        <f>IF(E54="Ônibus 3",Ônibus!L$46,IF(E54="Micro-Ônibus",'Micro-Ônibus'!L$46,IF(E54="Van",Van!L$45,"")))</f>
        <v/>
      </c>
      <c r="J54" s="55" t="str">
        <f>IF(E54="Ônibus 3",Ônibus!M$46,IF(E54="Micro-Ônibus",'Micro-Ônibus'!M$46,IF(E54="Van",Van!M$45,"")))</f>
        <v/>
      </c>
      <c r="K54" s="56" t="str">
        <f>IF(E54="Ônibus 3",Ônibus!E$39,IF(E54="Micro-Ônibus",'Micro-Ônibus'!E$39,IF(E54="Van",Van!E$39,"")))</f>
        <v/>
      </c>
      <c r="L54" s="251" t="e">
        <f t="shared" si="1"/>
        <v>#VALUE!</v>
      </c>
      <c r="M54" s="251" t="e">
        <f>IF(L54="","",L54*('Dados de Entrada'!$E$4)/12)</f>
        <v>#VALUE!</v>
      </c>
    </row>
    <row r="55" spans="1:13" ht="13" hidden="1" x14ac:dyDescent="0.25">
      <c r="A55" s="49">
        <v>56</v>
      </c>
      <c r="B55" s="50"/>
      <c r="C55" s="51"/>
      <c r="D55" s="52"/>
      <c r="E55" s="51"/>
      <c r="F55" s="53"/>
      <c r="G55" s="53"/>
      <c r="H55" s="54" t="str">
        <f t="shared" si="0"/>
        <v/>
      </c>
      <c r="I55" s="55" t="str">
        <f>IF(E55="Ônibus 3",Ônibus!L$46,IF(E55="Micro-Ônibus",'Micro-Ônibus'!L$46,IF(E55="Van",Van!L$45,"")))</f>
        <v/>
      </c>
      <c r="J55" s="55" t="str">
        <f>IF(E55="Ônibus 3",Ônibus!M$46,IF(E55="Micro-Ônibus",'Micro-Ônibus'!M$46,IF(E55="Van",Van!M$45,"")))</f>
        <v/>
      </c>
      <c r="K55" s="56" t="str">
        <f>IF(E55="Ônibus 3",Ônibus!E$39,IF(E55="Micro-Ônibus",'Micro-Ônibus'!E$39,IF(E55="Van",Van!E$39,"")))</f>
        <v/>
      </c>
      <c r="L55" s="251" t="e">
        <f t="shared" si="1"/>
        <v>#VALUE!</v>
      </c>
      <c r="M55" s="251" t="e">
        <f>IF(L55="","",L55*('Dados de Entrada'!$E$4)/12)</f>
        <v>#VALUE!</v>
      </c>
    </row>
    <row r="56" spans="1:13" ht="13" hidden="1" x14ac:dyDescent="0.25">
      <c r="A56" s="49">
        <v>57</v>
      </c>
      <c r="B56" s="50"/>
      <c r="C56" s="51"/>
      <c r="D56" s="52"/>
      <c r="E56" s="51"/>
      <c r="F56" s="53"/>
      <c r="G56" s="53"/>
      <c r="H56" s="54" t="str">
        <f t="shared" si="0"/>
        <v/>
      </c>
      <c r="I56" s="55" t="str">
        <f>IF(E56="Ônibus 3",Ônibus!L$46,IF(E56="Micro-Ônibus",'Micro-Ônibus'!L$46,IF(E56="Van",Van!L$45,"")))</f>
        <v/>
      </c>
      <c r="J56" s="55" t="str">
        <f>IF(E56="Ônibus 3",Ônibus!M$46,IF(E56="Micro-Ônibus",'Micro-Ônibus'!M$46,IF(E56="Van",Van!M$45,"")))</f>
        <v/>
      </c>
      <c r="K56" s="56" t="str">
        <f>IF(E56="Ônibus 3",Ônibus!E$39,IF(E56="Micro-Ônibus",'Micro-Ônibus'!E$39,IF(E56="Van",Van!E$39,"")))</f>
        <v/>
      </c>
      <c r="L56" s="251" t="e">
        <f t="shared" si="1"/>
        <v>#VALUE!</v>
      </c>
      <c r="M56" s="251" t="e">
        <f>IF(L56="","",L56*('Dados de Entrada'!$E$4)/12)</f>
        <v>#VALUE!</v>
      </c>
    </row>
    <row r="57" spans="1:13" ht="13" hidden="1" x14ac:dyDescent="0.25">
      <c r="A57" s="49">
        <v>58</v>
      </c>
      <c r="B57" s="50"/>
      <c r="C57" s="51"/>
      <c r="D57" s="52"/>
      <c r="E57" s="51"/>
      <c r="F57" s="53"/>
      <c r="G57" s="53"/>
      <c r="H57" s="54" t="str">
        <f t="shared" si="0"/>
        <v/>
      </c>
      <c r="I57" s="55" t="str">
        <f>IF(E57="Ônibus 3",Ônibus!L$46,IF(E57="Micro-Ônibus",'Micro-Ônibus'!L$46,IF(E57="Van",Van!L$45,"")))</f>
        <v/>
      </c>
      <c r="J57" s="55" t="str">
        <f>IF(E57="Ônibus 3",Ônibus!M$46,IF(E57="Micro-Ônibus",'Micro-Ônibus'!M$46,IF(E57="Van",Van!M$45,"")))</f>
        <v/>
      </c>
      <c r="K57" s="56" t="str">
        <f>IF(E57="Ônibus 3",Ônibus!E$39,IF(E57="Micro-Ônibus",'Micro-Ônibus'!E$39,IF(E57="Van",Van!E$39,"")))</f>
        <v/>
      </c>
      <c r="L57" s="251" t="e">
        <f t="shared" si="1"/>
        <v>#VALUE!</v>
      </c>
      <c r="M57" s="251" t="e">
        <f>IF(L57="","",L57*('Dados de Entrada'!$E$4)/12)</f>
        <v>#VALUE!</v>
      </c>
    </row>
    <row r="58" spans="1:13" ht="13" hidden="1" x14ac:dyDescent="0.25">
      <c r="A58" s="49">
        <v>59</v>
      </c>
      <c r="B58" s="50"/>
      <c r="C58" s="51"/>
      <c r="D58" s="52"/>
      <c r="E58" s="51"/>
      <c r="F58" s="53"/>
      <c r="G58" s="53"/>
      <c r="H58" s="54" t="str">
        <f t="shared" si="0"/>
        <v/>
      </c>
      <c r="I58" s="55" t="str">
        <f>IF(E58="Ônibus 3",Ônibus!L$46,IF(E58="Micro-Ônibus",'Micro-Ônibus'!L$46,IF(E58="Van",Van!L$45,"")))</f>
        <v/>
      </c>
      <c r="J58" s="55" t="str">
        <f>IF(E58="Ônibus 3",Ônibus!M$46,IF(E58="Micro-Ônibus",'Micro-Ônibus'!M$46,IF(E58="Van",Van!M$45,"")))</f>
        <v/>
      </c>
      <c r="K58" s="56" t="str">
        <f>IF(E58="Ônibus 3",Ônibus!E$39,IF(E58="Micro-Ônibus",'Micro-Ônibus'!E$39,IF(E58="Van",Van!E$39,"")))</f>
        <v/>
      </c>
      <c r="L58" s="251" t="e">
        <f t="shared" si="1"/>
        <v>#VALUE!</v>
      </c>
      <c r="M58" s="251" t="e">
        <f>IF(L58="","",L58*('Dados de Entrada'!$E$4)/12)</f>
        <v>#VALUE!</v>
      </c>
    </row>
    <row r="59" spans="1:13" ht="13" hidden="1" x14ac:dyDescent="0.25">
      <c r="A59" s="49">
        <v>60</v>
      </c>
      <c r="B59" s="50"/>
      <c r="C59" s="51"/>
      <c r="D59" s="52"/>
      <c r="E59" s="51"/>
      <c r="F59" s="53"/>
      <c r="G59" s="53"/>
      <c r="H59" s="54" t="str">
        <f t="shared" si="0"/>
        <v/>
      </c>
      <c r="I59" s="55" t="str">
        <f>IF(E59="Ônibus 3",Ônibus!L$46,IF(E59="Micro-Ônibus",'Micro-Ônibus'!L$46,IF(E59="Van",Van!L$45,"")))</f>
        <v/>
      </c>
      <c r="J59" s="55" t="str">
        <f>IF(E59="Ônibus 3",Ônibus!M$46,IF(E59="Micro-Ônibus",'Micro-Ônibus'!M$46,IF(E59="Van",Van!M$45,"")))</f>
        <v/>
      </c>
      <c r="K59" s="56" t="str">
        <f>IF(E59="Ônibus 3",Ônibus!E$39,IF(E59="Micro-Ônibus",'Micro-Ônibus'!E$39,IF(E59="Van",Van!E$39,"")))</f>
        <v/>
      </c>
      <c r="L59" s="251" t="e">
        <f t="shared" si="1"/>
        <v>#VALUE!</v>
      </c>
      <c r="M59" s="251" t="e">
        <f>IF(L59="","",L59*('Dados de Entrada'!$E$4)/12)</f>
        <v>#VALUE!</v>
      </c>
    </row>
    <row r="60" spans="1:13" ht="15" x14ac:dyDescent="0.3">
      <c r="A60" s="24"/>
      <c r="B60" s="24"/>
      <c r="C60" s="57"/>
      <c r="D60" s="24"/>
      <c r="E60" s="58" t="s">
        <v>67</v>
      </c>
      <c r="F60" s="59">
        <f>SUM(F4:F59)</f>
        <v>74.260000000000005</v>
      </c>
      <c r="G60" s="59">
        <f>SUM(G4:G59)</f>
        <v>118.00999999999999</v>
      </c>
      <c r="H60" s="59">
        <f>SUM(H4:H59)</f>
        <v>192.27</v>
      </c>
      <c r="I60" s="60"/>
      <c r="J60" s="60"/>
      <c r="K60" s="60"/>
      <c r="L60" s="252">
        <f ca="1">SUM(L4:L8)</f>
        <v>672242.52628308488</v>
      </c>
      <c r="M60" s="252">
        <f ca="1">SUM(M4:M8)</f>
        <v>1344485.0525661698</v>
      </c>
    </row>
    <row r="61" spans="1:13" ht="13" x14ac:dyDescent="0.25">
      <c r="A61" s="242"/>
      <c r="B61" s="61" t="s">
        <v>68</v>
      </c>
      <c r="C61" s="43"/>
      <c r="D61" s="42"/>
      <c r="E61" s="43"/>
      <c r="F61" s="42"/>
      <c r="G61" s="42"/>
      <c r="H61" s="41"/>
      <c r="I61" s="41"/>
      <c r="J61" s="41"/>
      <c r="K61" s="41"/>
      <c r="L61" s="41"/>
      <c r="M61" s="41"/>
    </row>
    <row r="62" spans="1:13" ht="13" x14ac:dyDescent="0.25">
      <c r="A62" s="243"/>
      <c r="B62" s="61" t="s">
        <v>69</v>
      </c>
      <c r="C62" s="43"/>
      <c r="D62" s="42"/>
      <c r="E62" s="43"/>
      <c r="F62" s="42"/>
      <c r="G62" s="42"/>
      <c r="H62" s="41"/>
      <c r="I62" s="41"/>
      <c r="J62" s="41"/>
      <c r="K62" s="41"/>
      <c r="L62" s="41"/>
      <c r="M62" s="41"/>
    </row>
    <row r="63" spans="1:13" ht="13" x14ac:dyDescent="0.25">
      <c r="B63" s="61"/>
      <c r="C63" s="43"/>
      <c r="D63" s="42"/>
      <c r="E63" s="43"/>
      <c r="F63" s="42"/>
      <c r="G63" s="42"/>
      <c r="H63" s="41"/>
      <c r="I63" s="41"/>
      <c r="J63" s="41"/>
      <c r="K63" s="41"/>
      <c r="L63" s="41"/>
      <c r="M63" s="41"/>
    </row>
  </sheetData>
  <mergeCells count="1">
    <mergeCell ref="A1:M1"/>
  </mergeCells>
  <dataValidations count="1">
    <dataValidation type="list" allowBlank="1" sqref="E4:E59" xr:uid="{00000000-0002-0000-0100-000000000000}">
      <formula1>"Van,Ônibus 1,Ônibus 3"</formula1>
    </dataValidation>
  </dataValidations>
  <printOptions horizontalCentered="1"/>
  <pageMargins left="0.7" right="0.7" top="0.75" bottom="0.75" header="0" footer="0"/>
  <pageSetup paperSize="9" scale="54" fitToHeight="6" pageOrder="overThenDown" orientation="landscape" cellComments="atEnd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03864"/>
    <outlinePr summaryBelow="0" summaryRight="0"/>
    <pageSetUpPr fitToPage="1"/>
  </sheetPr>
  <dimension ref="A1:I32"/>
  <sheetViews>
    <sheetView showGridLines="0" tabSelected="1" zoomScaleNormal="100" workbookViewId="0">
      <selection activeCell="B6" sqref="B6:B7"/>
    </sheetView>
  </sheetViews>
  <sheetFormatPr defaultColWidth="12.6328125" defaultRowHeight="15.75" customHeight="1" x14ac:dyDescent="0.25"/>
  <cols>
    <col min="1" max="1" width="1.453125" customWidth="1"/>
    <col min="2" max="2" width="5.1796875" customWidth="1"/>
    <col min="3" max="3" width="33.90625" customWidth="1"/>
    <col min="4" max="4" width="13.90625" customWidth="1"/>
    <col min="5" max="5" width="23.453125" customWidth="1"/>
    <col min="6" max="6" width="16.36328125" customWidth="1"/>
    <col min="7" max="7" width="21.90625" customWidth="1"/>
    <col min="8" max="8" width="19.453125" customWidth="1"/>
    <col min="9" max="9" width="18.90625" customWidth="1"/>
  </cols>
  <sheetData>
    <row r="1" spans="1:9" ht="8.25" customHeight="1" x14ac:dyDescent="0.3">
      <c r="A1" s="24"/>
      <c r="B1" s="300"/>
      <c r="C1" s="301"/>
      <c r="D1" s="301"/>
      <c r="E1" s="301"/>
      <c r="F1" s="301"/>
      <c r="G1" s="301"/>
      <c r="H1" s="301"/>
      <c r="I1" s="302"/>
    </row>
    <row r="2" spans="1:9" ht="17.5" x14ac:dyDescent="0.25">
      <c r="A2" s="62"/>
      <c r="B2" s="303" t="str">
        <f>CONCATENATE("TRANSPORTE ESCOLAR - ",'Dados de Entrada'!$E$4," meses de Contrato")</f>
        <v>TRANSPORTE ESCOLAR - 24 meses de Contrato</v>
      </c>
      <c r="C2" s="304"/>
      <c r="D2" s="304"/>
      <c r="E2" s="304"/>
      <c r="F2" s="304"/>
      <c r="G2" s="304"/>
      <c r="H2" s="304"/>
      <c r="I2" s="305"/>
    </row>
    <row r="3" spans="1:9" ht="17.5" x14ac:dyDescent="0.25">
      <c r="A3" s="62"/>
      <c r="B3" s="306"/>
      <c r="C3" s="301"/>
      <c r="D3" s="301"/>
      <c r="E3" s="301"/>
      <c r="F3" s="301"/>
      <c r="G3" s="301"/>
      <c r="H3" s="301"/>
      <c r="I3" s="302"/>
    </row>
    <row r="4" spans="1:9" ht="17.5" x14ac:dyDescent="0.25">
      <c r="A4" s="62"/>
      <c r="B4" s="307" t="s">
        <v>343</v>
      </c>
      <c r="C4" s="304"/>
      <c r="D4" s="304"/>
      <c r="E4" s="304"/>
      <c r="F4" s="304"/>
      <c r="G4" s="304"/>
      <c r="H4" s="304"/>
      <c r="I4" s="305"/>
    </row>
    <row r="5" spans="1:9" ht="17.5" x14ac:dyDescent="0.25">
      <c r="A5" s="62"/>
      <c r="B5" s="306"/>
      <c r="C5" s="301"/>
      <c r="D5" s="301"/>
      <c r="E5" s="301"/>
      <c r="F5" s="301"/>
      <c r="G5" s="301"/>
      <c r="H5" s="301"/>
      <c r="I5" s="302"/>
    </row>
    <row r="6" spans="1:9" ht="13" x14ac:dyDescent="0.25">
      <c r="A6" s="63"/>
      <c r="B6" s="308" t="s">
        <v>70</v>
      </c>
      <c r="C6" s="308" t="s">
        <v>71</v>
      </c>
      <c r="D6" s="309" t="s">
        <v>72</v>
      </c>
      <c r="E6" s="310" t="s">
        <v>73</v>
      </c>
      <c r="F6" s="308" t="s">
        <v>74</v>
      </c>
      <c r="G6" s="309" t="s">
        <v>75</v>
      </c>
      <c r="H6" s="310" t="s">
        <v>76</v>
      </c>
      <c r="I6" s="309" t="s">
        <v>77</v>
      </c>
    </row>
    <row r="7" spans="1:9" ht="36.65" customHeight="1" x14ac:dyDescent="0.25">
      <c r="A7" s="63"/>
      <c r="B7" s="296"/>
      <c r="C7" s="296"/>
      <c r="D7" s="296"/>
      <c r="E7" s="296"/>
      <c r="F7" s="296"/>
      <c r="G7" s="296"/>
      <c r="H7" s="296"/>
      <c r="I7" s="296"/>
    </row>
    <row r="8" spans="1:9" ht="13" x14ac:dyDescent="0.3">
      <c r="A8" s="64"/>
      <c r="B8" s="65">
        <v>1</v>
      </c>
      <c r="C8" s="311" t="s">
        <v>322</v>
      </c>
      <c r="D8" s="298"/>
      <c r="E8" s="298"/>
      <c r="F8" s="298"/>
      <c r="G8" s="298"/>
      <c r="H8" s="298"/>
      <c r="I8" s="299"/>
    </row>
    <row r="9" spans="1:9" ht="13" x14ac:dyDescent="0.3">
      <c r="A9" s="66"/>
      <c r="B9" s="67" t="s">
        <v>78</v>
      </c>
      <c r="C9" s="68" t="s">
        <v>79</v>
      </c>
      <c r="D9" s="69">
        <f ca="1">IFERROR('Micro-Ônibus'!$E$39,0)</f>
        <v>11056.537619737222</v>
      </c>
      <c r="E9" s="70">
        <f>COUNTIF(Rotas!E4:E59,"Micro-Ônibus")</f>
        <v>0</v>
      </c>
      <c r="F9" s="71" t="s">
        <v>80</v>
      </c>
      <c r="G9" s="69">
        <f ca="1">D9*E9*12</f>
        <v>0</v>
      </c>
      <c r="H9" s="72">
        <f ca="1">G9*('Dados de Entrada'!$E$4/12)</f>
        <v>0</v>
      </c>
      <c r="I9" s="294">
        <f ca="1">H9+H10+H11</f>
        <v>0</v>
      </c>
    </row>
    <row r="10" spans="1:9" ht="13" x14ac:dyDescent="0.3">
      <c r="A10" s="66"/>
      <c r="B10" s="67" t="s">
        <v>81</v>
      </c>
      <c r="C10" s="68" t="s">
        <v>82</v>
      </c>
      <c r="D10" s="73">
        <f ca="1">IFERROR('Micro-Ônibus'!$M$46,0)</f>
        <v>4.0031620765239273</v>
      </c>
      <c r="E10" s="74">
        <f>SUMIF(Rotas!E4:E59,"Micro-Ônibus",Rotas!G4:G59)*200</f>
        <v>0</v>
      </c>
      <c r="F10" s="75" t="s">
        <v>83</v>
      </c>
      <c r="G10" s="69">
        <f t="shared" ref="G10:G11" ca="1" si="0">D10*E10</f>
        <v>0</v>
      </c>
      <c r="H10" s="72">
        <f ca="1">G10*('Dados de Entrada'!$E$4/12)</f>
        <v>0</v>
      </c>
      <c r="I10" s="295"/>
    </row>
    <row r="11" spans="1:9" ht="13" x14ac:dyDescent="0.3">
      <c r="A11" s="66"/>
      <c r="B11" s="67">
        <v>43891</v>
      </c>
      <c r="C11" s="68" t="s">
        <v>84</v>
      </c>
      <c r="D11" s="73">
        <f ca="1">IFERROR('Micro-Ônibus'!$L$46,0)</f>
        <v>4.9995584512052433</v>
      </c>
      <c r="E11" s="74">
        <f>SUMIF(Rotas!E4:E59,"Micro-Ônibus",Rotas!F4:F59)*200</f>
        <v>0</v>
      </c>
      <c r="F11" s="75" t="s">
        <v>85</v>
      </c>
      <c r="G11" s="69">
        <f t="shared" ca="1" si="0"/>
        <v>0</v>
      </c>
      <c r="H11" s="72">
        <f ca="1">G11*('Dados de Entrada'!$E$4/12)</f>
        <v>0</v>
      </c>
      <c r="I11" s="296"/>
    </row>
    <row r="12" spans="1:9" ht="1.5" customHeight="1" x14ac:dyDescent="0.3">
      <c r="A12" s="24"/>
      <c r="B12" s="76"/>
      <c r="C12" s="76"/>
      <c r="D12" s="76"/>
      <c r="E12" s="76"/>
      <c r="F12" s="76"/>
      <c r="G12" s="76"/>
      <c r="H12" s="76"/>
      <c r="I12" s="76"/>
    </row>
    <row r="13" spans="1:9" ht="13" x14ac:dyDescent="0.3">
      <c r="A13" s="77"/>
      <c r="B13" s="65">
        <v>2</v>
      </c>
      <c r="C13" s="311" t="s">
        <v>323</v>
      </c>
      <c r="D13" s="298"/>
      <c r="E13" s="298"/>
      <c r="F13" s="298"/>
      <c r="G13" s="298"/>
      <c r="H13" s="298"/>
      <c r="I13" s="299"/>
    </row>
    <row r="14" spans="1:9" ht="13" x14ac:dyDescent="0.3">
      <c r="A14" s="77"/>
      <c r="B14" s="67" t="s">
        <v>86</v>
      </c>
      <c r="C14" s="68" t="s">
        <v>87</v>
      </c>
      <c r="D14" s="69">
        <f ca="1">IFERROR(Ônibus!$E$39,"0")</f>
        <v>13296.207638125314</v>
      </c>
      <c r="E14" s="70">
        <f>COUNTIF(Rotas!E4:E59,"Ônibus 3")</f>
        <v>1</v>
      </c>
      <c r="F14" s="71" t="s">
        <v>80</v>
      </c>
      <c r="G14" s="69">
        <f ca="1">D14*E14*12</f>
        <v>159554.49165750376</v>
      </c>
      <c r="H14" s="72">
        <f ca="1">G14*('Dados de Entrada'!$E$4/12)</f>
        <v>319108.98331500753</v>
      </c>
      <c r="I14" s="294">
        <f ca="1">H14+H15+H16</f>
        <v>408997.22389244515</v>
      </c>
    </row>
    <row r="15" spans="1:9" ht="13" x14ac:dyDescent="0.3">
      <c r="A15" s="77"/>
      <c r="B15" s="67" t="s">
        <v>88</v>
      </c>
      <c r="C15" s="68" t="s">
        <v>89</v>
      </c>
      <c r="D15" s="73">
        <f ca="1">IFERROR(Ônibus!$M$46,0)</f>
        <v>5.3926974274579393</v>
      </c>
      <c r="E15" s="74">
        <f>SUMIF(Rotas!E4:E59,"Ônibus 3",Rotas!G4:G59)*200</f>
        <v>4116</v>
      </c>
      <c r="F15" s="75" t="s">
        <v>83</v>
      </c>
      <c r="G15" s="69">
        <f t="shared" ref="G15:G16" ca="1" si="1">D15*E15</f>
        <v>22196.34261141688</v>
      </c>
      <c r="H15" s="72">
        <f ca="1">G15*('Dados de Entrada'!$E$4/12)</f>
        <v>44392.685222833759</v>
      </c>
      <c r="I15" s="295"/>
    </row>
    <row r="16" spans="1:9" ht="13" x14ac:dyDescent="0.3">
      <c r="A16" s="77"/>
      <c r="B16" s="67">
        <v>43892</v>
      </c>
      <c r="C16" s="68" t="s">
        <v>90</v>
      </c>
      <c r="D16" s="73">
        <f ca="1">IFERROR(Ônibus!$L$46,0)</f>
        <v>6.7621217827889177</v>
      </c>
      <c r="E16" s="74">
        <f>SUMIF(Rotas!E4:E59,"Ônibus 3",Rotas!F4:F59)*200</f>
        <v>3364</v>
      </c>
      <c r="F16" s="75" t="s">
        <v>85</v>
      </c>
      <c r="G16" s="69">
        <f t="shared" ca="1" si="1"/>
        <v>22747.777677301918</v>
      </c>
      <c r="H16" s="72">
        <f ca="1">G16*('Dados de Entrada'!$E$4/12)</f>
        <v>45495.555354603835</v>
      </c>
      <c r="I16" s="296"/>
    </row>
    <row r="17" spans="1:9" ht="13" x14ac:dyDescent="0.3">
      <c r="A17" s="24"/>
      <c r="B17" s="24"/>
      <c r="C17" s="24"/>
      <c r="D17" s="24"/>
      <c r="E17" s="24"/>
      <c r="F17" s="78" t="s">
        <v>91</v>
      </c>
      <c r="G17" s="79">
        <f ca="1">G14+G15+G16+G9+G10+G11</f>
        <v>204498.61194622258</v>
      </c>
      <c r="H17" s="78" t="s">
        <v>92</v>
      </c>
      <c r="I17" s="79">
        <f ca="1">I14+I9</f>
        <v>408997.22389244515</v>
      </c>
    </row>
    <row r="18" spans="1:9" ht="17.25" hidden="1" customHeight="1" x14ac:dyDescent="0.25">
      <c r="A18" s="63"/>
      <c r="B18" s="307" t="s">
        <v>93</v>
      </c>
      <c r="C18" s="304"/>
      <c r="D18" s="304"/>
      <c r="E18" s="304"/>
      <c r="F18" s="304"/>
      <c r="G18" s="304"/>
      <c r="H18" s="304"/>
      <c r="I18" s="305"/>
    </row>
    <row r="19" spans="1:9" ht="17.25" hidden="1" customHeight="1" x14ac:dyDescent="0.25">
      <c r="A19" s="63"/>
      <c r="B19" s="306"/>
      <c r="C19" s="301"/>
      <c r="D19" s="301"/>
      <c r="E19" s="301"/>
      <c r="F19" s="301"/>
      <c r="G19" s="301"/>
      <c r="H19" s="301"/>
      <c r="I19" s="302"/>
    </row>
    <row r="20" spans="1:9" ht="17.25" hidden="1" customHeight="1" x14ac:dyDescent="0.25">
      <c r="A20" s="63"/>
      <c r="B20" s="308" t="s">
        <v>70</v>
      </c>
      <c r="C20" s="308" t="s">
        <v>71</v>
      </c>
      <c r="D20" s="309" t="s">
        <v>94</v>
      </c>
      <c r="E20" s="310" t="s">
        <v>95</v>
      </c>
      <c r="F20" s="308" t="s">
        <v>74</v>
      </c>
      <c r="G20" s="309" t="s">
        <v>96</v>
      </c>
      <c r="H20" s="310" t="s">
        <v>97</v>
      </c>
      <c r="I20" s="309" t="s">
        <v>98</v>
      </c>
    </row>
    <row r="21" spans="1:9" ht="26.4" hidden="1" customHeight="1" x14ac:dyDescent="0.25">
      <c r="A21" s="63"/>
      <c r="B21" s="296"/>
      <c r="C21" s="296"/>
      <c r="D21" s="296"/>
      <c r="E21" s="296"/>
      <c r="F21" s="296"/>
      <c r="G21" s="296"/>
      <c r="H21" s="296"/>
      <c r="I21" s="296"/>
    </row>
    <row r="22" spans="1:9" ht="1.5" customHeight="1" x14ac:dyDescent="0.3">
      <c r="A22" s="24"/>
      <c r="B22" s="80"/>
      <c r="C22" s="80"/>
      <c r="D22" s="80"/>
      <c r="E22" s="80"/>
      <c r="F22" s="80"/>
      <c r="G22" s="80"/>
      <c r="H22" s="80"/>
      <c r="I22" s="80"/>
    </row>
    <row r="23" spans="1:9" ht="13" x14ac:dyDescent="0.3">
      <c r="A23" s="64"/>
      <c r="B23" s="65">
        <v>1</v>
      </c>
      <c r="C23" s="297" t="s">
        <v>99</v>
      </c>
      <c r="D23" s="298"/>
      <c r="E23" s="298"/>
      <c r="F23" s="298"/>
      <c r="G23" s="298"/>
      <c r="H23" s="298"/>
      <c r="I23" s="299"/>
    </row>
    <row r="24" spans="1:9" ht="13" x14ac:dyDescent="0.3">
      <c r="A24" s="66"/>
      <c r="B24" s="67" t="s">
        <v>78</v>
      </c>
      <c r="C24" s="68" t="s">
        <v>100</v>
      </c>
      <c r="D24" s="69">
        <f ca="1">IFERROR(Van!E39,"0")</f>
        <v>8372.2929517592165</v>
      </c>
      <c r="E24" s="70">
        <f>COUNTIF(Rotas!E4:E59,"Van")</f>
        <v>4</v>
      </c>
      <c r="F24" s="71" t="s">
        <v>80</v>
      </c>
      <c r="G24" s="69">
        <f ca="1">D24*E24*12</f>
        <v>401870.06168444239</v>
      </c>
      <c r="H24" s="72">
        <f ca="1">G24*('Dados de Entrada'!$E$4/12)</f>
        <v>803740.12336888479</v>
      </c>
      <c r="I24" s="294">
        <f ca="1">H24+H25+H26</f>
        <v>935487.82867372455</v>
      </c>
    </row>
    <row r="25" spans="1:9" ht="13" x14ac:dyDescent="0.3">
      <c r="A25" s="66"/>
      <c r="B25" s="67" t="s">
        <v>81</v>
      </c>
      <c r="C25" s="68" t="s">
        <v>101</v>
      </c>
      <c r="D25" s="73">
        <f ca="1">IFERROR(Van!M45,0)</f>
        <v>1.9430614123000078</v>
      </c>
      <c r="E25" s="74">
        <f>SUMIF(Rotas!E4:E59,"Van",Rotas!G4:G59)*200</f>
        <v>19486</v>
      </c>
      <c r="F25" s="75" t="s">
        <v>83</v>
      </c>
      <c r="G25" s="69">
        <f t="shared" ref="G25:G26" ca="1" si="2">D25*E25</f>
        <v>37862.494680077951</v>
      </c>
      <c r="H25" s="72">
        <f ca="1">G25*('Dados de Entrada'!$E$4/12)</f>
        <v>75724.989360155902</v>
      </c>
      <c r="I25" s="295"/>
    </row>
    <row r="26" spans="1:9" ht="13" x14ac:dyDescent="0.3">
      <c r="A26" s="66"/>
      <c r="B26" s="67">
        <v>43891</v>
      </c>
      <c r="C26" s="68" t="s">
        <v>102</v>
      </c>
      <c r="D26" s="73">
        <f ca="1">IFERROR(Van!L45,0)</f>
        <v>2.4383145867289264</v>
      </c>
      <c r="E26" s="74">
        <f>SUMIF(Rotas!E4:E59,"Van",Rotas!F4:F59)*200</f>
        <v>11488.000000000002</v>
      </c>
      <c r="F26" s="75" t="s">
        <v>85</v>
      </c>
      <c r="G26" s="69">
        <f t="shared" ca="1" si="2"/>
        <v>28011.35797234191</v>
      </c>
      <c r="H26" s="72">
        <f ca="1">G26*('Dados de Entrada'!$E$4/12)</f>
        <v>56022.71594468382</v>
      </c>
      <c r="I26" s="296"/>
    </row>
    <row r="27" spans="1:9" ht="1.5" customHeight="1" x14ac:dyDescent="0.3">
      <c r="A27" s="24"/>
      <c r="B27" s="76"/>
      <c r="C27" s="76"/>
      <c r="D27" s="76"/>
      <c r="E27" s="76"/>
      <c r="F27" s="76"/>
      <c r="G27" s="76"/>
      <c r="H27" s="76"/>
      <c r="I27" s="76"/>
    </row>
    <row r="28" spans="1:9" ht="13" x14ac:dyDescent="0.3">
      <c r="A28" s="24"/>
      <c r="B28" s="24"/>
      <c r="C28" s="24"/>
      <c r="D28" s="24"/>
      <c r="E28" s="81"/>
      <c r="F28" s="78" t="s">
        <v>91</v>
      </c>
      <c r="G28" s="79">
        <f ca="1">SUM(G24:G26)</f>
        <v>467743.91433686228</v>
      </c>
      <c r="H28" s="78" t="s">
        <v>92</v>
      </c>
      <c r="I28" s="79">
        <f ca="1">I24</f>
        <v>935487.82867372455</v>
      </c>
    </row>
    <row r="30" spans="1:9" ht="15.75" customHeight="1" x14ac:dyDescent="0.25">
      <c r="I30" s="244"/>
    </row>
    <row r="31" spans="1:9" ht="15.75" customHeight="1" x14ac:dyDescent="0.25">
      <c r="I31" s="244"/>
    </row>
    <row r="32" spans="1:9" ht="15.75" customHeight="1" x14ac:dyDescent="0.25">
      <c r="I32" s="244"/>
    </row>
  </sheetData>
  <mergeCells count="26">
    <mergeCell ref="I9:I11"/>
    <mergeCell ref="B18:I19"/>
    <mergeCell ref="B20:B21"/>
    <mergeCell ref="C20:C21"/>
    <mergeCell ref="D20:D21"/>
    <mergeCell ref="E20:E21"/>
    <mergeCell ref="F20:F21"/>
    <mergeCell ref="G20:G21"/>
    <mergeCell ref="H20:H21"/>
    <mergeCell ref="I20:I21"/>
    <mergeCell ref="I24:I26"/>
    <mergeCell ref="C23:I23"/>
    <mergeCell ref="I14:I16"/>
    <mergeCell ref="B1:I1"/>
    <mergeCell ref="B2:I3"/>
    <mergeCell ref="B4:I5"/>
    <mergeCell ref="B6:B7"/>
    <mergeCell ref="C6:C7"/>
    <mergeCell ref="D6:D7"/>
    <mergeCell ref="E6:E7"/>
    <mergeCell ref="C8:I8"/>
    <mergeCell ref="C13:I13"/>
    <mergeCell ref="F6:F7"/>
    <mergeCell ref="G6:G7"/>
    <mergeCell ref="H6:H7"/>
    <mergeCell ref="I6:I7"/>
  </mergeCells>
  <pageMargins left="0.511811024" right="0.511811024" top="0.78740157499999996" bottom="0.78740157499999996" header="0.31496062000000002" footer="0.31496062000000002"/>
  <pageSetup paperSize="9" scale="88" fitToHeight="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00"/>
    <outlinePr summaryBelow="0" summaryRight="0"/>
    <pageSetUpPr fitToPage="1"/>
  </sheetPr>
  <dimension ref="A1:M46"/>
  <sheetViews>
    <sheetView showGridLines="0" topLeftCell="A27" workbookViewId="0">
      <selection activeCell="E14" sqref="E14"/>
    </sheetView>
  </sheetViews>
  <sheetFormatPr defaultColWidth="12.6328125" defaultRowHeight="15.75" customHeight="1" x14ac:dyDescent="0.25"/>
  <cols>
    <col min="1" max="2" width="0.36328125" customWidth="1"/>
    <col min="3" max="3" width="10.08984375" customWidth="1"/>
    <col min="4" max="4" width="37.6328125" customWidth="1"/>
    <col min="5" max="5" width="13" customWidth="1"/>
    <col min="6" max="6" width="3.90625" customWidth="1"/>
    <col min="7" max="7" width="13.90625" customWidth="1"/>
    <col min="8" max="11" width="6.36328125" customWidth="1"/>
    <col min="12" max="13" width="15.08984375" customWidth="1"/>
  </cols>
  <sheetData>
    <row r="1" spans="1:13" ht="1.5" customHeight="1" x14ac:dyDescent="0.3">
      <c r="A1" s="337"/>
      <c r="B1" s="305"/>
      <c r="C1" s="24"/>
      <c r="D1" s="24"/>
      <c r="E1" s="24"/>
      <c r="F1" s="24"/>
      <c r="G1" s="82"/>
      <c r="H1" s="82"/>
      <c r="I1" s="82"/>
      <c r="J1" s="82"/>
      <c r="K1" s="82"/>
      <c r="L1" s="83"/>
      <c r="M1" s="84"/>
    </row>
    <row r="2" spans="1:13" ht="12.5" x14ac:dyDescent="0.25">
      <c r="A2" s="338"/>
      <c r="B2" s="321"/>
      <c r="C2" s="339" t="s">
        <v>324</v>
      </c>
      <c r="D2" s="304"/>
      <c r="E2" s="304"/>
      <c r="F2" s="304"/>
      <c r="G2" s="304"/>
      <c r="H2" s="304"/>
      <c r="I2" s="304"/>
      <c r="J2" s="304"/>
      <c r="K2" s="304"/>
      <c r="L2" s="304"/>
      <c r="M2" s="305"/>
    </row>
    <row r="3" spans="1:13" ht="12.5" x14ac:dyDescent="0.25">
      <c r="A3" s="338"/>
      <c r="B3" s="321"/>
      <c r="C3" s="306"/>
      <c r="D3" s="301"/>
      <c r="E3" s="301"/>
      <c r="F3" s="301"/>
      <c r="G3" s="301"/>
      <c r="H3" s="301"/>
      <c r="I3" s="301"/>
      <c r="J3" s="301"/>
      <c r="K3" s="301"/>
      <c r="L3" s="301"/>
      <c r="M3" s="302"/>
    </row>
    <row r="4" spans="1:13" ht="17.5" x14ac:dyDescent="0.3">
      <c r="A4" s="338"/>
      <c r="B4" s="321"/>
      <c r="C4" s="85" t="s">
        <v>103</v>
      </c>
      <c r="D4" s="340" t="str">
        <f>CONCATENATE('Dados de Entrada'!J5,"  -  ",'Dados de Entrada'!J6)</f>
        <v>Micro Ônibus Iveco 70c17 Way C  -  2016</v>
      </c>
      <c r="E4" s="255"/>
      <c r="F4" s="4"/>
      <c r="G4" s="86"/>
      <c r="H4" s="86"/>
      <c r="I4" s="86"/>
      <c r="J4" s="86"/>
      <c r="K4" s="86"/>
      <c r="L4" s="86"/>
      <c r="M4" s="86"/>
    </row>
    <row r="5" spans="1:13" ht="9" customHeight="1" x14ac:dyDescent="0.3">
      <c r="A5" s="338"/>
      <c r="B5" s="321"/>
      <c r="C5" s="86"/>
      <c r="D5" s="86"/>
      <c r="E5" s="86"/>
      <c r="F5" s="4"/>
      <c r="G5" s="86"/>
      <c r="H5" s="86"/>
      <c r="I5" s="86"/>
      <c r="J5" s="86"/>
      <c r="K5" s="86"/>
      <c r="L5" s="86"/>
      <c r="M5" s="86"/>
    </row>
    <row r="6" spans="1:13" ht="13" x14ac:dyDescent="0.3">
      <c r="A6" s="338"/>
      <c r="B6" s="321"/>
      <c r="C6" s="341" t="s">
        <v>104</v>
      </c>
      <c r="D6" s="304"/>
      <c r="E6" s="305"/>
      <c r="F6" s="24"/>
      <c r="G6" s="342" t="s">
        <v>105</v>
      </c>
      <c r="H6" s="255"/>
      <c r="I6" s="255"/>
      <c r="J6" s="255"/>
      <c r="K6" s="255"/>
      <c r="L6" s="255"/>
      <c r="M6" s="321"/>
    </row>
    <row r="7" spans="1:13" ht="13" x14ac:dyDescent="0.3">
      <c r="A7" s="338"/>
      <c r="B7" s="321"/>
      <c r="C7" s="306"/>
      <c r="D7" s="301"/>
      <c r="E7" s="302"/>
      <c r="F7" s="24"/>
      <c r="G7" s="301"/>
      <c r="H7" s="301"/>
      <c r="I7" s="301"/>
      <c r="J7" s="301"/>
      <c r="K7" s="301"/>
      <c r="L7" s="301"/>
      <c r="M7" s="302"/>
    </row>
    <row r="8" spans="1:13" ht="1.5" customHeight="1" x14ac:dyDescent="0.3">
      <c r="A8" s="338"/>
      <c r="B8" s="321"/>
      <c r="C8" s="313"/>
      <c r="D8" s="255"/>
      <c r="E8" s="255"/>
      <c r="F8" s="24"/>
      <c r="G8" s="313"/>
      <c r="H8" s="255"/>
      <c r="I8" s="255"/>
      <c r="J8" s="255"/>
      <c r="K8" s="255"/>
      <c r="L8" s="321"/>
      <c r="M8" s="24"/>
    </row>
    <row r="9" spans="1:13" ht="13" x14ac:dyDescent="0.3">
      <c r="A9" s="338"/>
      <c r="B9" s="321"/>
      <c r="C9" s="312" t="s">
        <v>106</v>
      </c>
      <c r="D9" s="299"/>
      <c r="E9" s="87" t="s">
        <v>107</v>
      </c>
      <c r="F9" s="24"/>
      <c r="G9" s="322" t="s">
        <v>3</v>
      </c>
      <c r="H9" s="304"/>
      <c r="I9" s="304"/>
      <c r="J9" s="304"/>
      <c r="K9" s="304"/>
      <c r="L9" s="323" t="s">
        <v>108</v>
      </c>
      <c r="M9" s="343" t="s">
        <v>109</v>
      </c>
    </row>
    <row r="10" spans="1:13" ht="13" x14ac:dyDescent="0.3">
      <c r="A10" s="338"/>
      <c r="B10" s="321"/>
      <c r="C10" s="313" t="s">
        <v>110</v>
      </c>
      <c r="D10" s="255"/>
      <c r="E10" s="88">
        <f>E11+E12</f>
        <v>3340.4217228799998</v>
      </c>
      <c r="F10" s="24"/>
      <c r="G10" s="306"/>
      <c r="H10" s="301"/>
      <c r="I10" s="301"/>
      <c r="J10" s="301"/>
      <c r="K10" s="301"/>
      <c r="L10" s="296"/>
      <c r="M10" s="302"/>
    </row>
    <row r="11" spans="1:13" ht="13" x14ac:dyDescent="0.3">
      <c r="A11" s="338"/>
      <c r="B11" s="321"/>
      <c r="C11" s="314" t="s">
        <v>30</v>
      </c>
      <c r="D11" s="255"/>
      <c r="E11" s="90">
        <f>'Dados de Entrada'!J22</f>
        <v>2093.08</v>
      </c>
      <c r="F11" s="24"/>
      <c r="G11" s="315" t="s">
        <v>111</v>
      </c>
      <c r="H11" s="255"/>
      <c r="I11" s="255"/>
      <c r="J11" s="255"/>
      <c r="K11" s="255"/>
      <c r="L11" s="92">
        <f>'Dados de Entrada'!O8</f>
        <v>2794.9</v>
      </c>
      <c r="M11" s="92">
        <f>'Dados de Entrada'!O8</f>
        <v>2794.9</v>
      </c>
    </row>
    <row r="12" spans="1:13" ht="13" x14ac:dyDescent="0.3">
      <c r="A12" s="338"/>
      <c r="B12" s="321"/>
      <c r="C12" s="314" t="s">
        <v>112</v>
      </c>
      <c r="D12" s="255"/>
      <c r="E12" s="93">
        <f>'Encargos Sociais'!K53+'Encargos Sociais'!K61</f>
        <v>1247.3417228800001</v>
      </c>
      <c r="F12" s="24"/>
      <c r="G12" s="315" t="s">
        <v>113</v>
      </c>
      <c r="H12" s="255"/>
      <c r="I12" s="255"/>
      <c r="J12" s="255"/>
      <c r="K12" s="255"/>
      <c r="L12" s="94">
        <f>'Dados de Entrada'!O9</f>
        <v>550</v>
      </c>
      <c r="M12" s="94">
        <f>'Dados de Entrada'!O9</f>
        <v>550</v>
      </c>
    </row>
    <row r="13" spans="1:13" ht="13" x14ac:dyDescent="0.3">
      <c r="A13" s="338"/>
      <c r="B13" s="321"/>
      <c r="C13" s="313" t="s">
        <v>114</v>
      </c>
      <c r="D13" s="255"/>
      <c r="E13" s="95">
        <f>E10*0.15</f>
        <v>501.06325843199994</v>
      </c>
      <c r="F13" s="24"/>
      <c r="G13" s="315" t="s">
        <v>115</v>
      </c>
      <c r="H13" s="255"/>
      <c r="I13" s="255"/>
      <c r="J13" s="255"/>
      <c r="K13" s="255"/>
      <c r="L13" s="96">
        <f>M13/1.3</f>
        <v>38461.538461538461</v>
      </c>
      <c r="M13" s="96">
        <v>50000</v>
      </c>
    </row>
    <row r="14" spans="1:13" ht="13" x14ac:dyDescent="0.3">
      <c r="A14" s="338"/>
      <c r="B14" s="321"/>
      <c r="C14" s="318" t="s">
        <v>116</v>
      </c>
      <c r="D14" s="298"/>
      <c r="E14" s="97">
        <f>E11+E12+E13</f>
        <v>3841.4849813119999</v>
      </c>
      <c r="F14" s="24"/>
      <c r="G14" s="315" t="s">
        <v>117</v>
      </c>
      <c r="H14" s="255"/>
      <c r="I14" s="255"/>
      <c r="J14" s="255"/>
      <c r="K14" s="255"/>
      <c r="L14" s="96">
        <f t="shared" ref="L14:M14" si="0">L13/2</f>
        <v>19230.76923076923</v>
      </c>
      <c r="M14" s="96">
        <f t="shared" si="0"/>
        <v>25000</v>
      </c>
    </row>
    <row r="15" spans="1:13" ht="13" x14ac:dyDescent="0.3">
      <c r="A15" s="338"/>
      <c r="B15" s="321"/>
      <c r="C15" s="312" t="s">
        <v>118</v>
      </c>
      <c r="D15" s="299"/>
      <c r="E15" s="87" t="s">
        <v>107</v>
      </c>
      <c r="F15" s="24"/>
      <c r="G15" s="315" t="s">
        <v>119</v>
      </c>
      <c r="H15" s="255"/>
      <c r="I15" s="255"/>
      <c r="J15" s="255"/>
      <c r="K15" s="255"/>
      <c r="L15" s="98">
        <v>6</v>
      </c>
      <c r="M15" s="98">
        <v>6</v>
      </c>
    </row>
    <row r="16" spans="1:13" ht="13" x14ac:dyDescent="0.3">
      <c r="A16" s="338"/>
      <c r="B16" s="321"/>
      <c r="C16" s="326" t="s">
        <v>120</v>
      </c>
      <c r="D16" s="299"/>
      <c r="E16" s="69">
        <f ca="1">SUM('Depreciação e Infração'!F41:F62)/'Dados de Entrada'!E$4</f>
        <v>1043.9596705127794</v>
      </c>
      <c r="F16" s="24"/>
      <c r="G16" s="324" t="s">
        <v>121</v>
      </c>
      <c r="H16" s="298"/>
      <c r="I16" s="298"/>
      <c r="J16" s="298"/>
      <c r="K16" s="299"/>
      <c r="L16" s="99">
        <f t="shared" ref="L16:M16" si="1">L15*(L11+2*L12)/(L13+2*L14)</f>
        <v>0.30380220000000002</v>
      </c>
      <c r="M16" s="99">
        <f t="shared" si="1"/>
        <v>0.23369400000000001</v>
      </c>
    </row>
    <row r="17" spans="1:13" ht="13" x14ac:dyDescent="0.3">
      <c r="A17" s="338"/>
      <c r="B17" s="321"/>
      <c r="C17" s="318" t="s">
        <v>122</v>
      </c>
      <c r="D17" s="299"/>
      <c r="E17" s="97">
        <f ca="1">E16</f>
        <v>1043.9596705127794</v>
      </c>
      <c r="F17" s="24"/>
      <c r="G17" s="316" t="s">
        <v>123</v>
      </c>
      <c r="H17" s="298"/>
      <c r="I17" s="298"/>
      <c r="J17" s="298"/>
      <c r="K17" s="298"/>
      <c r="L17" s="100" t="s">
        <v>124</v>
      </c>
      <c r="M17" s="100" t="s">
        <v>125</v>
      </c>
    </row>
    <row r="18" spans="1:13" ht="13" x14ac:dyDescent="0.3">
      <c r="A18" s="338"/>
      <c r="B18" s="321"/>
      <c r="C18" s="317" t="s">
        <v>126</v>
      </c>
      <c r="D18" s="298"/>
      <c r="E18" s="87" t="s">
        <v>107</v>
      </c>
      <c r="F18" s="24"/>
      <c r="G18" s="315" t="s">
        <v>127</v>
      </c>
      <c r="H18" s="255"/>
      <c r="I18" s="255"/>
      <c r="J18" s="255"/>
      <c r="K18" s="255"/>
      <c r="L18" s="101">
        <f>M18/1.3</f>
        <v>3.0769230769230766</v>
      </c>
      <c r="M18" s="101">
        <v>4</v>
      </c>
    </row>
    <row r="19" spans="1:13" ht="13" x14ac:dyDescent="0.3">
      <c r="A19" s="338"/>
      <c r="B19" s="321"/>
      <c r="C19" s="313" t="s">
        <v>128</v>
      </c>
      <c r="D19" s="255"/>
      <c r="E19" s="102">
        <f ca="1">(((1+'Dados de Entrada'!F11)*(1+'Dados de Entrada'!F12)*(1+'Dados de Entrada'!F13)*(1+'Dados de Entrada'!F14)*(1+'Dados de Entrada'!F15)*(1+'Dados de Entrada'!F16)-1)*'Dados de Entrada'!J$7)/'Dados de Entrada'!E4</f>
        <v>2397.7677594699985</v>
      </c>
      <c r="F19" s="24"/>
      <c r="G19" s="315" t="s">
        <v>129</v>
      </c>
      <c r="H19" s="255"/>
      <c r="I19" s="255"/>
      <c r="J19" s="255"/>
      <c r="K19" s="255"/>
      <c r="L19" s="103">
        <f>'Dados de Entrada'!O24</f>
        <v>7.18</v>
      </c>
      <c r="M19" s="103">
        <f>'Dados de Entrada'!O24</f>
        <v>7.18</v>
      </c>
    </row>
    <row r="20" spans="1:13" ht="13" x14ac:dyDescent="0.3">
      <c r="A20" s="338"/>
      <c r="B20" s="321"/>
      <c r="C20" s="318" t="s">
        <v>130</v>
      </c>
      <c r="D20" s="298"/>
      <c r="E20" s="97">
        <f ca="1">E19</f>
        <v>2397.7677594699985</v>
      </c>
      <c r="F20" s="24"/>
      <c r="G20" s="324" t="s">
        <v>131</v>
      </c>
      <c r="H20" s="298"/>
      <c r="I20" s="298"/>
      <c r="J20" s="298"/>
      <c r="K20" s="298"/>
      <c r="L20" s="99">
        <f t="shared" ref="L20:M20" si="2">L19/L18</f>
        <v>2.3334999999999999</v>
      </c>
      <c r="M20" s="99">
        <f t="shared" si="2"/>
        <v>1.7949999999999999</v>
      </c>
    </row>
    <row r="21" spans="1:13" ht="13" x14ac:dyDescent="0.3">
      <c r="A21" s="338"/>
      <c r="B21" s="321"/>
      <c r="C21" s="317" t="s">
        <v>132</v>
      </c>
      <c r="D21" s="298"/>
      <c r="E21" s="104" t="s">
        <v>107</v>
      </c>
      <c r="F21" s="24"/>
      <c r="G21" s="325" t="s">
        <v>133</v>
      </c>
      <c r="H21" s="298"/>
      <c r="I21" s="298"/>
      <c r="J21" s="298"/>
      <c r="K21" s="298"/>
      <c r="L21" s="100" t="s">
        <v>124</v>
      </c>
      <c r="M21" s="100" t="s">
        <v>125</v>
      </c>
    </row>
    <row r="22" spans="1:13" ht="13" x14ac:dyDescent="0.3">
      <c r="A22" s="338"/>
      <c r="B22" s="321"/>
      <c r="C22" s="313" t="s">
        <v>134</v>
      </c>
      <c r="D22" s="255"/>
      <c r="E22" s="102">
        <f ca="1">(0.01)*SUM('Depreciação e Infração'!G41:G61)/'Dados de Entrada'!E$4</f>
        <v>184.68076804283831</v>
      </c>
      <c r="F22" s="24"/>
      <c r="G22" s="319" t="s">
        <v>135</v>
      </c>
      <c r="H22" s="255"/>
      <c r="I22" s="255"/>
      <c r="J22" s="255"/>
      <c r="K22" s="255"/>
      <c r="L22" s="105">
        <f t="shared" ref="L22:M22" ca="1" si="3">L23*L24</f>
        <v>0.79982246652124434</v>
      </c>
      <c r="M22" s="105">
        <f t="shared" ca="1" si="3"/>
        <v>0.61524805117018799</v>
      </c>
    </row>
    <row r="23" spans="1:13" ht="13" x14ac:dyDescent="0.3">
      <c r="A23" s="338"/>
      <c r="B23" s="321"/>
      <c r="C23" s="313" t="s">
        <v>136</v>
      </c>
      <c r="D23" s="255"/>
      <c r="E23" s="106">
        <f>'Dados de Entrada'!O16/12</f>
        <v>15.193333333333333</v>
      </c>
      <c r="F23" s="24"/>
      <c r="G23" s="320" t="s">
        <v>137</v>
      </c>
      <c r="H23" s="255"/>
      <c r="I23" s="255"/>
      <c r="J23" s="255"/>
      <c r="K23" s="255"/>
      <c r="L23" s="107">
        <f ca="1">M23*1.3</f>
        <v>1.833333333E-6</v>
      </c>
      <c r="M23" s="108">
        <f ca="1">SUM(Manutenção!B2:B22)*12/'Dados de Entrada'!E$4</f>
        <v>1.4102564099999999E-6</v>
      </c>
    </row>
    <row r="24" spans="1:13" ht="13" x14ac:dyDescent="0.3">
      <c r="A24" s="338"/>
      <c r="B24" s="321"/>
      <c r="C24" s="313" t="s">
        <v>138</v>
      </c>
      <c r="D24" s="255"/>
      <c r="E24" s="106">
        <f>'Dados de Entrada'!O17/12</f>
        <v>0</v>
      </c>
      <c r="F24" s="24"/>
      <c r="G24" s="320" t="s">
        <v>139</v>
      </c>
      <c r="H24" s="255"/>
      <c r="I24" s="255"/>
      <c r="J24" s="255"/>
      <c r="K24" s="255"/>
      <c r="L24" s="109">
        <f>M24</f>
        <v>436266.8</v>
      </c>
      <c r="M24" s="109">
        <f>'Dados de Entrada'!J8</f>
        <v>436266.8</v>
      </c>
    </row>
    <row r="25" spans="1:13" ht="13" x14ac:dyDescent="0.3">
      <c r="A25" s="338"/>
      <c r="B25" s="321"/>
      <c r="C25" s="327" t="s">
        <v>140</v>
      </c>
      <c r="D25" s="255"/>
      <c r="E25" s="106">
        <f>'Dados de Entrada'!O18/12</f>
        <v>16.666666666666668</v>
      </c>
      <c r="F25" s="24"/>
      <c r="G25" s="324" t="s">
        <v>141</v>
      </c>
      <c r="H25" s="298"/>
      <c r="I25" s="298"/>
      <c r="J25" s="298"/>
      <c r="K25" s="298"/>
      <c r="L25" s="110">
        <f t="shared" ref="L25:M25" ca="1" si="4">L22</f>
        <v>0.79982246652124434</v>
      </c>
      <c r="M25" s="110">
        <f t="shared" ca="1" si="4"/>
        <v>0.61524805117018799</v>
      </c>
    </row>
    <row r="26" spans="1:13" ht="13" x14ac:dyDescent="0.3">
      <c r="A26" s="338"/>
      <c r="B26" s="321"/>
      <c r="C26" s="327" t="s">
        <v>142</v>
      </c>
      <c r="D26" s="255"/>
      <c r="E26" s="106">
        <f>'Dados de Entrada'!O19/12</f>
        <v>12.5</v>
      </c>
      <c r="F26" s="24"/>
      <c r="G26" s="328" t="s">
        <v>143</v>
      </c>
      <c r="H26" s="298"/>
      <c r="I26" s="298"/>
      <c r="J26" s="298"/>
      <c r="K26" s="298"/>
      <c r="L26" s="100" t="s">
        <v>124</v>
      </c>
      <c r="M26" s="100" t="s">
        <v>125</v>
      </c>
    </row>
    <row r="27" spans="1:13" ht="13" x14ac:dyDescent="0.3">
      <c r="A27" s="338"/>
      <c r="B27" s="321"/>
      <c r="C27" s="318" t="s">
        <v>144</v>
      </c>
      <c r="D27" s="299"/>
      <c r="E27" s="97">
        <f ca="1">SUM(E22:E26)</f>
        <v>229.04076804283829</v>
      </c>
      <c r="F27" s="24"/>
      <c r="G27" s="111"/>
      <c r="H27" s="330" t="s">
        <v>137</v>
      </c>
      <c r="I27" s="299"/>
      <c r="J27" s="330" t="s">
        <v>145</v>
      </c>
      <c r="K27" s="299"/>
      <c r="L27" s="112" t="s">
        <v>146</v>
      </c>
      <c r="M27" s="112" t="s">
        <v>146</v>
      </c>
    </row>
    <row r="28" spans="1:13" ht="13" x14ac:dyDescent="0.3">
      <c r="A28" s="338"/>
      <c r="B28" s="321"/>
      <c r="C28" s="332" t="s">
        <v>147</v>
      </c>
      <c r="D28" s="301"/>
      <c r="E28" s="104" t="s">
        <v>107</v>
      </c>
      <c r="F28" s="24"/>
      <c r="G28" s="113" t="s">
        <v>148</v>
      </c>
      <c r="H28" s="331">
        <v>1.1000000000000001E-3</v>
      </c>
      <c r="I28" s="299"/>
      <c r="J28" s="329">
        <f>'Dados de Entrada'!O25</f>
        <v>49.33</v>
      </c>
      <c r="K28" s="299"/>
      <c r="L28" s="114">
        <f t="shared" ref="L28:L32" si="5">H28*J28*1.3</f>
        <v>7.0541900000000005E-2</v>
      </c>
      <c r="M28" s="114">
        <f t="shared" ref="M28:M32" si="6">H28*J28</f>
        <v>5.4262999999999999E-2</v>
      </c>
    </row>
    <row r="29" spans="1:13" ht="13" x14ac:dyDescent="0.3">
      <c r="A29" s="338"/>
      <c r="B29" s="321"/>
      <c r="C29" s="313" t="s">
        <v>149</v>
      </c>
      <c r="D29" s="255"/>
      <c r="E29" s="115">
        <f>(E30*E31)/E32</f>
        <v>110</v>
      </c>
      <c r="F29" s="24"/>
      <c r="G29" s="113" t="s">
        <v>150</v>
      </c>
      <c r="H29" s="331">
        <v>4.0000000000000002E-4</v>
      </c>
      <c r="I29" s="299"/>
      <c r="J29" s="329">
        <f>'Dados de Entrada'!O26</f>
        <v>42.99</v>
      </c>
      <c r="K29" s="299"/>
      <c r="L29" s="114">
        <f t="shared" si="5"/>
        <v>2.2354800000000005E-2</v>
      </c>
      <c r="M29" s="114">
        <f t="shared" si="6"/>
        <v>1.7196000000000003E-2</v>
      </c>
    </row>
    <row r="30" spans="1:13" ht="13" x14ac:dyDescent="0.3">
      <c r="A30" s="338"/>
      <c r="B30" s="321"/>
      <c r="C30" s="116"/>
      <c r="D30" s="89" t="s">
        <v>151</v>
      </c>
      <c r="E30" s="90">
        <f>'Dados de Entrada'!O20</f>
        <v>300</v>
      </c>
      <c r="F30" s="24"/>
      <c r="G30" s="113" t="s">
        <v>152</v>
      </c>
      <c r="H30" s="331">
        <v>2.0000000000000001E-4</v>
      </c>
      <c r="I30" s="299"/>
      <c r="J30" s="329">
        <f>'Dados de Entrada'!O27</f>
        <v>46.99</v>
      </c>
      <c r="K30" s="299"/>
      <c r="L30" s="114">
        <f t="shared" si="5"/>
        <v>1.22174E-2</v>
      </c>
      <c r="M30" s="114">
        <f t="shared" si="6"/>
        <v>9.3980000000000001E-3</v>
      </c>
    </row>
    <row r="31" spans="1:13" ht="13" x14ac:dyDescent="0.3">
      <c r="A31" s="338"/>
      <c r="B31" s="321"/>
      <c r="C31" s="116"/>
      <c r="D31" s="89" t="s">
        <v>153</v>
      </c>
      <c r="E31" s="117">
        <v>8.8000000000000007</v>
      </c>
      <c r="F31" s="24"/>
      <c r="G31" s="113" t="s">
        <v>154</v>
      </c>
      <c r="H31" s="346">
        <v>4.0000000000000003E-5</v>
      </c>
      <c r="I31" s="299"/>
      <c r="J31" s="329">
        <f>'Dados de Entrada'!O28</f>
        <v>44.88</v>
      </c>
      <c r="K31" s="299"/>
      <c r="L31" s="114">
        <f t="shared" si="5"/>
        <v>2.3337600000000003E-3</v>
      </c>
      <c r="M31" s="114">
        <f t="shared" si="6"/>
        <v>1.7952000000000003E-3</v>
      </c>
    </row>
    <row r="32" spans="1:13" ht="13" x14ac:dyDescent="0.3">
      <c r="A32" s="338"/>
      <c r="B32" s="321"/>
      <c r="C32" s="116"/>
      <c r="D32" s="89" t="s">
        <v>155</v>
      </c>
      <c r="E32" s="117">
        <v>24</v>
      </c>
      <c r="F32" s="24"/>
      <c r="G32" s="113" t="s">
        <v>156</v>
      </c>
      <c r="H32" s="346">
        <v>3.0000000000000001E-5</v>
      </c>
      <c r="I32" s="299"/>
      <c r="J32" s="329">
        <f>'Dados de Entrada'!O29</f>
        <v>40.9</v>
      </c>
      <c r="K32" s="299"/>
      <c r="L32" s="114">
        <f t="shared" si="5"/>
        <v>1.5951000000000001E-3</v>
      </c>
      <c r="M32" s="114">
        <f t="shared" si="6"/>
        <v>1.227E-3</v>
      </c>
    </row>
    <row r="33" spans="1:13" ht="13" x14ac:dyDescent="0.3">
      <c r="A33" s="338"/>
      <c r="B33" s="321"/>
      <c r="C33" s="313" t="s">
        <v>157</v>
      </c>
      <c r="D33" s="255"/>
      <c r="E33" s="106">
        <f>'Dados de Entrada'!O21</f>
        <v>1200</v>
      </c>
      <c r="F33" s="24"/>
      <c r="G33" s="324" t="s">
        <v>158</v>
      </c>
      <c r="H33" s="298"/>
      <c r="I33" s="298"/>
      <c r="J33" s="298"/>
      <c r="K33" s="298"/>
      <c r="L33" s="118">
        <f t="shared" ref="L33:M33" si="7">SUM(L28:L32)</f>
        <v>0.10904296000000002</v>
      </c>
      <c r="M33" s="118">
        <f t="shared" si="7"/>
        <v>8.3879200000000001E-2</v>
      </c>
    </row>
    <row r="34" spans="1:13" ht="13" x14ac:dyDescent="0.3">
      <c r="A34" s="338"/>
      <c r="B34" s="321"/>
      <c r="C34" s="313" t="s">
        <v>159</v>
      </c>
      <c r="D34" s="255"/>
      <c r="E34" s="106">
        <f>'Dados de Entrada'!O22/24</f>
        <v>9.0568583333333326</v>
      </c>
      <c r="F34" s="24"/>
      <c r="G34" s="344" t="s">
        <v>160</v>
      </c>
      <c r="H34" s="298"/>
      <c r="I34" s="298"/>
      <c r="J34" s="298"/>
      <c r="K34" s="298"/>
      <c r="L34" s="100" t="s">
        <v>124</v>
      </c>
      <c r="M34" s="100" t="s">
        <v>125</v>
      </c>
    </row>
    <row r="35" spans="1:13" ht="13" x14ac:dyDescent="0.3">
      <c r="A35" s="338"/>
      <c r="B35" s="321"/>
      <c r="C35" s="313" t="s">
        <v>161</v>
      </c>
      <c r="D35" s="255"/>
      <c r="E35" s="119">
        <f ca="1">0.05*(E17+E27+E29+E33+E34+E20)</f>
        <v>249.4912528179475</v>
      </c>
      <c r="F35" s="24"/>
      <c r="G35" s="345" t="s">
        <v>162</v>
      </c>
      <c r="H35" s="304"/>
      <c r="I35" s="304"/>
      <c r="J35" s="304"/>
      <c r="K35" s="304"/>
      <c r="L35" s="120">
        <f>'Dados de Entrada'!O32</f>
        <v>140</v>
      </c>
      <c r="M35" s="120">
        <f>'Dados de Entrada'!O32</f>
        <v>140</v>
      </c>
    </row>
    <row r="36" spans="1:13" ht="13" x14ac:dyDescent="0.3">
      <c r="A36" s="24"/>
      <c r="B36" s="24"/>
      <c r="C36" s="318" t="s">
        <v>163</v>
      </c>
      <c r="D36" s="298"/>
      <c r="E36" s="97">
        <f ca="1">E33+E35+E29+E34</f>
        <v>1568.5481111512809</v>
      </c>
      <c r="F36" s="24"/>
      <c r="G36" s="333" t="s">
        <v>164</v>
      </c>
      <c r="H36" s="301"/>
      <c r="I36" s="301"/>
      <c r="J36" s="301"/>
      <c r="K36" s="301"/>
      <c r="L36" s="121">
        <f>'Dados de Entrada'!O35</f>
        <v>250</v>
      </c>
      <c r="M36" s="121">
        <f>'Dados de Entrada'!O35</f>
        <v>250</v>
      </c>
    </row>
    <row r="37" spans="1:13" ht="13" x14ac:dyDescent="0.3">
      <c r="A37" s="24"/>
      <c r="B37" s="24"/>
      <c r="C37" s="334" t="s">
        <v>165</v>
      </c>
      <c r="D37" s="298"/>
      <c r="E37" s="122">
        <f ca="1">$E$14+$E$17+$E$27+$E$36+E20</f>
        <v>9080.8012904888965</v>
      </c>
      <c r="F37" s="24"/>
      <c r="G37" s="318" t="s">
        <v>166</v>
      </c>
      <c r="H37" s="298"/>
      <c r="I37" s="298"/>
      <c r="J37" s="298"/>
      <c r="K37" s="298"/>
      <c r="L37" s="123">
        <f t="shared" ref="L37:M37" si="8">L35/L36</f>
        <v>0.56000000000000005</v>
      </c>
      <c r="M37" s="123">
        <f t="shared" si="8"/>
        <v>0.56000000000000005</v>
      </c>
    </row>
    <row r="38" spans="1:13" ht="13" x14ac:dyDescent="0.3">
      <c r="A38" s="24"/>
      <c r="B38" s="24"/>
      <c r="C38" s="336" t="s">
        <v>167</v>
      </c>
      <c r="D38" s="301"/>
      <c r="E38" s="124">
        <f>BDI!B18</f>
        <v>0.21757290640394089</v>
      </c>
      <c r="F38" s="24"/>
      <c r="G38" s="335" t="s">
        <v>168</v>
      </c>
      <c r="H38" s="298"/>
      <c r="I38" s="298"/>
      <c r="J38" s="298"/>
      <c r="K38" s="298"/>
      <c r="L38" s="100" t="s">
        <v>124</v>
      </c>
      <c r="M38" s="100" t="s">
        <v>125</v>
      </c>
    </row>
    <row r="39" spans="1:13" ht="13" x14ac:dyDescent="0.3">
      <c r="A39" s="24"/>
      <c r="B39" s="24"/>
      <c r="C39" s="348" t="s">
        <v>169</v>
      </c>
      <c r="D39" s="299"/>
      <c r="E39" s="125">
        <f ca="1">E37*(1+E38)</f>
        <v>11056.537619737222</v>
      </c>
      <c r="F39" s="24"/>
      <c r="G39" s="315" t="s">
        <v>170</v>
      </c>
      <c r="H39" s="255"/>
      <c r="I39" s="255"/>
      <c r="J39" s="255"/>
      <c r="K39" s="255"/>
      <c r="L39" s="126">
        <f t="shared" ref="L39:M39" si="9">L16</f>
        <v>0.30380220000000002</v>
      </c>
      <c r="M39" s="126">
        <f t="shared" si="9"/>
        <v>0.23369400000000001</v>
      </c>
    </row>
    <row r="40" spans="1:13" ht="13" x14ac:dyDescent="0.3">
      <c r="A40" s="24"/>
      <c r="B40" s="24"/>
      <c r="C40" s="24"/>
      <c r="D40" s="24"/>
      <c r="E40" s="24"/>
      <c r="F40" s="24"/>
      <c r="G40" s="315" t="s">
        <v>171</v>
      </c>
      <c r="H40" s="255"/>
      <c r="I40" s="255"/>
      <c r="J40" s="255"/>
      <c r="K40" s="255"/>
      <c r="L40" s="127">
        <f t="shared" ref="L40:M40" si="10">L20</f>
        <v>2.3334999999999999</v>
      </c>
      <c r="M40" s="127">
        <f t="shared" si="10"/>
        <v>1.7949999999999999</v>
      </c>
    </row>
    <row r="41" spans="1:13" ht="13" x14ac:dyDescent="0.3">
      <c r="A41" s="24"/>
      <c r="B41" s="24"/>
      <c r="C41" s="24"/>
      <c r="D41" s="24"/>
      <c r="E41" s="24"/>
      <c r="F41" s="24"/>
      <c r="G41" s="315" t="s">
        <v>172</v>
      </c>
      <c r="H41" s="255"/>
      <c r="I41" s="255"/>
      <c r="J41" s="255"/>
      <c r="K41" s="255"/>
      <c r="L41" s="127">
        <f t="shared" ref="L41:M41" ca="1" si="11">L25</f>
        <v>0.79982246652124434</v>
      </c>
      <c r="M41" s="127">
        <f t="shared" ca="1" si="11"/>
        <v>0.61524805117018799</v>
      </c>
    </row>
    <row r="42" spans="1:13" ht="13" x14ac:dyDescent="0.3">
      <c r="A42" s="24"/>
      <c r="B42" s="24"/>
      <c r="C42" s="24"/>
      <c r="D42" s="24"/>
      <c r="E42" s="24"/>
      <c r="F42" s="24"/>
      <c r="G42" s="315" t="s">
        <v>173</v>
      </c>
      <c r="H42" s="255"/>
      <c r="I42" s="255"/>
      <c r="J42" s="255"/>
      <c r="K42" s="255"/>
      <c r="L42" s="127">
        <f t="shared" ref="L42:M42" si="12">L33</f>
        <v>0.10904296000000002</v>
      </c>
      <c r="M42" s="127">
        <f t="shared" si="12"/>
        <v>8.3879200000000001E-2</v>
      </c>
    </row>
    <row r="43" spans="1:13" ht="13" x14ac:dyDescent="0.3">
      <c r="A43" s="24"/>
      <c r="B43" s="24"/>
      <c r="C43" s="24"/>
      <c r="D43" s="24"/>
      <c r="E43" s="24"/>
      <c r="F43" s="24"/>
      <c r="G43" s="315" t="s">
        <v>174</v>
      </c>
      <c r="H43" s="255"/>
      <c r="I43" s="255"/>
      <c r="J43" s="255"/>
      <c r="K43" s="255"/>
      <c r="L43" s="127">
        <f t="shared" ref="L43:M43" si="13">L37</f>
        <v>0.56000000000000005</v>
      </c>
      <c r="M43" s="127">
        <f t="shared" si="13"/>
        <v>0.56000000000000005</v>
      </c>
    </row>
    <row r="44" spans="1:13" ht="13" x14ac:dyDescent="0.3">
      <c r="A44" s="24"/>
      <c r="B44" s="24"/>
      <c r="C44" s="24"/>
      <c r="D44" s="24"/>
      <c r="E44" s="128"/>
      <c r="F44" s="24"/>
      <c r="G44" s="318" t="s">
        <v>175</v>
      </c>
      <c r="H44" s="298"/>
      <c r="I44" s="298"/>
      <c r="J44" s="298"/>
      <c r="K44" s="299"/>
      <c r="L44" s="129">
        <f t="shared" ref="L44:M44" ca="1" si="14">SUM(L39:L43)</f>
        <v>4.1061676265212448</v>
      </c>
      <c r="M44" s="129">
        <f t="shared" ca="1" si="14"/>
        <v>3.2878212511701879</v>
      </c>
    </row>
    <row r="45" spans="1:13" ht="13" x14ac:dyDescent="0.3">
      <c r="A45" s="24"/>
      <c r="B45" s="24"/>
      <c r="C45" s="24"/>
      <c r="D45" s="24"/>
      <c r="E45" s="24"/>
      <c r="F45" s="24"/>
      <c r="G45" s="336" t="s">
        <v>167</v>
      </c>
      <c r="H45" s="301"/>
      <c r="I45" s="301"/>
      <c r="J45" s="301"/>
      <c r="K45" s="301"/>
      <c r="L45" s="130">
        <f>BDI!B18</f>
        <v>0.21757290640394089</v>
      </c>
      <c r="M45" s="130">
        <f>BDI!B18</f>
        <v>0.21757290640394089</v>
      </c>
    </row>
    <row r="46" spans="1:13" ht="13" x14ac:dyDescent="0.3">
      <c r="A46" s="24"/>
      <c r="B46" s="24"/>
      <c r="C46" s="24"/>
      <c r="D46" s="131"/>
      <c r="E46" s="24"/>
      <c r="F46" s="24"/>
      <c r="G46" s="347" t="s">
        <v>176</v>
      </c>
      <c r="H46" s="298"/>
      <c r="I46" s="298"/>
      <c r="J46" s="298"/>
      <c r="K46" s="299"/>
      <c r="L46" s="132">
        <f t="shared" ref="L46:M46" ca="1" si="15">L44*(1+L45)</f>
        <v>4.9995584512052433</v>
      </c>
      <c r="M46" s="132">
        <f t="shared" ca="1" si="15"/>
        <v>4.0031620765239273</v>
      </c>
    </row>
  </sheetData>
  <mergeCells count="80">
    <mergeCell ref="G43:K43"/>
    <mergeCell ref="G44:K44"/>
    <mergeCell ref="G45:K45"/>
    <mergeCell ref="G46:K46"/>
    <mergeCell ref="C39:D39"/>
    <mergeCell ref="G39:K39"/>
    <mergeCell ref="G40:K40"/>
    <mergeCell ref="G41:K41"/>
    <mergeCell ref="G42:K42"/>
    <mergeCell ref="A1:B35"/>
    <mergeCell ref="C2:M3"/>
    <mergeCell ref="D4:E4"/>
    <mergeCell ref="C6:E7"/>
    <mergeCell ref="G6:M7"/>
    <mergeCell ref="C8:E8"/>
    <mergeCell ref="M9:M10"/>
    <mergeCell ref="H30:I30"/>
    <mergeCell ref="C34:D34"/>
    <mergeCell ref="G34:K34"/>
    <mergeCell ref="C35:D35"/>
    <mergeCell ref="G35:K35"/>
    <mergeCell ref="J30:K30"/>
    <mergeCell ref="H31:I31"/>
    <mergeCell ref="J31:K31"/>
    <mergeCell ref="H32:I32"/>
    <mergeCell ref="C36:D36"/>
    <mergeCell ref="G36:K36"/>
    <mergeCell ref="C37:D37"/>
    <mergeCell ref="G37:K37"/>
    <mergeCell ref="G38:K38"/>
    <mergeCell ref="C38:D38"/>
    <mergeCell ref="J32:K32"/>
    <mergeCell ref="C33:D33"/>
    <mergeCell ref="G33:K33"/>
    <mergeCell ref="C27:D27"/>
    <mergeCell ref="H27:I27"/>
    <mergeCell ref="C29:D29"/>
    <mergeCell ref="H29:I29"/>
    <mergeCell ref="J29:K29"/>
    <mergeCell ref="J27:K27"/>
    <mergeCell ref="C28:D28"/>
    <mergeCell ref="H28:I28"/>
    <mergeCell ref="J28:K28"/>
    <mergeCell ref="C24:D24"/>
    <mergeCell ref="G24:K24"/>
    <mergeCell ref="C25:D25"/>
    <mergeCell ref="G25:K25"/>
    <mergeCell ref="C26:D26"/>
    <mergeCell ref="G26:K26"/>
    <mergeCell ref="C22:D22"/>
    <mergeCell ref="G22:K22"/>
    <mergeCell ref="C23:D23"/>
    <mergeCell ref="G23:K23"/>
    <mergeCell ref="G8:L8"/>
    <mergeCell ref="G9:K10"/>
    <mergeCell ref="L9:L10"/>
    <mergeCell ref="C19:D19"/>
    <mergeCell ref="G19:K19"/>
    <mergeCell ref="C20:D20"/>
    <mergeCell ref="G20:K20"/>
    <mergeCell ref="C21:D21"/>
    <mergeCell ref="G21:K21"/>
    <mergeCell ref="C16:D16"/>
    <mergeCell ref="G16:K16"/>
    <mergeCell ref="C17:D17"/>
    <mergeCell ref="G17:K17"/>
    <mergeCell ref="C18:D18"/>
    <mergeCell ref="G18:K18"/>
    <mergeCell ref="C13:D13"/>
    <mergeCell ref="G13:K13"/>
    <mergeCell ref="C14:D14"/>
    <mergeCell ref="G14:K14"/>
    <mergeCell ref="C15:D15"/>
    <mergeCell ref="G15:K15"/>
    <mergeCell ref="C9:D9"/>
    <mergeCell ref="C10:D10"/>
    <mergeCell ref="C11:D11"/>
    <mergeCell ref="G11:K11"/>
    <mergeCell ref="C12:D12"/>
    <mergeCell ref="G12:K12"/>
  </mergeCells>
  <pageMargins left="0.511811024" right="0.511811024" top="0.78740157499999996" bottom="0.78740157499999996" header="0.31496062000000002" footer="0.31496062000000002"/>
  <pageSetup paperSize="9" scale="69" fitToHeight="6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900"/>
    <outlinePr summaryBelow="0" summaryRight="0"/>
    <pageSetUpPr fitToPage="1"/>
  </sheetPr>
  <dimension ref="A1:M46"/>
  <sheetViews>
    <sheetView showGridLines="0" topLeftCell="A5" workbookViewId="0">
      <selection activeCell="F14" sqref="F14"/>
    </sheetView>
  </sheetViews>
  <sheetFormatPr defaultColWidth="12.6328125" defaultRowHeight="15.75" customHeight="1" x14ac:dyDescent="0.25"/>
  <cols>
    <col min="1" max="2" width="0.36328125" customWidth="1"/>
    <col min="3" max="3" width="10.08984375" customWidth="1"/>
    <col min="4" max="4" width="37.6328125" customWidth="1"/>
    <col min="5" max="5" width="13.54296875" customWidth="1"/>
    <col min="6" max="6" width="3.90625" customWidth="1"/>
    <col min="7" max="7" width="13.90625" customWidth="1"/>
    <col min="8" max="11" width="6.36328125" customWidth="1"/>
    <col min="12" max="13" width="15.08984375" customWidth="1"/>
  </cols>
  <sheetData>
    <row r="1" spans="1:13" ht="1.5" customHeight="1" x14ac:dyDescent="0.3">
      <c r="A1" s="337"/>
      <c r="B1" s="305"/>
      <c r="C1" s="24"/>
      <c r="D1" s="24"/>
      <c r="E1" s="24"/>
      <c r="F1" s="24"/>
      <c r="G1" s="82"/>
      <c r="H1" s="82"/>
      <c r="I1" s="82"/>
      <c r="J1" s="82"/>
      <c r="K1" s="82"/>
      <c r="L1" s="83"/>
      <c r="M1" s="84"/>
    </row>
    <row r="2" spans="1:13" ht="12.5" x14ac:dyDescent="0.25">
      <c r="A2" s="338"/>
      <c r="B2" s="321"/>
      <c r="C2" s="339" t="s">
        <v>325</v>
      </c>
      <c r="D2" s="304"/>
      <c r="E2" s="304"/>
      <c r="F2" s="304"/>
      <c r="G2" s="304"/>
      <c r="H2" s="304"/>
      <c r="I2" s="304"/>
      <c r="J2" s="304"/>
      <c r="K2" s="304"/>
      <c r="L2" s="304"/>
      <c r="M2" s="305"/>
    </row>
    <row r="3" spans="1:13" ht="12.5" x14ac:dyDescent="0.25">
      <c r="A3" s="338"/>
      <c r="B3" s="321"/>
      <c r="C3" s="306"/>
      <c r="D3" s="301"/>
      <c r="E3" s="301"/>
      <c r="F3" s="301"/>
      <c r="G3" s="301"/>
      <c r="H3" s="301"/>
      <c r="I3" s="301"/>
      <c r="J3" s="301"/>
      <c r="K3" s="301"/>
      <c r="L3" s="301"/>
      <c r="M3" s="302"/>
    </row>
    <row r="4" spans="1:13" ht="16.5" customHeight="1" x14ac:dyDescent="0.3">
      <c r="A4" s="338"/>
      <c r="B4" s="321"/>
      <c r="C4" s="85" t="s">
        <v>103</v>
      </c>
      <c r="D4" s="340" t="str">
        <f>CONCATENATE('Dados de Entrada'!J10,"  -  ",'Dados de Entrada'!J11)</f>
        <v>Comil Svelto Ano 2016 Volvo
B270f Mwm 6cc 2p  -  2016</v>
      </c>
      <c r="E4" s="255"/>
      <c r="F4" s="4"/>
      <c r="G4" s="86"/>
      <c r="H4" s="86"/>
      <c r="I4" s="86"/>
      <c r="J4" s="86"/>
      <c r="K4" s="86"/>
      <c r="L4" s="86"/>
      <c r="M4" s="86"/>
    </row>
    <row r="5" spans="1:13" ht="9" customHeight="1" x14ac:dyDescent="0.3">
      <c r="A5" s="338"/>
      <c r="B5" s="321"/>
      <c r="C5" s="86"/>
      <c r="D5" s="86"/>
      <c r="E5" s="86"/>
      <c r="F5" s="4"/>
      <c r="G5" s="86"/>
      <c r="H5" s="86"/>
      <c r="I5" s="86"/>
      <c r="J5" s="86"/>
      <c r="K5" s="86"/>
      <c r="L5" s="86"/>
      <c r="M5" s="86"/>
    </row>
    <row r="6" spans="1:13" ht="13" x14ac:dyDescent="0.3">
      <c r="A6" s="338"/>
      <c r="B6" s="321"/>
      <c r="C6" s="341" t="s">
        <v>177</v>
      </c>
      <c r="D6" s="304"/>
      <c r="E6" s="305"/>
      <c r="F6" s="24"/>
      <c r="G6" s="342" t="s">
        <v>178</v>
      </c>
      <c r="H6" s="255"/>
      <c r="I6" s="255"/>
      <c r="J6" s="255"/>
      <c r="K6" s="255"/>
      <c r="L6" s="255"/>
      <c r="M6" s="321"/>
    </row>
    <row r="7" spans="1:13" ht="13" x14ac:dyDescent="0.3">
      <c r="A7" s="338"/>
      <c r="B7" s="321"/>
      <c r="C7" s="306"/>
      <c r="D7" s="301"/>
      <c r="E7" s="302"/>
      <c r="F7" s="24"/>
      <c r="G7" s="301"/>
      <c r="H7" s="301"/>
      <c r="I7" s="301"/>
      <c r="J7" s="301"/>
      <c r="K7" s="301"/>
      <c r="L7" s="301"/>
      <c r="M7" s="302"/>
    </row>
    <row r="8" spans="1:13" ht="1.5" customHeight="1" x14ac:dyDescent="0.3">
      <c r="A8" s="338"/>
      <c r="B8" s="321"/>
      <c r="C8" s="313"/>
      <c r="D8" s="255"/>
      <c r="E8" s="255"/>
      <c r="F8" s="24"/>
      <c r="G8" s="313"/>
      <c r="H8" s="255"/>
      <c r="I8" s="255"/>
      <c r="J8" s="255"/>
      <c r="K8" s="255"/>
      <c r="L8" s="321"/>
      <c r="M8" s="24"/>
    </row>
    <row r="9" spans="1:13" ht="13" x14ac:dyDescent="0.3">
      <c r="A9" s="338"/>
      <c r="B9" s="321"/>
      <c r="C9" s="312" t="s">
        <v>106</v>
      </c>
      <c r="D9" s="299"/>
      <c r="E9" s="87" t="s">
        <v>107</v>
      </c>
      <c r="F9" s="24"/>
      <c r="G9" s="322" t="s">
        <v>3</v>
      </c>
      <c r="H9" s="304"/>
      <c r="I9" s="304"/>
      <c r="J9" s="304"/>
      <c r="K9" s="304"/>
      <c r="L9" s="323" t="s">
        <v>108</v>
      </c>
      <c r="M9" s="343" t="s">
        <v>109</v>
      </c>
    </row>
    <row r="10" spans="1:13" ht="13" x14ac:dyDescent="0.3">
      <c r="A10" s="338"/>
      <c r="B10" s="321"/>
      <c r="C10" s="313" t="s">
        <v>110</v>
      </c>
      <c r="D10" s="255"/>
      <c r="E10" s="88">
        <f>E11+E12</f>
        <v>4857.2471753600003</v>
      </c>
      <c r="F10" s="24"/>
      <c r="G10" s="306"/>
      <c r="H10" s="301"/>
      <c r="I10" s="301"/>
      <c r="J10" s="301"/>
      <c r="K10" s="301"/>
      <c r="L10" s="296"/>
      <c r="M10" s="302"/>
    </row>
    <row r="11" spans="1:13" ht="13" x14ac:dyDescent="0.3">
      <c r="A11" s="338"/>
      <c r="B11" s="321"/>
      <c r="C11" s="314" t="s">
        <v>30</v>
      </c>
      <c r="D11" s="255"/>
      <c r="E11" s="90">
        <f>'Encargos Sociais'!H12</f>
        <v>3043.51</v>
      </c>
      <c r="F11" s="24"/>
      <c r="G11" s="315" t="s">
        <v>111</v>
      </c>
      <c r="H11" s="255"/>
      <c r="I11" s="255"/>
      <c r="J11" s="255"/>
      <c r="K11" s="255"/>
      <c r="L11" s="92">
        <f>'Dados de Entrada'!O5</f>
        <v>1735.32</v>
      </c>
      <c r="M11" s="92">
        <f>'Dados de Entrada'!O5</f>
        <v>1735.32</v>
      </c>
    </row>
    <row r="12" spans="1:13" ht="13" x14ac:dyDescent="0.3">
      <c r="A12" s="338"/>
      <c r="B12" s="321"/>
      <c r="C12" s="314" t="s">
        <v>112</v>
      </c>
      <c r="D12" s="255"/>
      <c r="E12" s="93">
        <f>'Encargos Sociais'!H53+'Encargos Sociais'!H61</f>
        <v>1813.7371753600005</v>
      </c>
      <c r="F12" s="24"/>
      <c r="G12" s="315" t="s">
        <v>113</v>
      </c>
      <c r="H12" s="255"/>
      <c r="I12" s="255"/>
      <c r="J12" s="255"/>
      <c r="K12" s="255"/>
      <c r="L12" s="94">
        <f>'Dados de Entrada'!O6</f>
        <v>800</v>
      </c>
      <c r="M12" s="94">
        <f>'Dados de Entrada'!O6</f>
        <v>800</v>
      </c>
    </row>
    <row r="13" spans="1:13" ht="13" x14ac:dyDescent="0.3">
      <c r="A13" s="338"/>
      <c r="B13" s="321"/>
      <c r="C13" s="313" t="s">
        <v>179</v>
      </c>
      <c r="D13" s="255"/>
      <c r="E13" s="95">
        <f>E10*0.15</f>
        <v>728.58707630399999</v>
      </c>
      <c r="F13" s="24"/>
      <c r="G13" s="315" t="s">
        <v>115</v>
      </c>
      <c r="H13" s="255"/>
      <c r="I13" s="255"/>
      <c r="J13" s="255"/>
      <c r="K13" s="255"/>
      <c r="L13" s="96">
        <f>M13/1.3</f>
        <v>38461.538461538461</v>
      </c>
      <c r="M13" s="96">
        <v>50000</v>
      </c>
    </row>
    <row r="14" spans="1:13" ht="13" x14ac:dyDescent="0.3">
      <c r="A14" s="338"/>
      <c r="B14" s="321"/>
      <c r="C14" s="318" t="s">
        <v>116</v>
      </c>
      <c r="D14" s="298"/>
      <c r="E14" s="97">
        <f>E11+E12+E13</f>
        <v>5585.8342516640005</v>
      </c>
      <c r="F14" s="24"/>
      <c r="G14" s="315" t="s">
        <v>117</v>
      </c>
      <c r="H14" s="255"/>
      <c r="I14" s="255"/>
      <c r="J14" s="255"/>
      <c r="K14" s="255"/>
      <c r="L14" s="96">
        <f t="shared" ref="L14:M14" si="0">L13/2</f>
        <v>19230.76923076923</v>
      </c>
      <c r="M14" s="96">
        <f t="shared" si="0"/>
        <v>25000</v>
      </c>
    </row>
    <row r="15" spans="1:13" ht="13" x14ac:dyDescent="0.3">
      <c r="A15" s="338"/>
      <c r="B15" s="321"/>
      <c r="C15" s="312" t="s">
        <v>118</v>
      </c>
      <c r="D15" s="299"/>
      <c r="E15" s="87" t="s">
        <v>107</v>
      </c>
      <c r="F15" s="24"/>
      <c r="G15" s="315" t="s">
        <v>119</v>
      </c>
      <c r="H15" s="255"/>
      <c r="I15" s="255"/>
      <c r="J15" s="255"/>
      <c r="K15" s="255"/>
      <c r="L15" s="98">
        <v>6</v>
      </c>
      <c r="M15" s="98">
        <v>6</v>
      </c>
    </row>
    <row r="16" spans="1:13" ht="13" x14ac:dyDescent="0.3">
      <c r="A16" s="338"/>
      <c r="B16" s="321"/>
      <c r="C16" s="326" t="s">
        <v>120</v>
      </c>
      <c r="D16" s="299"/>
      <c r="E16" s="69">
        <f ca="1">SUM('Depreciação e Infração'!F15:F36)/'Dados de Entrada'!E$4</f>
        <v>598.10919873236344</v>
      </c>
      <c r="F16" s="24"/>
      <c r="G16" s="324" t="s">
        <v>121</v>
      </c>
      <c r="H16" s="298"/>
      <c r="I16" s="298"/>
      <c r="J16" s="298"/>
      <c r="K16" s="299"/>
      <c r="L16" s="99">
        <f t="shared" ref="L16:M16" si="1">L15*(L11+2*L12)/(L13+2*L14)</f>
        <v>0.26015495999999999</v>
      </c>
      <c r="M16" s="99">
        <f t="shared" si="1"/>
        <v>0.20011919999999997</v>
      </c>
    </row>
    <row r="17" spans="1:13" ht="13" x14ac:dyDescent="0.3">
      <c r="A17" s="338"/>
      <c r="B17" s="321"/>
      <c r="C17" s="318" t="s">
        <v>122</v>
      </c>
      <c r="D17" s="299"/>
      <c r="E17" s="97">
        <f ca="1">E16</f>
        <v>598.10919873236344</v>
      </c>
      <c r="F17" s="24"/>
      <c r="G17" s="316" t="s">
        <v>123</v>
      </c>
      <c r="H17" s="298"/>
      <c r="I17" s="298"/>
      <c r="J17" s="298"/>
      <c r="K17" s="298"/>
      <c r="L17" s="100" t="s">
        <v>124</v>
      </c>
      <c r="M17" s="100" t="s">
        <v>125</v>
      </c>
    </row>
    <row r="18" spans="1:13" ht="13" x14ac:dyDescent="0.3">
      <c r="A18" s="338"/>
      <c r="B18" s="321"/>
      <c r="C18" s="317" t="s">
        <v>126</v>
      </c>
      <c r="D18" s="298"/>
      <c r="E18" s="87" t="s">
        <v>107</v>
      </c>
      <c r="F18" s="24"/>
      <c r="G18" s="315" t="s">
        <v>127</v>
      </c>
      <c r="H18" s="255"/>
      <c r="I18" s="255"/>
      <c r="J18" s="255"/>
      <c r="K18" s="255"/>
      <c r="L18" s="101">
        <f>M18/1.3</f>
        <v>2.0384615384615383</v>
      </c>
      <c r="M18" s="101">
        <v>2.65</v>
      </c>
    </row>
    <row r="19" spans="1:13" ht="13" x14ac:dyDescent="0.3">
      <c r="A19" s="338"/>
      <c r="B19" s="321"/>
      <c r="C19" s="313" t="s">
        <v>128</v>
      </c>
      <c r="D19" s="255"/>
      <c r="E19" s="102">
        <f ca="1">(((1+'Dados de Entrada'!F11)*(1+'Dados de Entrada'!F12)*(1+'Dados de Entrada'!F13)*(1+'Dados de Entrada'!F14)*(1+'Dados de Entrada'!F15)*(1+'Dados de Entrada'!F16)-1)*'Dados de Entrada'!J$12)/'Dados de Entrada'!E4</f>
        <v>2838.410167898915</v>
      </c>
      <c r="F19" s="24"/>
      <c r="G19" s="315" t="s">
        <v>129</v>
      </c>
      <c r="H19" s="255"/>
      <c r="I19" s="255"/>
      <c r="J19" s="255"/>
      <c r="K19" s="255"/>
      <c r="L19" s="103">
        <f>'Dados de Entrada'!O24</f>
        <v>7.18</v>
      </c>
      <c r="M19" s="103">
        <f>'Dados de Entrada'!O24</f>
        <v>7.18</v>
      </c>
    </row>
    <row r="20" spans="1:13" ht="13" x14ac:dyDescent="0.3">
      <c r="A20" s="338"/>
      <c r="B20" s="321"/>
      <c r="C20" s="318" t="s">
        <v>130</v>
      </c>
      <c r="D20" s="298"/>
      <c r="E20" s="97">
        <f ca="1">E19</f>
        <v>2838.410167898915</v>
      </c>
      <c r="F20" s="24"/>
      <c r="G20" s="324" t="s">
        <v>131</v>
      </c>
      <c r="H20" s="298"/>
      <c r="I20" s="298"/>
      <c r="J20" s="298"/>
      <c r="K20" s="298"/>
      <c r="L20" s="99">
        <f t="shared" ref="L20:M20" si="2">L19/L18</f>
        <v>3.5222641509433963</v>
      </c>
      <c r="M20" s="99">
        <f t="shared" si="2"/>
        <v>2.7094339622641508</v>
      </c>
    </row>
    <row r="21" spans="1:13" ht="13" x14ac:dyDescent="0.3">
      <c r="A21" s="338"/>
      <c r="B21" s="321"/>
      <c r="C21" s="317" t="s">
        <v>132</v>
      </c>
      <c r="D21" s="298"/>
      <c r="E21" s="104" t="s">
        <v>107</v>
      </c>
      <c r="F21" s="24"/>
      <c r="G21" s="325" t="s">
        <v>133</v>
      </c>
      <c r="H21" s="298"/>
      <c r="I21" s="298"/>
      <c r="J21" s="298"/>
      <c r="K21" s="298"/>
      <c r="L21" s="100" t="s">
        <v>124</v>
      </c>
      <c r="M21" s="100" t="s">
        <v>125</v>
      </c>
    </row>
    <row r="22" spans="1:13" ht="13" x14ac:dyDescent="0.3">
      <c r="A22" s="338"/>
      <c r="B22" s="321"/>
      <c r="C22" s="313" t="s">
        <v>180</v>
      </c>
      <c r="D22" s="255"/>
      <c r="E22" s="102">
        <f ca="1">(0.01)*SUM('Depreciação e Infração'!G15:G36)/'Dados de Entrada'!E$4</f>
        <v>221.71528487499049</v>
      </c>
      <c r="F22" s="24"/>
      <c r="G22" s="319" t="s">
        <v>135</v>
      </c>
      <c r="H22" s="255"/>
      <c r="I22" s="255"/>
      <c r="J22" s="255"/>
      <c r="K22" s="255"/>
      <c r="L22" s="105">
        <f t="shared" ref="L22:M22" ca="1" si="3">L23*L24</f>
        <v>0.91144623150094917</v>
      </c>
      <c r="M22" s="105">
        <f t="shared" ca="1" si="3"/>
        <v>0.70111248576996088</v>
      </c>
    </row>
    <row r="23" spans="1:13" ht="13" x14ac:dyDescent="0.3">
      <c r="A23" s="338"/>
      <c r="B23" s="321"/>
      <c r="C23" s="313" t="s">
        <v>181</v>
      </c>
      <c r="D23" s="255"/>
      <c r="E23" s="106">
        <f>'Dados de Entrada'!O16/12</f>
        <v>15.193333333333333</v>
      </c>
      <c r="F23" s="24"/>
      <c r="G23" s="320" t="s">
        <v>137</v>
      </c>
      <c r="H23" s="255"/>
      <c r="I23" s="255"/>
      <c r="J23" s="255"/>
      <c r="K23" s="255"/>
      <c r="L23" s="133">
        <f ca="1">M23*1.3</f>
        <v>1.833333333E-6</v>
      </c>
      <c r="M23" s="134">
        <f ca="1">SUM(Manutenção!A2:A22)*12/'Dados de Entrada'!E$4</f>
        <v>1.4102564099999999E-6</v>
      </c>
    </row>
    <row r="24" spans="1:13" ht="13" x14ac:dyDescent="0.3">
      <c r="A24" s="338"/>
      <c r="B24" s="321"/>
      <c r="C24" s="313" t="s">
        <v>182</v>
      </c>
      <c r="D24" s="255"/>
      <c r="E24" s="106">
        <f>'Dados de Entrada'!O17/12</f>
        <v>0</v>
      </c>
      <c r="F24" s="24"/>
      <c r="G24" s="320" t="s">
        <v>183</v>
      </c>
      <c r="H24" s="255"/>
      <c r="I24" s="255"/>
      <c r="J24" s="255"/>
      <c r="K24" s="255"/>
      <c r="L24" s="109">
        <f>M24</f>
        <v>497152.49</v>
      </c>
      <c r="M24" s="109">
        <f>'Dados de Entrada'!J13</f>
        <v>497152.49</v>
      </c>
    </row>
    <row r="25" spans="1:13" ht="13" x14ac:dyDescent="0.3">
      <c r="A25" s="338"/>
      <c r="B25" s="321"/>
      <c r="C25" s="327" t="s">
        <v>184</v>
      </c>
      <c r="D25" s="255"/>
      <c r="E25" s="106">
        <f>'Dados de Entrada'!O18/12</f>
        <v>16.666666666666668</v>
      </c>
      <c r="F25" s="24"/>
      <c r="G25" s="324" t="s">
        <v>141</v>
      </c>
      <c r="H25" s="298"/>
      <c r="I25" s="298"/>
      <c r="J25" s="298"/>
      <c r="K25" s="298"/>
      <c r="L25" s="110">
        <f t="shared" ref="L25:M25" ca="1" si="4">L22</f>
        <v>0.91144623150094917</v>
      </c>
      <c r="M25" s="110">
        <f t="shared" ca="1" si="4"/>
        <v>0.70111248576996088</v>
      </c>
    </row>
    <row r="26" spans="1:13" ht="13" x14ac:dyDescent="0.3">
      <c r="A26" s="338"/>
      <c r="B26" s="321"/>
      <c r="C26" s="327" t="s">
        <v>185</v>
      </c>
      <c r="D26" s="255"/>
      <c r="E26" s="106">
        <f>'Dados de Entrada'!O19/12</f>
        <v>12.5</v>
      </c>
      <c r="F26" s="24"/>
      <c r="G26" s="328" t="s">
        <v>143</v>
      </c>
      <c r="H26" s="298"/>
      <c r="I26" s="298"/>
      <c r="J26" s="298"/>
      <c r="K26" s="298"/>
      <c r="L26" s="100" t="s">
        <v>124</v>
      </c>
      <c r="M26" s="100" t="s">
        <v>125</v>
      </c>
    </row>
    <row r="27" spans="1:13" ht="13" x14ac:dyDescent="0.3">
      <c r="A27" s="338"/>
      <c r="B27" s="321"/>
      <c r="C27" s="318" t="s">
        <v>144</v>
      </c>
      <c r="D27" s="299"/>
      <c r="E27" s="97">
        <f ca="1">SUM(E22:E26)</f>
        <v>266.07528487499047</v>
      </c>
      <c r="F27" s="24"/>
      <c r="G27" s="111"/>
      <c r="H27" s="330" t="s">
        <v>137</v>
      </c>
      <c r="I27" s="299"/>
      <c r="J27" s="330" t="s">
        <v>145</v>
      </c>
      <c r="K27" s="299"/>
      <c r="L27" s="112" t="s">
        <v>146</v>
      </c>
      <c r="M27" s="112" t="s">
        <v>146</v>
      </c>
    </row>
    <row r="28" spans="1:13" ht="13" x14ac:dyDescent="0.3">
      <c r="A28" s="338"/>
      <c r="B28" s="321"/>
      <c r="C28" s="332" t="s">
        <v>186</v>
      </c>
      <c r="D28" s="301"/>
      <c r="E28" s="104" t="s">
        <v>107</v>
      </c>
      <c r="F28" s="24"/>
      <c r="G28" s="113" t="s">
        <v>148</v>
      </c>
      <c r="H28" s="331">
        <v>1.9E-3</v>
      </c>
      <c r="I28" s="299"/>
      <c r="J28" s="329">
        <f>'Dados de Entrada'!O25</f>
        <v>49.33</v>
      </c>
      <c r="K28" s="299"/>
      <c r="L28" s="135">
        <f t="shared" ref="L28:L32" si="5">H28*J28*1.3</f>
        <v>0.1218451</v>
      </c>
      <c r="M28" s="114">
        <f t="shared" ref="M28:M32" si="6">H28*J28</f>
        <v>9.3726999999999991E-2</v>
      </c>
    </row>
    <row r="29" spans="1:13" ht="13" x14ac:dyDescent="0.3">
      <c r="A29" s="338"/>
      <c r="B29" s="321"/>
      <c r="C29" s="313" t="s">
        <v>149</v>
      </c>
      <c r="D29" s="255"/>
      <c r="E29" s="115">
        <f>(E30*E31)/E32</f>
        <v>168.75</v>
      </c>
      <c r="F29" s="24"/>
      <c r="G29" s="113" t="s">
        <v>150</v>
      </c>
      <c r="H29" s="346">
        <v>4.8000000000000001E-4</v>
      </c>
      <c r="I29" s="299"/>
      <c r="J29" s="329">
        <f>'Dados de Entrada'!O26</f>
        <v>42.99</v>
      </c>
      <c r="K29" s="299"/>
      <c r="L29" s="135">
        <f t="shared" si="5"/>
        <v>2.6825760000000004E-2</v>
      </c>
      <c r="M29" s="114">
        <f t="shared" si="6"/>
        <v>2.0635200000000003E-2</v>
      </c>
    </row>
    <row r="30" spans="1:13" ht="13" x14ac:dyDescent="0.3">
      <c r="A30" s="338"/>
      <c r="B30" s="321"/>
      <c r="C30" s="116"/>
      <c r="D30" s="89" t="s">
        <v>151</v>
      </c>
      <c r="E30" s="90">
        <f>'Dados de Entrada'!O20</f>
        <v>300</v>
      </c>
      <c r="F30" s="24"/>
      <c r="G30" s="113" t="s">
        <v>152</v>
      </c>
      <c r="H30" s="346">
        <v>4.4000000000000002E-4</v>
      </c>
      <c r="I30" s="299"/>
      <c r="J30" s="329">
        <f>'Dados de Entrada'!O27</f>
        <v>46.99</v>
      </c>
      <c r="K30" s="299"/>
      <c r="L30" s="135">
        <f t="shared" si="5"/>
        <v>2.6878280000000004E-2</v>
      </c>
      <c r="M30" s="114">
        <f t="shared" si="6"/>
        <v>2.0675600000000002E-2</v>
      </c>
    </row>
    <row r="31" spans="1:13" ht="13" x14ac:dyDescent="0.3">
      <c r="A31" s="338"/>
      <c r="B31" s="321"/>
      <c r="C31" s="116"/>
      <c r="D31" s="89" t="s">
        <v>153</v>
      </c>
      <c r="E31" s="117">
        <v>13.5</v>
      </c>
      <c r="F31" s="24"/>
      <c r="G31" s="113" t="s">
        <v>154</v>
      </c>
      <c r="H31" s="346">
        <v>2.0000000000000002E-5</v>
      </c>
      <c r="I31" s="299"/>
      <c r="J31" s="329">
        <f>'Dados de Entrada'!O28</f>
        <v>44.88</v>
      </c>
      <c r="K31" s="299"/>
      <c r="L31" s="135">
        <f t="shared" si="5"/>
        <v>1.1668800000000001E-3</v>
      </c>
      <c r="M31" s="114">
        <f t="shared" si="6"/>
        <v>8.9760000000000013E-4</v>
      </c>
    </row>
    <row r="32" spans="1:13" ht="13" x14ac:dyDescent="0.3">
      <c r="A32" s="338"/>
      <c r="B32" s="321"/>
      <c r="C32" s="116"/>
      <c r="D32" s="89" t="s">
        <v>155</v>
      </c>
      <c r="E32" s="117">
        <v>24</v>
      </c>
      <c r="F32" s="24"/>
      <c r="G32" s="113" t="s">
        <v>156</v>
      </c>
      <c r="H32" s="346">
        <v>6.0000000000000002E-5</v>
      </c>
      <c r="I32" s="299"/>
      <c r="J32" s="329">
        <f>'Dados de Entrada'!O29</f>
        <v>40.9</v>
      </c>
      <c r="K32" s="299"/>
      <c r="L32" s="135">
        <f t="shared" si="5"/>
        <v>3.1902000000000002E-3</v>
      </c>
      <c r="M32" s="114">
        <f t="shared" si="6"/>
        <v>2.454E-3</v>
      </c>
    </row>
    <row r="33" spans="1:13" ht="13" x14ac:dyDescent="0.3">
      <c r="A33" s="338"/>
      <c r="B33" s="321"/>
      <c r="C33" s="313" t="s">
        <v>187</v>
      </c>
      <c r="D33" s="255"/>
      <c r="E33" s="106">
        <f>'Dados de Entrada'!O21</f>
        <v>1200</v>
      </c>
      <c r="F33" s="24"/>
      <c r="G33" s="324" t="s">
        <v>158</v>
      </c>
      <c r="H33" s="298"/>
      <c r="I33" s="298"/>
      <c r="J33" s="298"/>
      <c r="K33" s="298"/>
      <c r="L33" s="136">
        <f t="shared" ref="L33:M33" si="7">SUM(L28:L32)</f>
        <v>0.17990622000000003</v>
      </c>
      <c r="M33" s="136">
        <f t="shared" si="7"/>
        <v>0.1383894</v>
      </c>
    </row>
    <row r="34" spans="1:13" ht="13" x14ac:dyDescent="0.3">
      <c r="A34" s="338"/>
      <c r="B34" s="321"/>
      <c r="C34" s="313" t="s">
        <v>188</v>
      </c>
      <c r="D34" s="255"/>
      <c r="E34" s="106">
        <f>'Dados de Entrada'!O22/24</f>
        <v>9.0568583333333326</v>
      </c>
      <c r="F34" s="24"/>
      <c r="G34" s="344" t="s">
        <v>160</v>
      </c>
      <c r="H34" s="298"/>
      <c r="I34" s="298"/>
      <c r="J34" s="298"/>
      <c r="K34" s="298"/>
      <c r="L34" s="100" t="s">
        <v>124</v>
      </c>
      <c r="M34" s="100" t="s">
        <v>125</v>
      </c>
    </row>
    <row r="35" spans="1:13" ht="13" x14ac:dyDescent="0.3">
      <c r="A35" s="338"/>
      <c r="B35" s="321"/>
      <c r="C35" s="313" t="s">
        <v>161</v>
      </c>
      <c r="D35" s="255"/>
      <c r="E35" s="119">
        <f ca="1">0.05*(E17+E20+E27+E29+E33+E34)</f>
        <v>254.02007549198012</v>
      </c>
      <c r="F35" s="24"/>
      <c r="G35" s="345" t="s">
        <v>162</v>
      </c>
      <c r="H35" s="304"/>
      <c r="I35" s="304"/>
      <c r="J35" s="304"/>
      <c r="K35" s="304"/>
      <c r="L35" s="120">
        <f>'Dados de Entrada'!O31</f>
        <v>170</v>
      </c>
      <c r="M35" s="120">
        <f>'Dados de Entrada'!O31</f>
        <v>170</v>
      </c>
    </row>
    <row r="36" spans="1:13" ht="13" x14ac:dyDescent="0.3">
      <c r="A36" s="24"/>
      <c r="B36" s="24"/>
      <c r="C36" s="318" t="s">
        <v>163</v>
      </c>
      <c r="D36" s="298"/>
      <c r="E36" s="97">
        <f ca="1">E33+E35+E29+E34</f>
        <v>1631.8269338253135</v>
      </c>
      <c r="F36" s="24"/>
      <c r="G36" s="333" t="s">
        <v>164</v>
      </c>
      <c r="H36" s="301"/>
      <c r="I36" s="301"/>
      <c r="J36" s="301"/>
      <c r="K36" s="301"/>
      <c r="L36" s="121">
        <f>'Dados de Entrada'!O35</f>
        <v>250</v>
      </c>
      <c r="M36" s="121">
        <f>'Dados de Entrada'!O35</f>
        <v>250</v>
      </c>
    </row>
    <row r="37" spans="1:13" ht="13" x14ac:dyDescent="0.3">
      <c r="A37" s="24"/>
      <c r="B37" s="24"/>
      <c r="C37" s="334" t="s">
        <v>165</v>
      </c>
      <c r="D37" s="298"/>
      <c r="E37" s="122">
        <f ca="1">$E$14+$E$17+$E$27+$E$36+E20</f>
        <v>10920.255836995584</v>
      </c>
      <c r="F37" s="24"/>
      <c r="G37" s="318" t="s">
        <v>166</v>
      </c>
      <c r="H37" s="298"/>
      <c r="I37" s="298"/>
      <c r="J37" s="298"/>
      <c r="K37" s="298"/>
      <c r="L37" s="123">
        <f t="shared" ref="L37:M37" si="8">L35/L36</f>
        <v>0.68</v>
      </c>
      <c r="M37" s="123">
        <f t="shared" si="8"/>
        <v>0.68</v>
      </c>
    </row>
    <row r="38" spans="1:13" ht="13" x14ac:dyDescent="0.3">
      <c r="A38" s="24"/>
      <c r="B38" s="24"/>
      <c r="C38" s="336" t="s">
        <v>167</v>
      </c>
      <c r="D38" s="301"/>
      <c r="E38" s="124">
        <f>BDI!B18</f>
        <v>0.21757290640394089</v>
      </c>
      <c r="F38" s="24"/>
      <c r="G38" s="335" t="s">
        <v>168</v>
      </c>
      <c r="H38" s="298"/>
      <c r="I38" s="298"/>
      <c r="J38" s="298"/>
      <c r="K38" s="298"/>
      <c r="L38" s="100" t="s">
        <v>124</v>
      </c>
      <c r="M38" s="100" t="s">
        <v>125</v>
      </c>
    </row>
    <row r="39" spans="1:13" ht="13" x14ac:dyDescent="0.3">
      <c r="A39" s="24"/>
      <c r="B39" s="24"/>
      <c r="C39" s="348" t="s">
        <v>169</v>
      </c>
      <c r="D39" s="299"/>
      <c r="E39" s="125">
        <f ca="1">E37*(1+E38)</f>
        <v>13296.207638125314</v>
      </c>
      <c r="F39" s="24"/>
      <c r="G39" s="315" t="s">
        <v>170</v>
      </c>
      <c r="H39" s="255"/>
      <c r="I39" s="255"/>
      <c r="J39" s="255"/>
      <c r="K39" s="255"/>
      <c r="L39" s="126">
        <f t="shared" ref="L39:M39" si="9">L16</f>
        <v>0.26015495999999999</v>
      </c>
      <c r="M39" s="126">
        <f t="shared" si="9"/>
        <v>0.20011919999999997</v>
      </c>
    </row>
    <row r="40" spans="1:13" ht="13" x14ac:dyDescent="0.3">
      <c r="A40" s="24"/>
      <c r="B40" s="24"/>
      <c r="C40" s="24"/>
      <c r="D40" s="24"/>
      <c r="E40" s="24"/>
      <c r="F40" s="24"/>
      <c r="G40" s="315" t="s">
        <v>171</v>
      </c>
      <c r="H40" s="255"/>
      <c r="I40" s="255"/>
      <c r="J40" s="255"/>
      <c r="K40" s="255"/>
      <c r="L40" s="127">
        <f t="shared" ref="L40:M40" si="10">L20</f>
        <v>3.5222641509433963</v>
      </c>
      <c r="M40" s="127">
        <f t="shared" si="10"/>
        <v>2.7094339622641508</v>
      </c>
    </row>
    <row r="41" spans="1:13" ht="13" x14ac:dyDescent="0.3">
      <c r="A41" s="24"/>
      <c r="B41" s="24"/>
      <c r="C41" s="24"/>
      <c r="D41" s="24"/>
      <c r="E41" s="24"/>
      <c r="F41" s="24"/>
      <c r="G41" s="315" t="s">
        <v>172</v>
      </c>
      <c r="H41" s="255"/>
      <c r="I41" s="255"/>
      <c r="J41" s="255"/>
      <c r="K41" s="255"/>
      <c r="L41" s="127">
        <f t="shared" ref="L41:M41" ca="1" si="11">L25</f>
        <v>0.91144623150094917</v>
      </c>
      <c r="M41" s="127">
        <f t="shared" ca="1" si="11"/>
        <v>0.70111248576996088</v>
      </c>
    </row>
    <row r="42" spans="1:13" ht="13" x14ac:dyDescent="0.3">
      <c r="A42" s="24"/>
      <c r="B42" s="24"/>
      <c r="C42" s="24"/>
      <c r="D42" s="24"/>
      <c r="E42" s="24"/>
      <c r="F42" s="24"/>
      <c r="G42" s="315" t="s">
        <v>173</v>
      </c>
      <c r="H42" s="255"/>
      <c r="I42" s="255"/>
      <c r="J42" s="255"/>
      <c r="K42" s="255"/>
      <c r="L42" s="127">
        <f t="shared" ref="L42:M42" si="12">L33</f>
        <v>0.17990622000000003</v>
      </c>
      <c r="M42" s="127">
        <f t="shared" si="12"/>
        <v>0.1383894</v>
      </c>
    </row>
    <row r="43" spans="1:13" ht="13" x14ac:dyDescent="0.3">
      <c r="A43" s="24"/>
      <c r="B43" s="24"/>
      <c r="C43" s="24"/>
      <c r="D43" s="24"/>
      <c r="E43" s="24"/>
      <c r="F43" s="24"/>
      <c r="G43" s="315" t="s">
        <v>174</v>
      </c>
      <c r="H43" s="255"/>
      <c r="I43" s="255"/>
      <c r="J43" s="255"/>
      <c r="K43" s="255"/>
      <c r="L43" s="127">
        <f t="shared" ref="L43:M43" si="13">L37</f>
        <v>0.68</v>
      </c>
      <c r="M43" s="127">
        <f t="shared" si="13"/>
        <v>0.68</v>
      </c>
    </row>
    <row r="44" spans="1:13" ht="13" x14ac:dyDescent="0.3">
      <c r="A44" s="24"/>
      <c r="B44" s="24"/>
      <c r="C44" s="24"/>
      <c r="D44" s="24"/>
      <c r="E44" s="128"/>
      <c r="F44" s="24"/>
      <c r="G44" s="318" t="s">
        <v>175</v>
      </c>
      <c r="H44" s="298"/>
      <c r="I44" s="298"/>
      <c r="J44" s="298"/>
      <c r="K44" s="299"/>
      <c r="L44" s="129">
        <f t="shared" ref="L44:M44" ca="1" si="14">SUM(L39:L43)</f>
        <v>5.5537715624443456</v>
      </c>
      <c r="M44" s="129">
        <f t="shared" ca="1" si="14"/>
        <v>4.4290550480341118</v>
      </c>
    </row>
    <row r="45" spans="1:13" ht="13" x14ac:dyDescent="0.3">
      <c r="A45" s="24"/>
      <c r="B45" s="24"/>
      <c r="C45" s="24"/>
      <c r="D45" s="24"/>
      <c r="E45" s="24"/>
      <c r="F45" s="24"/>
      <c r="G45" s="336" t="s">
        <v>167</v>
      </c>
      <c r="H45" s="301"/>
      <c r="I45" s="301"/>
      <c r="J45" s="301"/>
      <c r="K45" s="301"/>
      <c r="L45" s="130">
        <f>BDI!B18</f>
        <v>0.21757290640394089</v>
      </c>
      <c r="M45" s="130">
        <f>BDI!B18</f>
        <v>0.21757290640394089</v>
      </c>
    </row>
    <row r="46" spans="1:13" ht="13" x14ac:dyDescent="0.3">
      <c r="A46" s="24"/>
      <c r="B46" s="24"/>
      <c r="C46" s="24"/>
      <c r="D46" s="131"/>
      <c r="E46" s="24"/>
      <c r="F46" s="24"/>
      <c r="G46" s="347" t="s">
        <v>176</v>
      </c>
      <c r="H46" s="298"/>
      <c r="I46" s="298"/>
      <c r="J46" s="298"/>
      <c r="K46" s="299"/>
      <c r="L46" s="132">
        <f t="shared" ref="L46:M46" ca="1" si="15">L44*(1+L45)</f>
        <v>6.7621217827889177</v>
      </c>
      <c r="M46" s="132">
        <f t="shared" ca="1" si="15"/>
        <v>5.3926974274579393</v>
      </c>
    </row>
  </sheetData>
  <mergeCells count="80">
    <mergeCell ref="G43:K43"/>
    <mergeCell ref="G44:K44"/>
    <mergeCell ref="G45:K45"/>
    <mergeCell ref="G46:K46"/>
    <mergeCell ref="C39:D39"/>
    <mergeCell ref="G39:K39"/>
    <mergeCell ref="G40:K40"/>
    <mergeCell ref="G41:K41"/>
    <mergeCell ref="G42:K42"/>
    <mergeCell ref="A1:B35"/>
    <mergeCell ref="C2:M3"/>
    <mergeCell ref="D4:E4"/>
    <mergeCell ref="C6:E7"/>
    <mergeCell ref="G6:M7"/>
    <mergeCell ref="C8:E8"/>
    <mergeCell ref="M9:M10"/>
    <mergeCell ref="H30:I30"/>
    <mergeCell ref="C34:D34"/>
    <mergeCell ref="G34:K34"/>
    <mergeCell ref="C35:D35"/>
    <mergeCell ref="G35:K35"/>
    <mergeCell ref="J30:K30"/>
    <mergeCell ref="H31:I31"/>
    <mergeCell ref="J31:K31"/>
    <mergeCell ref="H32:I32"/>
    <mergeCell ref="C36:D36"/>
    <mergeCell ref="G36:K36"/>
    <mergeCell ref="C37:D37"/>
    <mergeCell ref="G37:K37"/>
    <mergeCell ref="G38:K38"/>
    <mergeCell ref="C38:D38"/>
    <mergeCell ref="J32:K32"/>
    <mergeCell ref="C33:D33"/>
    <mergeCell ref="G33:K33"/>
    <mergeCell ref="C27:D27"/>
    <mergeCell ref="H27:I27"/>
    <mergeCell ref="C29:D29"/>
    <mergeCell ref="H29:I29"/>
    <mergeCell ref="J29:K29"/>
    <mergeCell ref="J27:K27"/>
    <mergeCell ref="C28:D28"/>
    <mergeCell ref="H28:I28"/>
    <mergeCell ref="J28:K28"/>
    <mergeCell ref="C24:D24"/>
    <mergeCell ref="G24:K24"/>
    <mergeCell ref="C25:D25"/>
    <mergeCell ref="G25:K25"/>
    <mergeCell ref="C26:D26"/>
    <mergeCell ref="G26:K26"/>
    <mergeCell ref="C22:D22"/>
    <mergeCell ref="G22:K22"/>
    <mergeCell ref="C23:D23"/>
    <mergeCell ref="G23:K23"/>
    <mergeCell ref="G8:L8"/>
    <mergeCell ref="G9:K10"/>
    <mergeCell ref="L9:L10"/>
    <mergeCell ref="C19:D19"/>
    <mergeCell ref="G19:K19"/>
    <mergeCell ref="C20:D20"/>
    <mergeCell ref="G20:K20"/>
    <mergeCell ref="C21:D21"/>
    <mergeCell ref="G21:K21"/>
    <mergeCell ref="C16:D16"/>
    <mergeCell ref="G16:K16"/>
    <mergeCell ref="C17:D17"/>
    <mergeCell ref="G17:K17"/>
    <mergeCell ref="C18:D18"/>
    <mergeCell ref="G18:K18"/>
    <mergeCell ref="C13:D13"/>
    <mergeCell ref="G13:K13"/>
    <mergeCell ref="C14:D14"/>
    <mergeCell ref="G14:K14"/>
    <mergeCell ref="C15:D15"/>
    <mergeCell ref="G15:K15"/>
    <mergeCell ref="C9:D9"/>
    <mergeCell ref="C10:D10"/>
    <mergeCell ref="C11:D11"/>
    <mergeCell ref="G11:K11"/>
    <mergeCell ref="C12:D12"/>
    <mergeCell ref="G12:K12"/>
  </mergeCells>
  <pageMargins left="0.511811024" right="0.511811024" top="0.78740157499999996" bottom="0.78740157499999996" header="0.31496062000000002" footer="0.31496062000000002"/>
  <pageSetup paperSize="9" scale="69" fitToHeight="6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9900"/>
    <outlinePr summaryBelow="0" summaryRight="0"/>
  </sheetPr>
  <dimension ref="A1:M45"/>
  <sheetViews>
    <sheetView showGridLines="0" topLeftCell="A17" workbookViewId="0">
      <selection activeCell="L11" sqref="L11"/>
    </sheetView>
  </sheetViews>
  <sheetFormatPr defaultColWidth="12.6328125" defaultRowHeight="15.75" customHeight="1" x14ac:dyDescent="0.25"/>
  <cols>
    <col min="1" max="2" width="0.36328125" customWidth="1"/>
    <col min="3" max="3" width="10.08984375" customWidth="1"/>
    <col min="4" max="4" width="37.6328125" customWidth="1"/>
    <col min="5" max="5" width="11.36328125" customWidth="1"/>
    <col min="6" max="6" width="3.90625" customWidth="1"/>
    <col min="7" max="7" width="13.90625" customWidth="1"/>
    <col min="8" max="11" width="6.36328125" customWidth="1"/>
    <col min="12" max="13" width="15.08984375" customWidth="1"/>
  </cols>
  <sheetData>
    <row r="1" spans="1:13" ht="1.5" customHeight="1" x14ac:dyDescent="0.3">
      <c r="A1" s="337"/>
      <c r="B1" s="305"/>
      <c r="C1" s="24"/>
      <c r="D1" s="24"/>
      <c r="E1" s="24"/>
      <c r="F1" s="24"/>
      <c r="G1" s="82"/>
      <c r="H1" s="82"/>
      <c r="I1" s="82"/>
      <c r="J1" s="82"/>
      <c r="K1" s="82"/>
      <c r="L1" s="83"/>
      <c r="M1" s="84"/>
    </row>
    <row r="2" spans="1:13" ht="12.5" x14ac:dyDescent="0.25">
      <c r="A2" s="338"/>
      <c r="B2" s="321"/>
      <c r="C2" s="339" t="s">
        <v>16</v>
      </c>
      <c r="D2" s="304"/>
      <c r="E2" s="304"/>
      <c r="F2" s="304"/>
      <c r="G2" s="304"/>
      <c r="H2" s="304"/>
      <c r="I2" s="304"/>
      <c r="J2" s="304"/>
      <c r="K2" s="304"/>
      <c r="L2" s="304"/>
      <c r="M2" s="305"/>
    </row>
    <row r="3" spans="1:13" ht="12.5" x14ac:dyDescent="0.25">
      <c r="A3" s="338"/>
      <c r="B3" s="321"/>
      <c r="C3" s="306"/>
      <c r="D3" s="301"/>
      <c r="E3" s="301"/>
      <c r="F3" s="301"/>
      <c r="G3" s="301"/>
      <c r="H3" s="301"/>
      <c r="I3" s="301"/>
      <c r="J3" s="301"/>
      <c r="K3" s="301"/>
      <c r="L3" s="301"/>
      <c r="M3" s="302"/>
    </row>
    <row r="4" spans="1:13" ht="17.5" x14ac:dyDescent="0.3">
      <c r="A4" s="338"/>
      <c r="B4" s="321"/>
      <c r="C4" s="85" t="s">
        <v>103</v>
      </c>
      <c r="D4" s="340" t="str">
        <f>CONCATENATE('Dados de Entrada'!J15,"  -  ",'Dados de Entrada'!J16)</f>
        <v>Mercedes-Benz Sprinter Van 2.2 Cdi 415  -  2016</v>
      </c>
      <c r="E4" s="255"/>
      <c r="F4" s="4"/>
      <c r="G4" s="86"/>
      <c r="H4" s="86"/>
      <c r="I4" s="86"/>
      <c r="J4" s="86"/>
      <c r="K4" s="86"/>
      <c r="L4" s="86"/>
      <c r="M4" s="86"/>
    </row>
    <row r="5" spans="1:13" ht="9" customHeight="1" x14ac:dyDescent="0.3">
      <c r="A5" s="338"/>
      <c r="B5" s="321"/>
      <c r="C5" s="86"/>
      <c r="D5" s="86"/>
      <c r="E5" s="86"/>
      <c r="F5" s="4"/>
      <c r="G5" s="86"/>
      <c r="H5" s="86"/>
      <c r="I5" s="86"/>
      <c r="J5" s="86"/>
      <c r="K5" s="86"/>
      <c r="L5" s="86"/>
      <c r="M5" s="86"/>
    </row>
    <row r="6" spans="1:13" ht="13" x14ac:dyDescent="0.3">
      <c r="A6" s="338"/>
      <c r="B6" s="321"/>
      <c r="C6" s="341" t="s">
        <v>189</v>
      </c>
      <c r="D6" s="304"/>
      <c r="E6" s="305"/>
      <c r="F6" s="24"/>
      <c r="G6" s="342" t="s">
        <v>190</v>
      </c>
      <c r="H6" s="255"/>
      <c r="I6" s="255"/>
      <c r="J6" s="255"/>
      <c r="K6" s="255"/>
      <c r="L6" s="255"/>
      <c r="M6" s="321"/>
    </row>
    <row r="7" spans="1:13" ht="13" x14ac:dyDescent="0.3">
      <c r="A7" s="338"/>
      <c r="B7" s="321"/>
      <c r="C7" s="306"/>
      <c r="D7" s="301"/>
      <c r="E7" s="302"/>
      <c r="F7" s="24"/>
      <c r="G7" s="301"/>
      <c r="H7" s="301"/>
      <c r="I7" s="301"/>
      <c r="J7" s="301"/>
      <c r="K7" s="301"/>
      <c r="L7" s="301"/>
      <c r="M7" s="302"/>
    </row>
    <row r="8" spans="1:13" ht="1.5" customHeight="1" x14ac:dyDescent="0.3">
      <c r="A8" s="338"/>
      <c r="B8" s="321"/>
      <c r="C8" s="313"/>
      <c r="D8" s="255"/>
      <c r="E8" s="255"/>
      <c r="F8" s="24"/>
      <c r="G8" s="313"/>
      <c r="H8" s="255"/>
      <c r="I8" s="255"/>
      <c r="J8" s="255"/>
      <c r="K8" s="255"/>
      <c r="L8" s="321"/>
      <c r="M8" s="24"/>
    </row>
    <row r="9" spans="1:13" ht="13" x14ac:dyDescent="0.3">
      <c r="A9" s="338"/>
      <c r="B9" s="321"/>
      <c r="C9" s="312" t="s">
        <v>106</v>
      </c>
      <c r="D9" s="299"/>
      <c r="E9" s="87" t="s">
        <v>107</v>
      </c>
      <c r="F9" s="24"/>
      <c r="G9" s="322" t="s">
        <v>3</v>
      </c>
      <c r="H9" s="304"/>
      <c r="I9" s="304"/>
      <c r="J9" s="304"/>
      <c r="K9" s="304"/>
      <c r="L9" s="323" t="s">
        <v>108</v>
      </c>
      <c r="M9" s="343" t="s">
        <v>109</v>
      </c>
    </row>
    <row r="10" spans="1:13" ht="13" x14ac:dyDescent="0.3">
      <c r="A10" s="338"/>
      <c r="B10" s="321"/>
      <c r="C10" s="313" t="s">
        <v>110</v>
      </c>
      <c r="D10" s="255"/>
      <c r="E10" s="88">
        <f>E11+E12</f>
        <v>2812.08711008</v>
      </c>
      <c r="F10" s="24"/>
      <c r="G10" s="306"/>
      <c r="H10" s="301"/>
      <c r="I10" s="301"/>
      <c r="J10" s="301"/>
      <c r="K10" s="301"/>
      <c r="L10" s="296"/>
      <c r="M10" s="302"/>
    </row>
    <row r="11" spans="1:13" ht="13" x14ac:dyDescent="0.3">
      <c r="A11" s="338"/>
      <c r="B11" s="321"/>
      <c r="C11" s="314" t="s">
        <v>30</v>
      </c>
      <c r="D11" s="255"/>
      <c r="E11" s="90">
        <f>'Dados de Entrada'!J28</f>
        <v>1762.03</v>
      </c>
      <c r="F11" s="24"/>
      <c r="G11" s="315" t="s">
        <v>111</v>
      </c>
      <c r="H11" s="255"/>
      <c r="I11" s="255"/>
      <c r="J11" s="255"/>
      <c r="K11" s="255"/>
      <c r="L11" s="92">
        <f>'Dados de Entrada'!O11</f>
        <v>842.85</v>
      </c>
      <c r="M11" s="92">
        <f t="shared" ref="M11:M12" si="0">L11</f>
        <v>842.85</v>
      </c>
    </row>
    <row r="12" spans="1:13" ht="13" x14ac:dyDescent="0.3">
      <c r="A12" s="338"/>
      <c r="B12" s="321"/>
      <c r="C12" s="314" t="s">
        <v>112</v>
      </c>
      <c r="D12" s="255"/>
      <c r="E12" s="93">
        <f>'Encargos Sociais'!N53+'Encargos Sociais'!N61</f>
        <v>1050.05711008</v>
      </c>
      <c r="F12" s="24"/>
      <c r="G12" s="315" t="s">
        <v>113</v>
      </c>
      <c r="H12" s="255"/>
      <c r="I12" s="255"/>
      <c r="J12" s="255"/>
      <c r="K12" s="255"/>
      <c r="L12" s="94">
        <f>'Dados de Entrada'!O12</f>
        <v>400</v>
      </c>
      <c r="M12" s="94">
        <f t="shared" si="0"/>
        <v>400</v>
      </c>
    </row>
    <row r="13" spans="1:13" ht="13" x14ac:dyDescent="0.3">
      <c r="A13" s="338"/>
      <c r="B13" s="321"/>
      <c r="C13" s="313" t="s">
        <v>191</v>
      </c>
      <c r="D13" s="255"/>
      <c r="E13" s="95">
        <f>E10*0.15</f>
        <v>421.81306651199998</v>
      </c>
      <c r="F13" s="24"/>
      <c r="G13" s="315" t="s">
        <v>115</v>
      </c>
      <c r="H13" s="255"/>
      <c r="I13" s="255"/>
      <c r="J13" s="255"/>
      <c r="K13" s="255"/>
      <c r="L13" s="96">
        <f>M13/1.3</f>
        <v>38461.538461538461</v>
      </c>
      <c r="M13" s="96">
        <v>50000</v>
      </c>
    </row>
    <row r="14" spans="1:13" ht="13" x14ac:dyDescent="0.3">
      <c r="A14" s="338"/>
      <c r="B14" s="321"/>
      <c r="C14" s="318" t="s">
        <v>116</v>
      </c>
      <c r="D14" s="298"/>
      <c r="E14" s="97">
        <f>E11+E12+E13</f>
        <v>3233.9001765920002</v>
      </c>
      <c r="F14" s="24"/>
      <c r="G14" s="315" t="s">
        <v>117</v>
      </c>
      <c r="H14" s="255"/>
      <c r="I14" s="255"/>
      <c r="J14" s="255"/>
      <c r="K14" s="255"/>
      <c r="L14" s="96">
        <f t="shared" ref="L14:M14" si="1">L13/2</f>
        <v>19230.76923076923</v>
      </c>
      <c r="M14" s="96">
        <f t="shared" si="1"/>
        <v>25000</v>
      </c>
    </row>
    <row r="15" spans="1:13" ht="13" x14ac:dyDescent="0.3">
      <c r="A15" s="338"/>
      <c r="B15" s="321"/>
      <c r="C15" s="312" t="s">
        <v>118</v>
      </c>
      <c r="D15" s="299"/>
      <c r="E15" s="87" t="s">
        <v>107</v>
      </c>
      <c r="F15" s="24"/>
      <c r="G15" s="315" t="s">
        <v>119</v>
      </c>
      <c r="H15" s="255"/>
      <c r="I15" s="255"/>
      <c r="J15" s="255"/>
      <c r="K15" s="255"/>
      <c r="L15" s="98">
        <v>4</v>
      </c>
      <c r="M15" s="98">
        <f>L15</f>
        <v>4</v>
      </c>
    </row>
    <row r="16" spans="1:13" ht="13" x14ac:dyDescent="0.3">
      <c r="A16" s="338"/>
      <c r="B16" s="321"/>
      <c r="C16" s="326" t="s">
        <v>120</v>
      </c>
      <c r="D16" s="299"/>
      <c r="E16" s="69">
        <f ca="1">SUM('Depreciação e Infração'!F68:F90)/'Dados de Entrada'!E$4</f>
        <v>139.89020418242458</v>
      </c>
      <c r="F16" s="24"/>
      <c r="G16" s="324" t="s">
        <v>121</v>
      </c>
      <c r="H16" s="298"/>
      <c r="I16" s="298"/>
      <c r="J16" s="298"/>
      <c r="K16" s="299"/>
      <c r="L16" s="99">
        <f t="shared" ref="L16:M16" si="2">L15*(L11+2*L12)/(L13+2*L14)</f>
        <v>8.5428199999999996E-2</v>
      </c>
      <c r="M16" s="99">
        <f t="shared" si="2"/>
        <v>6.5713999999999995E-2</v>
      </c>
    </row>
    <row r="17" spans="1:13" ht="13" x14ac:dyDescent="0.3">
      <c r="A17" s="338"/>
      <c r="B17" s="321"/>
      <c r="C17" s="318" t="s">
        <v>122</v>
      </c>
      <c r="D17" s="299"/>
      <c r="E17" s="97">
        <f ca="1">E16</f>
        <v>139.89020418242458</v>
      </c>
      <c r="F17" s="24"/>
      <c r="G17" s="316" t="s">
        <v>123</v>
      </c>
      <c r="H17" s="298"/>
      <c r="I17" s="298"/>
      <c r="J17" s="298"/>
      <c r="K17" s="298"/>
      <c r="L17" s="100" t="s">
        <v>124</v>
      </c>
      <c r="M17" s="100" t="s">
        <v>125</v>
      </c>
    </row>
    <row r="18" spans="1:13" ht="13" x14ac:dyDescent="0.3">
      <c r="A18" s="338"/>
      <c r="B18" s="321"/>
      <c r="C18" s="317" t="s">
        <v>126</v>
      </c>
      <c r="D18" s="298"/>
      <c r="E18" s="87" t="s">
        <v>107</v>
      </c>
      <c r="F18" s="24"/>
      <c r="G18" s="315" t="s">
        <v>127</v>
      </c>
      <c r="H18" s="255"/>
      <c r="I18" s="255"/>
      <c r="J18" s="255"/>
      <c r="K18" s="255"/>
      <c r="L18" s="101">
        <f>M18/1.3</f>
        <v>7.6923076923076916</v>
      </c>
      <c r="M18" s="101">
        <v>10</v>
      </c>
    </row>
    <row r="19" spans="1:13" ht="13" x14ac:dyDescent="0.3">
      <c r="A19" s="338"/>
      <c r="B19" s="321"/>
      <c r="C19" s="313" t="s">
        <v>128</v>
      </c>
      <c r="D19" s="255"/>
      <c r="E19" s="102">
        <f ca="1">(((1+'Dados de Entrada'!F11)*(1+'Dados de Entrada'!F12)*(1+'Dados de Entrada'!F13)*(1+'Dados de Entrada'!F14)*(1+'Dados de Entrada'!F15)*(1+'Dados de Entrada'!F16)-1)*'Dados de Entrada'!J17)/'Dados de Entrada'!E4</f>
        <v>1682.328545975507</v>
      </c>
      <c r="F19" s="24"/>
      <c r="G19" s="315" t="s">
        <v>129</v>
      </c>
      <c r="H19" s="255"/>
      <c r="I19" s="255"/>
      <c r="J19" s="255"/>
      <c r="K19" s="255"/>
      <c r="L19" s="103">
        <f>'Dados de Entrada'!O24</f>
        <v>7.18</v>
      </c>
      <c r="M19" s="103">
        <f>'Dados de Entrada'!O24</f>
        <v>7.18</v>
      </c>
    </row>
    <row r="20" spans="1:13" ht="13" x14ac:dyDescent="0.3">
      <c r="A20" s="338"/>
      <c r="B20" s="321"/>
      <c r="C20" s="318" t="s">
        <v>130</v>
      </c>
      <c r="D20" s="298"/>
      <c r="E20" s="97">
        <f ca="1">E19</f>
        <v>1682.328545975507</v>
      </c>
      <c r="F20" s="24"/>
      <c r="G20" s="324" t="s">
        <v>131</v>
      </c>
      <c r="H20" s="298"/>
      <c r="I20" s="298"/>
      <c r="J20" s="298"/>
      <c r="K20" s="298"/>
      <c r="L20" s="99">
        <f t="shared" ref="L20:M20" si="3">L19/L18</f>
        <v>0.93340000000000001</v>
      </c>
      <c r="M20" s="99">
        <f t="shared" si="3"/>
        <v>0.71799999999999997</v>
      </c>
    </row>
    <row r="21" spans="1:13" ht="13" x14ac:dyDescent="0.3">
      <c r="A21" s="338"/>
      <c r="B21" s="321"/>
      <c r="C21" s="317" t="s">
        <v>132</v>
      </c>
      <c r="D21" s="298"/>
      <c r="E21" s="104" t="s">
        <v>107</v>
      </c>
      <c r="F21" s="24"/>
      <c r="G21" s="325" t="s">
        <v>133</v>
      </c>
      <c r="H21" s="298"/>
      <c r="I21" s="298"/>
      <c r="J21" s="298"/>
      <c r="K21" s="298"/>
      <c r="L21" s="100" t="s">
        <v>124</v>
      </c>
      <c r="M21" s="100" t="s">
        <v>125</v>
      </c>
    </row>
    <row r="22" spans="1:13" ht="13" x14ac:dyDescent="0.3">
      <c r="A22" s="338"/>
      <c r="B22" s="321"/>
      <c r="C22" s="313" t="s">
        <v>192</v>
      </c>
      <c r="D22" s="255"/>
      <c r="E22" s="102">
        <f ca="1">(0.024)*SUM('Depreciação e Infração'!G68:G90)/'Dados de Entrada'!E$4</f>
        <v>318.23554954758703</v>
      </c>
      <c r="F22" s="24"/>
      <c r="G22" s="319" t="s">
        <v>135</v>
      </c>
      <c r="H22" s="255"/>
      <c r="I22" s="255"/>
      <c r="J22" s="255"/>
      <c r="K22" s="255"/>
      <c r="L22" s="105">
        <f t="shared" ref="L22:M22" ca="1" si="4">L23*L24</f>
        <v>0.69399733320715196</v>
      </c>
      <c r="M22" s="105">
        <f t="shared" ca="1" si="4"/>
        <v>0.53384410246703995</v>
      </c>
    </row>
    <row r="23" spans="1:13" ht="13" x14ac:dyDescent="0.3">
      <c r="A23" s="338"/>
      <c r="B23" s="321"/>
      <c r="C23" s="313" t="s">
        <v>193</v>
      </c>
      <c r="D23" s="255"/>
      <c r="E23" s="106">
        <f>'Dados de Entrada'!O16/12</f>
        <v>15.193333333333333</v>
      </c>
      <c r="F23" s="24"/>
      <c r="G23" s="320" t="s">
        <v>137</v>
      </c>
      <c r="H23" s="255"/>
      <c r="I23" s="255"/>
      <c r="J23" s="255"/>
      <c r="K23" s="255"/>
      <c r="L23" s="107">
        <f ca="1">M23*1.3</f>
        <v>1.833333333E-6</v>
      </c>
      <c r="M23" s="108">
        <f ca="1">SUM(Manutenção!C2:C24)*12/'Dados de Entrada'!E$4</f>
        <v>1.4102564099999999E-6</v>
      </c>
    </row>
    <row r="24" spans="1:13" ht="13" x14ac:dyDescent="0.3">
      <c r="A24" s="338"/>
      <c r="B24" s="321"/>
      <c r="C24" s="313" t="s">
        <v>194</v>
      </c>
      <c r="D24" s="255"/>
      <c r="E24" s="106">
        <f>'Dados de Entrada'!O17/12</f>
        <v>0</v>
      </c>
      <c r="F24" s="24"/>
      <c r="G24" s="320" t="s">
        <v>139</v>
      </c>
      <c r="H24" s="255"/>
      <c r="I24" s="255"/>
      <c r="J24" s="255"/>
      <c r="K24" s="255"/>
      <c r="L24" s="109">
        <f>M24</f>
        <v>378544</v>
      </c>
      <c r="M24" s="109">
        <f>'Dados de Entrada'!J18</f>
        <v>378544</v>
      </c>
    </row>
    <row r="25" spans="1:13" ht="13" x14ac:dyDescent="0.3">
      <c r="A25" s="338"/>
      <c r="B25" s="321"/>
      <c r="C25" s="327" t="s">
        <v>195</v>
      </c>
      <c r="D25" s="255"/>
      <c r="E25" s="106">
        <f>'Dados de Entrada'!O18/12</f>
        <v>16.666666666666668</v>
      </c>
      <c r="F25" s="24"/>
      <c r="G25" s="324" t="s">
        <v>141</v>
      </c>
      <c r="H25" s="298"/>
      <c r="I25" s="298"/>
      <c r="J25" s="298"/>
      <c r="K25" s="298"/>
      <c r="L25" s="110">
        <f t="shared" ref="L25:M25" ca="1" si="5">L22</f>
        <v>0.69399733320715196</v>
      </c>
      <c r="M25" s="110">
        <f t="shared" ca="1" si="5"/>
        <v>0.53384410246703995</v>
      </c>
    </row>
    <row r="26" spans="1:13" ht="13" x14ac:dyDescent="0.3">
      <c r="A26" s="338"/>
      <c r="B26" s="321"/>
      <c r="C26" s="327" t="s">
        <v>196</v>
      </c>
      <c r="D26" s="255"/>
      <c r="E26" s="106">
        <f>'Dados de Entrada'!O19/12</f>
        <v>12.5</v>
      </c>
      <c r="F26" s="24"/>
      <c r="G26" s="328" t="s">
        <v>143</v>
      </c>
      <c r="H26" s="298"/>
      <c r="I26" s="298"/>
      <c r="J26" s="298"/>
      <c r="K26" s="298"/>
      <c r="L26" s="100" t="s">
        <v>124</v>
      </c>
      <c r="M26" s="100" t="s">
        <v>125</v>
      </c>
    </row>
    <row r="27" spans="1:13" ht="13" x14ac:dyDescent="0.3">
      <c r="A27" s="338"/>
      <c r="B27" s="321"/>
      <c r="C27" s="318" t="s">
        <v>144</v>
      </c>
      <c r="D27" s="299"/>
      <c r="E27" s="97">
        <f ca="1">SUM(E22:E26)</f>
        <v>362.59554954758704</v>
      </c>
      <c r="F27" s="24"/>
      <c r="G27" s="111"/>
      <c r="H27" s="330" t="s">
        <v>137</v>
      </c>
      <c r="I27" s="299"/>
      <c r="J27" s="330" t="s">
        <v>145</v>
      </c>
      <c r="K27" s="299"/>
      <c r="L27" s="112" t="s">
        <v>146</v>
      </c>
      <c r="M27" s="112" t="s">
        <v>146</v>
      </c>
    </row>
    <row r="28" spans="1:13" ht="13" x14ac:dyDescent="0.3">
      <c r="A28" s="338"/>
      <c r="B28" s="321"/>
      <c r="C28" s="332" t="s">
        <v>147</v>
      </c>
      <c r="D28" s="301"/>
      <c r="E28" s="104" t="s">
        <v>107</v>
      </c>
      <c r="F28" s="24"/>
      <c r="G28" s="113" t="s">
        <v>148</v>
      </c>
      <c r="H28" s="349">
        <v>5.2999999999999998E-4</v>
      </c>
      <c r="I28" s="299"/>
      <c r="J28" s="329">
        <f>'Dados de Entrada'!O25</f>
        <v>49.33</v>
      </c>
      <c r="K28" s="299"/>
      <c r="L28" s="114">
        <f t="shared" ref="L28:L31" si="6">H28*J28*1.3</f>
        <v>3.3988369999999997E-2</v>
      </c>
      <c r="M28" s="114">
        <f t="shared" ref="M28:M31" si="7">H28*J28</f>
        <v>2.6144899999999999E-2</v>
      </c>
    </row>
    <row r="29" spans="1:13" ht="13" x14ac:dyDescent="0.3">
      <c r="A29" s="338"/>
      <c r="B29" s="321"/>
      <c r="C29" s="313" t="s">
        <v>149</v>
      </c>
      <c r="D29" s="255"/>
      <c r="E29" s="115">
        <f>(E30*E31)/E32</f>
        <v>75</v>
      </c>
      <c r="F29" s="24"/>
      <c r="G29" s="113" t="s">
        <v>150</v>
      </c>
      <c r="H29" s="349">
        <v>1.25E-4</v>
      </c>
      <c r="I29" s="299"/>
      <c r="J29" s="329">
        <f>'Dados de Entrada'!O26</f>
        <v>42.99</v>
      </c>
      <c r="K29" s="299"/>
      <c r="L29" s="114">
        <f t="shared" si="6"/>
        <v>6.9858749999999999E-3</v>
      </c>
      <c r="M29" s="114">
        <f t="shared" si="7"/>
        <v>5.3737500000000001E-3</v>
      </c>
    </row>
    <row r="30" spans="1:13" ht="13" x14ac:dyDescent="0.3">
      <c r="A30" s="338"/>
      <c r="B30" s="321"/>
      <c r="C30" s="116"/>
      <c r="D30" s="89" t="s">
        <v>151</v>
      </c>
      <c r="E30" s="90">
        <f>'Dados de Entrada'!O20</f>
        <v>300</v>
      </c>
      <c r="F30" s="24"/>
      <c r="G30" s="113" t="s">
        <v>152</v>
      </c>
      <c r="H30" s="349">
        <v>1.25E-4</v>
      </c>
      <c r="I30" s="299"/>
      <c r="J30" s="329">
        <f>'Dados de Entrada'!O27</f>
        <v>46.99</v>
      </c>
      <c r="K30" s="299"/>
      <c r="L30" s="114">
        <f t="shared" si="6"/>
        <v>7.6358750000000012E-3</v>
      </c>
      <c r="M30" s="114">
        <f t="shared" si="7"/>
        <v>5.8737500000000005E-3</v>
      </c>
    </row>
    <row r="31" spans="1:13" ht="13" x14ac:dyDescent="0.3">
      <c r="A31" s="338"/>
      <c r="B31" s="321"/>
      <c r="C31" s="116"/>
      <c r="D31" s="89" t="s">
        <v>153</v>
      </c>
      <c r="E31" s="117">
        <v>6</v>
      </c>
      <c r="F31" s="24"/>
      <c r="G31" s="113" t="s">
        <v>154</v>
      </c>
      <c r="H31" s="349">
        <v>2.0000000000000002E-5</v>
      </c>
      <c r="I31" s="299"/>
      <c r="J31" s="329">
        <f>'Dados de Entrada'!O28</f>
        <v>44.88</v>
      </c>
      <c r="K31" s="299"/>
      <c r="L31" s="114">
        <f t="shared" si="6"/>
        <v>1.1668800000000001E-3</v>
      </c>
      <c r="M31" s="114">
        <f t="shared" si="7"/>
        <v>8.9760000000000013E-4</v>
      </c>
    </row>
    <row r="32" spans="1:13" ht="13" x14ac:dyDescent="0.3">
      <c r="A32" s="338"/>
      <c r="B32" s="321"/>
      <c r="C32" s="116"/>
      <c r="D32" s="89" t="s">
        <v>155</v>
      </c>
      <c r="E32" s="117">
        <v>24</v>
      </c>
      <c r="F32" s="24"/>
      <c r="G32" s="324" t="s">
        <v>158</v>
      </c>
      <c r="H32" s="298"/>
      <c r="I32" s="298"/>
      <c r="J32" s="298"/>
      <c r="K32" s="298"/>
      <c r="L32" s="118">
        <f t="shared" ref="L32:M32" si="8">SUM(L28:L31)</f>
        <v>4.9777000000000002E-2</v>
      </c>
      <c r="M32" s="118">
        <f t="shared" si="8"/>
        <v>3.8289999999999991E-2</v>
      </c>
    </row>
    <row r="33" spans="1:13" ht="13" x14ac:dyDescent="0.3">
      <c r="A33" s="338"/>
      <c r="B33" s="321"/>
      <c r="C33" s="313" t="s">
        <v>197</v>
      </c>
      <c r="D33" s="255"/>
      <c r="E33" s="106">
        <f>'Dados de Entrada'!O21</f>
        <v>1200</v>
      </c>
      <c r="F33" s="24"/>
      <c r="G33" s="344" t="s">
        <v>160</v>
      </c>
      <c r="H33" s="298"/>
      <c r="I33" s="298"/>
      <c r="J33" s="298"/>
      <c r="K33" s="298"/>
      <c r="L33" s="100" t="s">
        <v>124</v>
      </c>
      <c r="M33" s="100" t="s">
        <v>125</v>
      </c>
    </row>
    <row r="34" spans="1:13" ht="13" x14ac:dyDescent="0.3">
      <c r="A34" s="338"/>
      <c r="B34" s="321"/>
      <c r="C34" s="313" t="s">
        <v>198</v>
      </c>
      <c r="D34" s="255"/>
      <c r="E34" s="106">
        <f>'Dados de Entrada'!O22/24</f>
        <v>9.0568583333333326</v>
      </c>
      <c r="F34" s="24"/>
      <c r="G34" s="345" t="s">
        <v>162</v>
      </c>
      <c r="H34" s="304"/>
      <c r="I34" s="304"/>
      <c r="J34" s="304"/>
      <c r="K34" s="304"/>
      <c r="L34" s="120">
        <f>M34</f>
        <v>60</v>
      </c>
      <c r="M34" s="120">
        <f>'Dados de Entrada'!O33</f>
        <v>60</v>
      </c>
    </row>
    <row r="35" spans="1:13" ht="13" x14ac:dyDescent="0.3">
      <c r="A35" s="338"/>
      <c r="B35" s="321"/>
      <c r="C35" s="313" t="s">
        <v>161</v>
      </c>
      <c r="D35" s="255"/>
      <c r="E35" s="119">
        <f ca="1">0.05*(E17+E20+E27+E29+E33+E34)</f>
        <v>173.44355790194263</v>
      </c>
      <c r="F35" s="24"/>
      <c r="G35" s="333" t="s">
        <v>164</v>
      </c>
      <c r="H35" s="301"/>
      <c r="I35" s="301"/>
      <c r="J35" s="301"/>
      <c r="K35" s="301"/>
      <c r="L35" s="121">
        <f>'Dados de Entrada'!O35</f>
        <v>250</v>
      </c>
      <c r="M35" s="121">
        <f>'Dados de Entrada'!O35</f>
        <v>250</v>
      </c>
    </row>
    <row r="36" spans="1:13" ht="13" x14ac:dyDescent="0.3">
      <c r="A36" s="24"/>
      <c r="B36" s="24"/>
      <c r="C36" s="318" t="s">
        <v>163</v>
      </c>
      <c r="D36" s="298"/>
      <c r="E36" s="97">
        <f ca="1">E33+E35+E29+E34</f>
        <v>1457.5004162352759</v>
      </c>
      <c r="F36" s="24"/>
      <c r="G36" s="318" t="s">
        <v>166</v>
      </c>
      <c r="H36" s="298"/>
      <c r="I36" s="298"/>
      <c r="J36" s="298"/>
      <c r="K36" s="298"/>
      <c r="L36" s="123">
        <f t="shared" ref="L36:M36" si="9">L34/L35</f>
        <v>0.24</v>
      </c>
      <c r="M36" s="123">
        <f t="shared" si="9"/>
        <v>0.24</v>
      </c>
    </row>
    <row r="37" spans="1:13" ht="13" x14ac:dyDescent="0.3">
      <c r="A37" s="24"/>
      <c r="B37" s="24"/>
      <c r="C37" s="334" t="s">
        <v>165</v>
      </c>
      <c r="D37" s="298"/>
      <c r="E37" s="122">
        <f ca="1">$E$14+$E$17+$E$27+$E$36+E20</f>
        <v>6876.2148925327947</v>
      </c>
      <c r="F37" s="24"/>
      <c r="G37" s="335" t="s">
        <v>168</v>
      </c>
      <c r="H37" s="298"/>
      <c r="I37" s="298"/>
      <c r="J37" s="298"/>
      <c r="K37" s="298"/>
      <c r="L37" s="100" t="s">
        <v>124</v>
      </c>
      <c r="M37" s="100" t="s">
        <v>125</v>
      </c>
    </row>
    <row r="38" spans="1:13" ht="13" x14ac:dyDescent="0.3">
      <c r="A38" s="24"/>
      <c r="B38" s="24"/>
      <c r="C38" s="336" t="s">
        <v>167</v>
      </c>
      <c r="D38" s="301"/>
      <c r="E38" s="124">
        <f>BDI!B18</f>
        <v>0.21757290640394089</v>
      </c>
      <c r="F38" s="24"/>
      <c r="G38" s="315" t="s">
        <v>170</v>
      </c>
      <c r="H38" s="255"/>
      <c r="I38" s="255"/>
      <c r="J38" s="255"/>
      <c r="K38" s="255"/>
      <c r="L38" s="126">
        <f t="shared" ref="L38:M38" si="10">L16</f>
        <v>8.5428199999999996E-2</v>
      </c>
      <c r="M38" s="126">
        <f t="shared" si="10"/>
        <v>6.5713999999999995E-2</v>
      </c>
    </row>
    <row r="39" spans="1:13" ht="13" x14ac:dyDescent="0.3">
      <c r="A39" s="24"/>
      <c r="B39" s="24"/>
      <c r="C39" s="348" t="s">
        <v>169</v>
      </c>
      <c r="D39" s="299"/>
      <c r="E39" s="125">
        <f ca="1">E37*(1+E38)</f>
        <v>8372.2929517592165</v>
      </c>
      <c r="F39" s="24"/>
      <c r="G39" s="315" t="s">
        <v>171</v>
      </c>
      <c r="H39" s="255"/>
      <c r="I39" s="255"/>
      <c r="J39" s="255"/>
      <c r="K39" s="255"/>
      <c r="L39" s="127">
        <f t="shared" ref="L39:M39" si="11">L20</f>
        <v>0.93340000000000001</v>
      </c>
      <c r="M39" s="127">
        <f t="shared" si="11"/>
        <v>0.71799999999999997</v>
      </c>
    </row>
    <row r="40" spans="1:13" ht="13" x14ac:dyDescent="0.3">
      <c r="A40" s="24"/>
      <c r="B40" s="24"/>
      <c r="C40" s="24"/>
      <c r="D40" s="24"/>
      <c r="E40" s="24"/>
      <c r="F40" s="24"/>
      <c r="G40" s="315" t="s">
        <v>172</v>
      </c>
      <c r="H40" s="255"/>
      <c r="I40" s="255"/>
      <c r="J40" s="255"/>
      <c r="K40" s="255"/>
      <c r="L40" s="127">
        <f t="shared" ref="L40:M40" ca="1" si="12">L25</f>
        <v>0.69399733320715196</v>
      </c>
      <c r="M40" s="127">
        <f t="shared" ca="1" si="12"/>
        <v>0.53384410246703995</v>
      </c>
    </row>
    <row r="41" spans="1:13" ht="13" x14ac:dyDescent="0.3">
      <c r="A41" s="24"/>
      <c r="B41" s="24"/>
      <c r="C41" s="24"/>
      <c r="D41" s="24"/>
      <c r="E41" s="24"/>
      <c r="F41" s="24"/>
      <c r="G41" s="315" t="s">
        <v>173</v>
      </c>
      <c r="H41" s="255"/>
      <c r="I41" s="255"/>
      <c r="J41" s="255"/>
      <c r="K41" s="255"/>
      <c r="L41" s="127">
        <f t="shared" ref="L41:M41" si="13">L32</f>
        <v>4.9777000000000002E-2</v>
      </c>
      <c r="M41" s="127">
        <f t="shared" si="13"/>
        <v>3.8289999999999991E-2</v>
      </c>
    </row>
    <row r="42" spans="1:13" ht="13" x14ac:dyDescent="0.3">
      <c r="A42" s="24"/>
      <c r="B42" s="24"/>
      <c r="C42" s="24"/>
      <c r="D42" s="24"/>
      <c r="E42" s="24"/>
      <c r="F42" s="24"/>
      <c r="G42" s="315" t="s">
        <v>174</v>
      </c>
      <c r="H42" s="255"/>
      <c r="I42" s="255"/>
      <c r="J42" s="255"/>
      <c r="K42" s="255"/>
      <c r="L42" s="127">
        <f t="shared" ref="L42:M42" si="14">L36</f>
        <v>0.24</v>
      </c>
      <c r="M42" s="127">
        <f t="shared" si="14"/>
        <v>0.24</v>
      </c>
    </row>
    <row r="43" spans="1:13" ht="13" x14ac:dyDescent="0.3">
      <c r="A43" s="24"/>
      <c r="B43" s="24"/>
      <c r="C43" s="24"/>
      <c r="D43" s="24"/>
      <c r="E43" s="24"/>
      <c r="F43" s="24"/>
      <c r="G43" s="318" t="s">
        <v>175</v>
      </c>
      <c r="H43" s="298"/>
      <c r="I43" s="298"/>
      <c r="J43" s="298"/>
      <c r="K43" s="299"/>
      <c r="L43" s="129">
        <f t="shared" ref="L43:M43" ca="1" si="15">SUM(L38:L42)</f>
        <v>2.0026025332071518</v>
      </c>
      <c r="M43" s="129">
        <f t="shared" ca="1" si="15"/>
        <v>1.5958481024670399</v>
      </c>
    </row>
    <row r="44" spans="1:13" ht="13" x14ac:dyDescent="0.3">
      <c r="A44" s="24"/>
      <c r="B44" s="24"/>
      <c r="C44" s="24"/>
      <c r="D44" s="24"/>
      <c r="E44" s="128"/>
      <c r="F44" s="24"/>
      <c r="G44" s="336" t="s">
        <v>167</v>
      </c>
      <c r="H44" s="301"/>
      <c r="I44" s="301"/>
      <c r="J44" s="301"/>
      <c r="K44" s="301"/>
      <c r="L44" s="130">
        <f>BDI!B18</f>
        <v>0.21757290640394089</v>
      </c>
      <c r="M44" s="130">
        <f>BDI!B18</f>
        <v>0.21757290640394089</v>
      </c>
    </row>
    <row r="45" spans="1:13" ht="13" x14ac:dyDescent="0.3">
      <c r="A45" s="24"/>
      <c r="B45" s="24"/>
      <c r="C45" s="24"/>
      <c r="D45" s="24"/>
      <c r="E45" s="24"/>
      <c r="F45" s="24"/>
      <c r="G45" s="347" t="s">
        <v>176</v>
      </c>
      <c r="H45" s="298"/>
      <c r="I45" s="298"/>
      <c r="J45" s="298"/>
      <c r="K45" s="299"/>
      <c r="L45" s="132">
        <f t="shared" ref="L45:M45" ca="1" si="16">L43*(1+L44)</f>
        <v>2.4383145867289264</v>
      </c>
      <c r="M45" s="132">
        <f t="shared" ca="1" si="16"/>
        <v>1.9430614123000078</v>
      </c>
    </row>
  </sheetData>
  <mergeCells count="78">
    <mergeCell ref="G42:K42"/>
    <mergeCell ref="G43:K43"/>
    <mergeCell ref="G44:K44"/>
    <mergeCell ref="G45:K45"/>
    <mergeCell ref="C35:D35"/>
    <mergeCell ref="G35:K35"/>
    <mergeCell ref="C36:D36"/>
    <mergeCell ref="G36:K36"/>
    <mergeCell ref="C37:D37"/>
    <mergeCell ref="G37:K37"/>
    <mergeCell ref="G38:K38"/>
    <mergeCell ref="C38:D38"/>
    <mergeCell ref="C39:D39"/>
    <mergeCell ref="G39:K39"/>
    <mergeCell ref="G40:K40"/>
    <mergeCell ref="G41:K41"/>
    <mergeCell ref="A1:B35"/>
    <mergeCell ref="C2:M3"/>
    <mergeCell ref="D4:E4"/>
    <mergeCell ref="C6:E7"/>
    <mergeCell ref="G6:M7"/>
    <mergeCell ref="C8:E8"/>
    <mergeCell ref="M9:M10"/>
    <mergeCell ref="G8:L8"/>
    <mergeCell ref="G9:K10"/>
    <mergeCell ref="L9:L10"/>
    <mergeCell ref="C24:D24"/>
    <mergeCell ref="G24:K24"/>
    <mergeCell ref="C25:D25"/>
    <mergeCell ref="G25:K25"/>
    <mergeCell ref="C26:D26"/>
    <mergeCell ref="G26:K26"/>
    <mergeCell ref="G32:K32"/>
    <mergeCell ref="C33:D33"/>
    <mergeCell ref="G33:K33"/>
    <mergeCell ref="C34:D34"/>
    <mergeCell ref="G34:K34"/>
    <mergeCell ref="C28:D28"/>
    <mergeCell ref="H28:I28"/>
    <mergeCell ref="J28:K28"/>
    <mergeCell ref="J30:K30"/>
    <mergeCell ref="H31:I31"/>
    <mergeCell ref="J31:K31"/>
    <mergeCell ref="C29:D29"/>
    <mergeCell ref="H29:I29"/>
    <mergeCell ref="J29:K29"/>
    <mergeCell ref="H30:I30"/>
    <mergeCell ref="C22:D22"/>
    <mergeCell ref="G22:K22"/>
    <mergeCell ref="C23:D23"/>
    <mergeCell ref="G23:K23"/>
    <mergeCell ref="J27:K27"/>
    <mergeCell ref="C27:D27"/>
    <mergeCell ref="H27:I27"/>
    <mergeCell ref="C19:D19"/>
    <mergeCell ref="G19:K19"/>
    <mergeCell ref="C20:D20"/>
    <mergeCell ref="G20:K20"/>
    <mergeCell ref="C21:D21"/>
    <mergeCell ref="G21:K21"/>
    <mergeCell ref="C16:D16"/>
    <mergeCell ref="G16:K16"/>
    <mergeCell ref="C17:D17"/>
    <mergeCell ref="G17:K17"/>
    <mergeCell ref="C18:D18"/>
    <mergeCell ref="G18:K18"/>
    <mergeCell ref="C13:D13"/>
    <mergeCell ref="G13:K13"/>
    <mergeCell ref="C14:D14"/>
    <mergeCell ref="G14:K14"/>
    <mergeCell ref="C15:D15"/>
    <mergeCell ref="G15:K15"/>
    <mergeCell ref="C9:D9"/>
    <mergeCell ref="C10:D10"/>
    <mergeCell ref="C11:D11"/>
    <mergeCell ref="G11:K11"/>
    <mergeCell ref="C12:D12"/>
    <mergeCell ref="G12:K12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66666"/>
    <outlinePr summaryBelow="0" summaryRight="0"/>
    <pageSetUpPr fitToPage="1"/>
  </sheetPr>
  <dimension ref="A1:H122"/>
  <sheetViews>
    <sheetView topLeftCell="A16" workbookViewId="0">
      <selection activeCell="I36" sqref="I36"/>
    </sheetView>
  </sheetViews>
  <sheetFormatPr defaultColWidth="12.6328125" defaultRowHeight="15.75" customHeight="1" x14ac:dyDescent="0.25"/>
  <cols>
    <col min="1" max="3" width="10.81640625" customWidth="1"/>
    <col min="4" max="4" width="13.6328125" customWidth="1"/>
    <col min="5" max="5" width="14.36328125" customWidth="1"/>
    <col min="6" max="6" width="13.36328125" customWidth="1"/>
    <col min="7" max="7" width="10.81640625" customWidth="1"/>
    <col min="8" max="8" width="11.36328125" hidden="1" customWidth="1"/>
  </cols>
  <sheetData>
    <row r="1" spans="1:8" ht="13" x14ac:dyDescent="0.25">
      <c r="A1" s="353" t="s">
        <v>321</v>
      </c>
      <c r="B1" s="255"/>
      <c r="C1" s="255"/>
      <c r="D1" s="255"/>
      <c r="E1" s="255"/>
      <c r="F1" s="255"/>
      <c r="G1" s="255"/>
      <c r="H1" s="137"/>
    </row>
    <row r="2" spans="1:8" ht="13" x14ac:dyDescent="0.25">
      <c r="A2" s="350" t="s">
        <v>199</v>
      </c>
      <c r="B2" s="255"/>
      <c r="C2" s="255"/>
      <c r="D2" s="255"/>
      <c r="E2" s="255"/>
      <c r="F2" s="255"/>
      <c r="G2" s="255"/>
      <c r="H2" s="138"/>
    </row>
    <row r="3" spans="1:8" ht="13" x14ac:dyDescent="0.25">
      <c r="A3" s="139"/>
      <c r="B3" s="139"/>
      <c r="C3" s="139"/>
      <c r="D3" s="139"/>
      <c r="E3" s="139"/>
      <c r="F3" s="139"/>
      <c r="G3" s="140"/>
      <c r="H3" s="140"/>
    </row>
    <row r="4" spans="1:8" ht="13" x14ac:dyDescent="0.25">
      <c r="A4" s="354" t="s">
        <v>10</v>
      </c>
      <c r="B4" s="255"/>
      <c r="C4" s="255"/>
      <c r="D4" s="255"/>
      <c r="E4" s="255"/>
      <c r="F4" s="255"/>
      <c r="G4" s="255"/>
      <c r="H4" s="137"/>
    </row>
    <row r="5" spans="1:8" ht="13" x14ac:dyDescent="0.25">
      <c r="A5" s="350" t="s">
        <v>200</v>
      </c>
      <c r="B5" s="255"/>
      <c r="C5" s="255"/>
      <c r="D5" s="255"/>
      <c r="E5" s="255"/>
      <c r="F5" s="255"/>
      <c r="G5" s="255"/>
      <c r="H5" s="138"/>
    </row>
    <row r="6" spans="1:8" ht="13" x14ac:dyDescent="0.25">
      <c r="A6" s="139"/>
      <c r="B6" s="139"/>
      <c r="C6" s="139"/>
      <c r="D6" s="139"/>
      <c r="E6" s="139"/>
      <c r="F6" s="139"/>
      <c r="G6" s="140"/>
      <c r="H6" s="140"/>
    </row>
    <row r="7" spans="1:8" ht="13" x14ac:dyDescent="0.25">
      <c r="A7" s="354" t="s">
        <v>201</v>
      </c>
      <c r="B7" s="255"/>
      <c r="C7" s="255"/>
      <c r="D7" s="255"/>
      <c r="E7" s="255"/>
      <c r="F7" s="255"/>
      <c r="G7" s="255"/>
      <c r="H7" s="137"/>
    </row>
    <row r="8" spans="1:8" ht="13" x14ac:dyDescent="0.25">
      <c r="A8" s="350" t="s">
        <v>202</v>
      </c>
      <c r="B8" s="255"/>
      <c r="C8" s="255"/>
      <c r="D8" s="255"/>
      <c r="E8" s="255"/>
      <c r="F8" s="255"/>
      <c r="G8" s="255"/>
      <c r="H8" s="138"/>
    </row>
    <row r="9" spans="1:8" ht="13" x14ac:dyDescent="0.25">
      <c r="A9" s="139"/>
      <c r="B9" s="139"/>
      <c r="C9" s="139"/>
      <c r="D9" s="139"/>
      <c r="E9" s="139"/>
      <c r="F9" s="139"/>
      <c r="G9" s="140"/>
      <c r="H9" s="140"/>
    </row>
    <row r="10" spans="1:8" ht="13" x14ac:dyDescent="0.25">
      <c r="A10" s="354" t="s">
        <v>203</v>
      </c>
      <c r="B10" s="255"/>
      <c r="C10" s="255"/>
      <c r="D10" s="255"/>
      <c r="E10" s="255"/>
      <c r="F10" s="255"/>
      <c r="G10" s="255"/>
      <c r="H10" s="137"/>
    </row>
    <row r="11" spans="1:8" ht="13" x14ac:dyDescent="0.25">
      <c r="A11" s="350" t="s">
        <v>204</v>
      </c>
      <c r="B11" s="255"/>
      <c r="C11" s="255"/>
      <c r="D11" s="255"/>
      <c r="E11" s="255"/>
      <c r="F11" s="255"/>
      <c r="G11" s="255"/>
      <c r="H11" s="138"/>
    </row>
    <row r="12" spans="1:8" ht="13" x14ac:dyDescent="0.25">
      <c r="A12" s="139"/>
      <c r="B12" s="139"/>
      <c r="C12" s="139"/>
      <c r="D12" s="139"/>
      <c r="E12" s="139"/>
      <c r="F12" s="139"/>
      <c r="G12" s="140"/>
      <c r="H12" s="140"/>
    </row>
    <row r="13" spans="1:8" ht="16.5" customHeight="1" x14ac:dyDescent="0.25">
      <c r="A13" s="141"/>
      <c r="B13" s="351" t="s">
        <v>321</v>
      </c>
      <c r="C13" s="298"/>
      <c r="D13" s="298"/>
      <c r="E13" s="298"/>
      <c r="F13" s="299"/>
      <c r="G13" s="142"/>
      <c r="H13" s="142"/>
    </row>
    <row r="14" spans="1:8" ht="26" x14ac:dyDescent="0.25">
      <c r="A14" s="143"/>
      <c r="B14" s="144" t="s">
        <v>205</v>
      </c>
      <c r="C14" s="144" t="s">
        <v>206</v>
      </c>
      <c r="D14" s="144" t="s">
        <v>207</v>
      </c>
      <c r="E14" s="144" t="s">
        <v>208</v>
      </c>
      <c r="F14" s="144" t="s">
        <v>209</v>
      </c>
      <c r="G14" s="142"/>
      <c r="H14" s="145"/>
    </row>
    <row r="15" spans="1:8" ht="13" x14ac:dyDescent="0.25">
      <c r="A15" s="146"/>
      <c r="B15" s="147">
        <v>0</v>
      </c>
      <c r="C15" s="148">
        <f t="shared" ref="C15:C37" si="0">-0.0200788202748401 +0.691025454662637/(B15+1) -1.84853650131968/(B15+1)^2 +1.33466828255716/(B15+1)^3</f>
        <v>0.15707841562527713</v>
      </c>
      <c r="D15" s="149">
        <f ca="1">IF(YEAR(NOW())-'Dados de Entrada'!J$11&gt;B15,D16/(1-C15),IF(YEAR(NOW())-'Dados de Entrada'!J$11&lt;B15,D14*(1-C14),'Dados de Entrada'!J$12))</f>
        <v>482117.75527902611</v>
      </c>
      <c r="E15" s="149">
        <f t="shared" ref="E15:E36" ca="1" si="1">D15-D16</f>
        <v>75730.293144044525</v>
      </c>
      <c r="F15" s="150" t="str">
        <f ca="1">IF(YEAR(NOW())-'Dados de Entrada'!J$11&gt;B15,"",IF('Dados de Entrada'!E$4/12&gt;='Dados de Entrada'!J$11+B15+1-YEAR(NOW()),E15,IF('Dados de Entrada'!E$4/12&gt;'Dados de Entrada'!J$11+B15-YEAR(NOW()),('Dados de Entrada'!E$4/12-ROUNDDOWN('Dados de Entrada'!E$4/12,0))*E15,"")))</f>
        <v/>
      </c>
      <c r="G15" s="145" t="str">
        <f t="shared" ref="G15:G37" ca="1" si="2">IF(OR(F15="",E15=0),"",F15/E15*D15)</f>
        <v/>
      </c>
      <c r="H15" s="151">
        <f ca="1">D15</f>
        <v>482117.75527902611</v>
      </c>
    </row>
    <row r="16" spans="1:8" ht="13" x14ac:dyDescent="0.25">
      <c r="A16" s="146"/>
      <c r="B16" s="152">
        <v>1</v>
      </c>
      <c r="C16" s="148">
        <f t="shared" si="0"/>
        <v>3.0133317046203423E-2</v>
      </c>
      <c r="D16" s="149">
        <f ca="1">IF(YEAR(NOW())-'Dados de Entrada'!J$11&gt;B16,D17/(1-C16),IF(YEAR(NOW())-'Dados de Entrada'!J$11&lt;B16,D15*(1-C15),'Dados de Entrada'!J$12))</f>
        <v>406387.46213498159</v>
      </c>
      <c r="E16" s="149">
        <f t="shared" ca="1" si="1"/>
        <v>12245.802240115416</v>
      </c>
      <c r="F16" s="149" t="str">
        <f ca="1">IF(YEAR(NOW())-'Dados de Entrada'!J$11&gt;B16,"",IF('Dados de Entrada'!E$4/12&gt;='Dados de Entrada'!J$11+B16+1-YEAR(NOW()),E16,IF('Dados de Entrada'!E$4/12&gt;'Dados de Entrada'!J$11+B16-YEAR(NOW()),('Dados de Entrada'!E$4/12-ROUNDDOWN('Dados de Entrada'!E$4/12,0))*E16,"")))</f>
        <v/>
      </c>
      <c r="G16" s="145" t="str">
        <f t="shared" ca="1" si="2"/>
        <v/>
      </c>
      <c r="H16" s="151">
        <f ca="1">IF(YEAR(NOW())-'Dados de Entrada'!J$11&gt;=B16,H15*(1+VLOOKUP('Dados de Entrada'!J$11+B15,C$95:D$122,2)),"")</f>
        <v>512442.96208607685</v>
      </c>
    </row>
    <row r="17" spans="1:8" ht="13" x14ac:dyDescent="0.25">
      <c r="A17" s="146"/>
      <c r="B17" s="152">
        <v>2</v>
      </c>
      <c r="C17" s="148">
        <f t="shared" si="0"/>
        <v>5.4302211968191502E-2</v>
      </c>
      <c r="D17" s="149">
        <f ca="1">IF(YEAR(NOW())-'Dados de Entrada'!J$11&gt;B17,D18/(1-C17),IF(YEAR(NOW())-'Dados de Entrada'!J$11&lt;B17,D16*(1-C16),'Dados de Entrada'!J$12))</f>
        <v>394141.65989486617</v>
      </c>
      <c r="E17" s="149">
        <f t="shared" ca="1" si="1"/>
        <v>21402.763961105898</v>
      </c>
      <c r="F17" s="149" t="str">
        <f ca="1">IF(YEAR(NOW())-'Dados de Entrada'!J$11&gt;B17,"",IF('Dados de Entrada'!E$4/12&gt;='Dados de Entrada'!J$11+B17+1-YEAR(NOW()),E17,IF('Dados de Entrada'!E$4/12&gt;'Dados de Entrada'!J$11+B17-YEAR(NOW()),('Dados de Entrada'!E$4/12-ROUNDDOWN('Dados de Entrada'!E$4/12,0))*E17,"")))</f>
        <v/>
      </c>
      <c r="G17" s="145" t="str">
        <f t="shared" ca="1" si="2"/>
        <v/>
      </c>
      <c r="H17" s="151">
        <f ca="1">IF(YEAR(NOW())-'Dados de Entrada'!J$11&gt;=B17,H16*(1+VLOOKUP('Dados de Entrada'!J$11+B16,C$95:D$122,2)),"")</f>
        <v>527560.02946761611</v>
      </c>
    </row>
    <row r="18" spans="1:8" ht="13" x14ac:dyDescent="0.25">
      <c r="A18" s="146"/>
      <c r="B18" s="152">
        <v>3</v>
      </c>
      <c r="C18" s="148">
        <f t="shared" si="0"/>
        <v>5.7998203973294783E-2</v>
      </c>
      <c r="D18" s="149">
        <f ca="1">IF(YEAR(NOW())-'Dados de Entrada'!J$11&gt;B18,D19/(1-C18),IF(YEAR(NOW())-'Dados de Entrada'!J$11&lt;B18,D17*(1-C17),'Dados de Entrada'!J$12))</f>
        <v>372738.89593376027</v>
      </c>
      <c r="E18" s="149">
        <f t="shared" ca="1" si="1"/>
        <v>21618.186515146925</v>
      </c>
      <c r="F18" s="149" t="str">
        <f ca="1">IF(YEAR(NOW())-'Dados de Entrada'!J$11&gt;B18,"",IF('Dados de Entrada'!E$4/12&gt;='Dados de Entrada'!J$11+B18+1-YEAR(NOW()),E18,IF('Dados de Entrada'!E$4/12&gt;'Dados de Entrada'!J$11+B18-YEAR(NOW()),('Dados de Entrada'!E$4/12-ROUNDDOWN('Dados de Entrada'!E$4/12,0))*E18,"")))</f>
        <v/>
      </c>
      <c r="G18" s="145" t="str">
        <f t="shared" ca="1" si="2"/>
        <v/>
      </c>
      <c r="H18" s="151">
        <f ca="1">IF(YEAR(NOW())-'Dados de Entrada'!J$11&gt;=B18,H17*(1+VLOOKUP('Dados de Entrada'!J$11+B17,C$95:D$122,2)),"")</f>
        <v>547343.53057265177</v>
      </c>
    </row>
    <row r="19" spans="1:8" ht="13" x14ac:dyDescent="0.25">
      <c r="A19" s="146"/>
      <c r="B19" s="152">
        <v>4</v>
      </c>
      <c r="C19" s="148">
        <f t="shared" si="0"/>
        <v>5.4862156865357392E-2</v>
      </c>
      <c r="D19" s="149">
        <f ca="1">IF(YEAR(NOW())-'Dados de Entrada'!J$11&gt;B19,D20/(1-C19),IF(YEAR(NOW())-'Dados de Entrada'!J$11&lt;B19,D18*(1-C18),'Dados de Entrada'!J$12))</f>
        <v>351120.70941861335</v>
      </c>
      <c r="E19" s="149">
        <f t="shared" ca="1" si="1"/>
        <v>19263.239438799501</v>
      </c>
      <c r="F19" s="149" t="str">
        <f ca="1">IF(YEAR(NOW())-'Dados de Entrada'!J$11&gt;B19,"",IF('Dados de Entrada'!E$4/12&gt;='Dados de Entrada'!J$11+B19+1-YEAR(NOW()),E19,IF('Dados de Entrada'!E$4/12&gt;'Dados de Entrada'!J$11+B19-YEAR(NOW()),('Dados de Entrada'!E$4/12-ROUNDDOWN('Dados de Entrada'!E$4/12,0))*E19,"")))</f>
        <v/>
      </c>
      <c r="G19" s="145" t="str">
        <f t="shared" ca="1" si="2"/>
        <v/>
      </c>
      <c r="H19" s="151">
        <f ca="1">IF(YEAR(NOW())-'Dados de Entrada'!J$11&gt;=B19,H18*(1+VLOOKUP('Dados de Entrada'!J$11+B18,C$95:D$122,2)),"")</f>
        <v>570934.03674033296</v>
      </c>
    </row>
    <row r="20" spans="1:8" ht="13" x14ac:dyDescent="0.25">
      <c r="A20" s="146"/>
      <c r="B20" s="152">
        <v>5</v>
      </c>
      <c r="C20" s="148">
        <f t="shared" si="0"/>
        <v>4.9922872514484018E-2</v>
      </c>
      <c r="D20" s="149">
        <f ca="1">IF(YEAR(NOW())-'Dados de Entrada'!J$11&gt;B20,D21/(1-C20),IF(YEAR(NOW())-'Dados de Entrada'!J$11&lt;B20,D19*(1-C19),'Dados de Entrada'!J$12))</f>
        <v>331857.46997981385</v>
      </c>
      <c r="E20" s="149">
        <f t="shared" ca="1" si="1"/>
        <v>16567.278166781471</v>
      </c>
      <c r="F20" s="149" t="str">
        <f ca="1">IF(YEAR(NOW())-'Dados de Entrada'!J$11&gt;B20,"",IF('Dados de Entrada'!E$4/12&gt;='Dados de Entrada'!J$11+B20+1-YEAR(NOW()),E20,IF('Dados de Entrada'!E$4/12&gt;'Dados de Entrada'!J$11+B20-YEAR(NOW()),('Dados de Entrada'!E$4/12-ROUNDDOWN('Dados de Entrada'!E$4/12,0))*E20,"")))</f>
        <v/>
      </c>
      <c r="G20" s="145" t="str">
        <f t="shared" ca="1" si="2"/>
        <v/>
      </c>
      <c r="H20" s="151">
        <f ca="1">IF(YEAR(NOW())-'Dados de Entrada'!J$11&gt;=B20,H19*(1+VLOOKUP('Dados de Entrada'!J$11+B19,C$95:D$122,2)),"")</f>
        <v>596740.25520099595</v>
      </c>
    </row>
    <row r="21" spans="1:8" ht="13" x14ac:dyDescent="0.25">
      <c r="A21" s="146"/>
      <c r="B21" s="152">
        <v>6</v>
      </c>
      <c r="C21" s="148">
        <f t="shared" si="0"/>
        <v>4.4805028272648574E-2</v>
      </c>
      <c r="D21" s="149">
        <f ca="1">IF(YEAR(NOW())-'Dados de Entrada'!J$11&gt;B21,D22/(1-C21),IF(YEAR(NOW())-'Dados de Entrada'!J$11&lt;B21,D20*(1-C20),'Dados de Entrada'!J$12))</f>
        <v>315290.19181303238</v>
      </c>
      <c r="E21" s="149">
        <f t="shared" ca="1" si="1"/>
        <v>14126.585958271695</v>
      </c>
      <c r="F21" s="149" t="str">
        <f ca="1">IF(YEAR(NOW())-'Dados de Entrada'!J$11&gt;B21,"",IF('Dados de Entrada'!E$4/12&gt;='Dados de Entrada'!J$11+B21+1-YEAR(NOW()),E21,IF('Dados de Entrada'!E$4/12&gt;'Dados de Entrada'!J$11+B21-YEAR(NOW()),('Dados de Entrada'!E$4/12-ROUNDDOWN('Dados de Entrada'!E$4/12,0))*E21,"")))</f>
        <v/>
      </c>
      <c r="G21" s="145" t="str">
        <f t="shared" ca="1" si="2"/>
        <v/>
      </c>
      <c r="H21" s="151">
        <f ca="1">IF(YEAR(NOW())-'Dados de Entrada'!J$11&gt;=B21,H20*(1+VLOOKUP('Dados de Entrada'!J$11+B20,C$95:D$122,2)),"")</f>
        <v>656772.32487421611</v>
      </c>
    </row>
    <row r="22" spans="1:8" ht="13" x14ac:dyDescent="0.25">
      <c r="A22" s="146"/>
      <c r="B22" s="152">
        <v>7</v>
      </c>
      <c r="C22" s="148">
        <f t="shared" si="0"/>
        <v>4.0022752714238968E-2</v>
      </c>
      <c r="D22" s="149">
        <f ca="1">IF(YEAR(NOW())-'Dados de Entrada'!J$11&gt;B22,D23/(1-C22),IF(YEAR(NOW())-'Dados de Entrada'!J$11&lt;B22,D21*(1-C21),'Dados de Entrada'!J$12))</f>
        <v>301163.60585476068</v>
      </c>
      <c r="E22" s="149">
        <f t="shared" ca="1" si="1"/>
        <v>12053.396523653588</v>
      </c>
      <c r="F22" s="149" t="str">
        <f ca="1">IF(YEAR(NOW())-'Dados de Entrada'!J$11&gt;B22,"",IF('Dados de Entrada'!E$4/12&gt;='Dados de Entrada'!J$11+B22+1-YEAR(NOW()),E22,IF('Dados de Entrada'!E$4/12&gt;'Dados de Entrada'!J$11+B22-YEAR(NOW()),('Dados de Entrada'!E$4/12-ROUNDDOWN('Dados de Entrada'!E$4/12,0))*E22,"")))</f>
        <v/>
      </c>
      <c r="G22" s="145" t="str">
        <f t="shared" ca="1" si="2"/>
        <v/>
      </c>
      <c r="H22" s="151">
        <f ca="1">IF(YEAR(NOW())-'Dados de Entrada'!J$11&gt;=B22,H21*(1+VLOOKUP('Dados de Entrada'!J$11+B21,C$95:D$122,2)),"")</f>
        <v>694799.4424844333</v>
      </c>
    </row>
    <row r="23" spans="1:8" ht="13" x14ac:dyDescent="0.25">
      <c r="A23" s="146"/>
      <c r="B23" s="152">
        <v>8</v>
      </c>
      <c r="C23" s="148">
        <f t="shared" si="0"/>
        <v>3.5711168200267769E-2</v>
      </c>
      <c r="D23" s="149">
        <f ca="1">IF(YEAR(NOW())-'Dados de Entrada'!J$11&gt;B23,D24/(1-C23),IF(YEAR(NOW())-'Dados de Entrada'!J$11&lt;B23,D22*(1-C22),'Dados de Entrada'!J$12))</f>
        <v>289110.20933110709</v>
      </c>
      <c r="E23" s="149">
        <f t="shared" ca="1" si="1"/>
        <v>10324.463313837769</v>
      </c>
      <c r="F23" s="149" t="str">
        <f ca="1">IF(YEAR(NOW())-'Dados de Entrada'!J$11&gt;B23,"",IF('Dados de Entrada'!E$4/12&gt;='Dados de Entrada'!J$11+B23+1-YEAR(NOW()),E23,IF('Dados de Entrada'!E$4/12&gt;'Dados de Entrada'!J$11+B23-YEAR(NOW()),('Dados de Entrada'!E$4/12-ROUNDDOWN('Dados de Entrada'!E$4/12,0))*E23,"")))</f>
        <v/>
      </c>
      <c r="G23" s="145" t="str">
        <f t="shared" ca="1" si="2"/>
        <v/>
      </c>
      <c r="H23" s="151">
        <f ca="1">IF(YEAR(NOW())-'Dados de Entrada'!J$11&gt;=B23,H22*(1+VLOOKUP('Dados de Entrada'!J$11+B22,C$95:D$122,2)),"")</f>
        <v>726899.17672721413</v>
      </c>
    </row>
    <row r="24" spans="1:8" ht="13" x14ac:dyDescent="0.25">
      <c r="A24" s="146"/>
      <c r="B24" s="152">
        <v>9</v>
      </c>
      <c r="C24" s="148">
        <f t="shared" si="0"/>
        <v>3.1873028460783957E-2</v>
      </c>
      <c r="D24" s="149">
        <f ca="1">IF(YEAR(NOW())-'Dados de Entrada'!J$11&gt;B24,D25/(1-C24),IF(YEAR(NOW())-'Dados de Entrada'!J$11&lt;B24,D23*(1-C23),'Dados de Entrada'!J$12))</f>
        <v>278785.74601726932</v>
      </c>
      <c r="E24" s="149">
        <f t="shared" ca="1" si="1"/>
        <v>8885.7460172693245</v>
      </c>
      <c r="F24" s="149" t="str">
        <f ca="1">IF(YEAR(NOW())-'Dados de Entrada'!J$11&gt;B24,"",IF('Dados de Entrada'!E$4/12&gt;='Dados de Entrada'!J$11+B24+1-YEAR(NOW()),E24,IF('Dados de Entrada'!E$4/12&gt;'Dados de Entrada'!J$11+B24-YEAR(NOW()),('Dados de Entrada'!E$4/12-ROUNDDOWN('Dados de Entrada'!E$4/12,0))*E24,"")))</f>
        <v/>
      </c>
      <c r="G24" s="145" t="str">
        <f t="shared" ca="1" si="2"/>
        <v/>
      </c>
      <c r="H24" s="151">
        <f ca="1">IF(YEAR(NOW())-'Dados de Entrada'!J$11&gt;=B24,H23*(1+VLOOKUP('Dados de Entrada'!J$11+B23,C$95:D$122,2)),"")</f>
        <v>754594.03536052105</v>
      </c>
    </row>
    <row r="25" spans="1:8" ht="13" x14ac:dyDescent="0.25">
      <c r="A25" s="146"/>
      <c r="B25" s="152">
        <v>10</v>
      </c>
      <c r="C25" s="148">
        <f t="shared" si="0"/>
        <v>2.8467270470629292E-2</v>
      </c>
      <c r="D25" s="149">
        <f ca="1">IF(YEAR(NOW())-'Dados de Entrada'!J$11&gt;B25,D26/(1-C25),IF(YEAR(NOW())-'Dados de Entrada'!J$11&lt;B25,D24*(1-C24),'Dados de Entrada'!J$12))</f>
        <v>269900</v>
      </c>
      <c r="E25" s="149">
        <f t="shared" ca="1" si="1"/>
        <v>7683.3163000228233</v>
      </c>
      <c r="F25" s="149">
        <f ca="1">IF(YEAR(NOW())-'Dados de Entrada'!J$11&gt;B25,"",IF('Dados de Entrada'!E$4/12&gt;='Dados de Entrada'!J$11+B25+1-YEAR(NOW()),E25,IF('Dados de Entrada'!E$4/12&gt;'Dados de Entrada'!J$11+B25-YEAR(NOW()),('Dados de Entrada'!E$4/12-ROUNDDOWN('Dados de Entrada'!E$4/12,0))*E25,"")))</f>
        <v>7683.3163000228233</v>
      </c>
      <c r="G25" s="145">
        <f t="shared" ca="1" si="2"/>
        <v>269900</v>
      </c>
      <c r="H25" s="151">
        <f ca="1">IF(YEAR(NOW())-'Dados de Entrada'!J$11&gt;=B25,H24*(1+VLOOKUP('Dados de Entrada'!J$11+B24,C$95:D$122,2)),"")</f>
        <v>786136.06603859086</v>
      </c>
    </row>
    <row r="26" spans="1:8" ht="13" x14ac:dyDescent="0.25">
      <c r="A26" s="146"/>
      <c r="B26" s="152">
        <v>11</v>
      </c>
      <c r="C26" s="148">
        <f t="shared" si="0"/>
        <v>2.5441952721769117E-2</v>
      </c>
      <c r="D26" s="149">
        <f ca="1">IF(YEAR(NOW())-'Dados de Entrada'!J$11&gt;B26,D27/(1-C26),IF(YEAR(NOW())-'Dados de Entrada'!J$11&lt;B26,D25*(1-C25),'Dados de Entrada'!J$12))</f>
        <v>262216.68369997718</v>
      </c>
      <c r="E26" s="149">
        <f t="shared" ca="1" si="1"/>
        <v>6671.3044695538993</v>
      </c>
      <c r="F26" s="149">
        <f ca="1">IF(YEAR(NOW())-'Dados de Entrada'!J$11&gt;B26,"",IF('Dados de Entrada'!E$4/12&gt;='Dados de Entrada'!J$11+B26+1-YEAR(NOW()),E26,IF('Dados de Entrada'!E$4/12&gt;'Dados de Entrada'!J$11+B26-YEAR(NOW()),('Dados de Entrada'!E$4/12-ROUNDDOWN('Dados de Entrada'!E$4/12,0))*E26,"")))</f>
        <v>6671.3044695538993</v>
      </c>
      <c r="G26" s="145">
        <f t="shared" ca="1" si="2"/>
        <v>262216.68369997718</v>
      </c>
      <c r="H26" s="151" t="str">
        <f ca="1">IF(YEAR(NOW())-'Dados de Entrada'!J$11&gt;=B26,H25*(1+VLOOKUP('Dados de Entrada'!J$11+B25,C$95:D$122,2)),"")</f>
        <v/>
      </c>
    </row>
    <row r="27" spans="1:8" ht="13" x14ac:dyDescent="0.25">
      <c r="A27" s="146"/>
      <c r="B27" s="152">
        <v>12</v>
      </c>
      <c r="C27" s="148">
        <f t="shared" si="0"/>
        <v>2.274639392788497E-2</v>
      </c>
      <c r="D27" s="149">
        <f ca="1">IF(YEAR(NOW())-'Dados de Entrada'!J$11&gt;B27,D28/(1-C27),IF(YEAR(NOW())-'Dados de Entrada'!J$11&lt;B27,D26*(1-C26),'Dados de Entrada'!J$12))</f>
        <v>255545.37923042328</v>
      </c>
      <c r="E27" s="149">
        <f t="shared" ca="1" si="1"/>
        <v>5812.735862425965</v>
      </c>
      <c r="F27" s="149" t="str">
        <f ca="1">IF(YEAR(NOW())-'Dados de Entrada'!J$11&gt;B27,"",IF('Dados de Entrada'!E$4/12&gt;='Dados de Entrada'!J$11+B27+1-YEAR(NOW()),E27,IF('Dados de Entrada'!E$4/12&gt;'Dados de Entrada'!J$11+B27-YEAR(NOW()),('Dados de Entrada'!E$4/12-ROUNDDOWN('Dados de Entrada'!E$4/12,0))*E27,"")))</f>
        <v/>
      </c>
      <c r="G27" s="145" t="str">
        <f t="shared" ca="1" si="2"/>
        <v/>
      </c>
      <c r="H27" s="151" t="str">
        <f ca="1">IF(YEAR(NOW())-'Dados de Entrada'!J$11&gt;=B27,H26*(1+VLOOKUP('Dados de Entrada'!J$11+B26,C$95:D$122,2)),"")</f>
        <v/>
      </c>
    </row>
    <row r="28" spans="1:8" ht="13" x14ac:dyDescent="0.25">
      <c r="A28" s="146"/>
      <c r="B28" s="152">
        <v>13</v>
      </c>
      <c r="C28" s="148">
        <f t="shared" si="0"/>
        <v>2.033522723899317E-2</v>
      </c>
      <c r="D28" s="149">
        <f ca="1">IF(YEAR(NOW())-'Dados de Entrada'!J$11&gt;B28,D29/(1-C28),IF(YEAR(NOW())-'Dados de Entrada'!J$11&lt;B28,D27*(1-C27),'Dados de Entrada'!J$12))</f>
        <v>249732.64336799731</v>
      </c>
      <c r="E28" s="149">
        <f t="shared" ca="1" si="1"/>
        <v>5078.3700518826663</v>
      </c>
      <c r="F28" s="149" t="str">
        <f ca="1">IF(YEAR(NOW())-'Dados de Entrada'!J$11&gt;B28,"",IF('Dados de Entrada'!E$4/12&gt;='Dados de Entrada'!J$11+B28+1-YEAR(NOW()),E28,IF('Dados de Entrada'!E$4/12&gt;'Dados de Entrada'!J$11+B28-YEAR(NOW()),('Dados de Entrada'!E$4/12-ROUNDDOWN('Dados de Entrada'!E$4/12,0))*E28,"")))</f>
        <v/>
      </c>
      <c r="G28" s="153" t="str">
        <f t="shared" ca="1" si="2"/>
        <v/>
      </c>
      <c r="H28" s="151" t="str">
        <f ca="1">IF(YEAR(NOW())-'Dados de Entrada'!J$11&gt;=B28,H27*(1+VLOOKUP('Dados de Entrada'!J$11+B27,C$95:D$122,2)),"")</f>
        <v/>
      </c>
    </row>
    <row r="29" spans="1:8" ht="13" x14ac:dyDescent="0.25">
      <c r="A29" s="146"/>
      <c r="B29" s="152">
        <v>14</v>
      </c>
      <c r="C29" s="148">
        <f t="shared" si="0"/>
        <v>1.8169282854598501E-2</v>
      </c>
      <c r="D29" s="149">
        <f ca="1">IF(YEAR(NOW())-'Dados de Entrada'!J$11&gt;B29,D30/(1-C29),IF(YEAR(NOW())-'Dados de Entrada'!J$11&lt;B29,D28*(1-C28),'Dados de Entrada'!J$12))</f>
        <v>244654.27331611465</v>
      </c>
      <c r="E29" s="149">
        <f t="shared" ca="1" si="1"/>
        <v>4445.1926934667281</v>
      </c>
      <c r="F29" s="149" t="str">
        <f ca="1">IF(YEAR(NOW())-'Dados de Entrada'!J$11&gt;B29,"",IF('Dados de Entrada'!E$4/12&gt;='Dados de Entrada'!J$11+B29+1-YEAR(NOW()),E29,IF('Dados de Entrada'!E$4/12&gt;'Dados de Entrada'!J$11+B29-YEAR(NOW()),('Dados de Entrada'!E$4/12-ROUNDDOWN('Dados de Entrada'!E$4/12,0))*E29,"")))</f>
        <v/>
      </c>
      <c r="G29" s="145" t="str">
        <f t="shared" ca="1" si="2"/>
        <v/>
      </c>
      <c r="H29" s="154" t="str">
        <f ca="1">IF(YEAR(NOW())-'Dados de Entrada'!J$11&gt;=B29,H28*(1+VLOOKUP('Dados de Entrada'!J$11+B28,C$95:D$122,2)),"")</f>
        <v/>
      </c>
    </row>
    <row r="30" spans="1:8" ht="13" x14ac:dyDescent="0.25">
      <c r="A30" s="146"/>
      <c r="B30" s="152">
        <v>15</v>
      </c>
      <c r="C30" s="148">
        <f t="shared" si="0"/>
        <v>1.6215271681965893E-2</v>
      </c>
      <c r="D30" s="149">
        <f ca="1">IF(YEAR(NOW())-'Dados de Entrada'!J$11&gt;B30,D31/(1-C30),IF(YEAR(NOW())-'Dados de Entrada'!J$11&lt;B30,D29*(1-C29),'Dados de Entrada'!J$12))</f>
        <v>240209.08062264792</v>
      </c>
      <c r="E30" s="149">
        <f t="shared" ca="1" si="1"/>
        <v>3895.0555027714872</v>
      </c>
      <c r="F30" s="149" t="str">
        <f ca="1">IF(YEAR(NOW())-'Dados de Entrada'!J$11&gt;B30,"",IF('Dados de Entrada'!E$4/12&gt;='Dados de Entrada'!J$11+B30+1-YEAR(NOW()),E30,IF('Dados de Entrada'!E$4/12&gt;'Dados de Entrada'!J$11+B30-YEAR(NOW()),('Dados de Entrada'!E$4/12-ROUNDDOWN('Dados de Entrada'!E$4/12,0))*E30,"")))</f>
        <v/>
      </c>
      <c r="G30" s="145" t="str">
        <f t="shared" ca="1" si="2"/>
        <v/>
      </c>
      <c r="H30" s="154" t="str">
        <f ca="1">IF(YEAR(NOW())-'Dados de Entrada'!J$11&gt;=B30,H29*(1+VLOOKUP('Dados de Entrada'!J$11+B29,C$95:D$122,2)),"")</f>
        <v/>
      </c>
    </row>
    <row r="31" spans="1:8" ht="13" x14ac:dyDescent="0.25">
      <c r="A31" s="146"/>
      <c r="B31" s="152">
        <v>16</v>
      </c>
      <c r="C31" s="148">
        <f t="shared" si="0"/>
        <v>1.4445076358097964E-2</v>
      </c>
      <c r="D31" s="149">
        <f ca="1">IF(YEAR(NOW())-'Dados de Entrada'!J$11&gt;B31,D32/(1-C31),IF(YEAR(NOW())-'Dados de Entrada'!J$11&lt;B31,D30*(1-C30),'Dados de Entrada'!J$12))</f>
        <v>236314.02511987643</v>
      </c>
      <c r="E31" s="149">
        <f t="shared" ca="1" si="1"/>
        <v>3413.5741373460914</v>
      </c>
      <c r="F31" s="149" t="str">
        <f ca="1">IF(YEAR(NOW())-'Dados de Entrada'!J$11&gt;B31,"",IF('Dados de Entrada'!E$4/12&gt;='Dados de Entrada'!J$11+B31+1-YEAR(NOW()),E31,IF('Dados de Entrada'!E$4/12&gt;'Dados de Entrada'!J$11+B31-YEAR(NOW()),('Dados de Entrada'!E$4/12-ROUNDDOWN('Dados de Entrada'!E$4/12,0))*E31,"")))</f>
        <v/>
      </c>
      <c r="G31" s="145" t="str">
        <f t="shared" ca="1" si="2"/>
        <v/>
      </c>
      <c r="H31" s="154" t="str">
        <f ca="1">IF(YEAR(NOW())-'Dados de Entrada'!J$11&gt;=B31,H30*(1+VLOOKUP('Dados de Entrada'!J$11+B30,C$95:D$122,2)),"")</f>
        <v/>
      </c>
    </row>
    <row r="32" spans="1:8" ht="13" x14ac:dyDescent="0.25">
      <c r="A32" s="146"/>
      <c r="B32" s="152">
        <v>17</v>
      </c>
      <c r="C32" s="148">
        <f t="shared" si="0"/>
        <v>1.2834975776171096E-2</v>
      </c>
      <c r="D32" s="149">
        <f ca="1">IF(YEAR(NOW())-'Dados de Entrada'!J$11&gt;B32,D33/(1-C32),IF(YEAR(NOW())-'Dados de Entrada'!J$11&lt;B32,D31*(1-C31),'Dados de Entrada'!J$12))</f>
        <v>232900.45098253034</v>
      </c>
      <c r="E32" s="149">
        <f t="shared" ca="1" si="1"/>
        <v>2989.2716466200945</v>
      </c>
      <c r="F32" s="149" t="str">
        <f ca="1">IF(YEAR(NOW())-'Dados de Entrada'!J$11&gt;B32,"",IF('Dados de Entrada'!E$4/12&gt;='Dados de Entrada'!J$11+B32+1-YEAR(NOW()),E32,IF('Dados de Entrada'!E$4/12&gt;'Dados de Entrada'!J$11+B32-YEAR(NOW()),('Dados de Entrada'!E$4/12-ROUNDDOWN('Dados de Entrada'!E$4/12,0))*E32,"")))</f>
        <v/>
      </c>
      <c r="G32" s="145" t="str">
        <f t="shared" ca="1" si="2"/>
        <v/>
      </c>
      <c r="H32" s="154" t="str">
        <f ca="1">IF(YEAR(NOW())-'Dados de Entrada'!J$11&gt;=B32,H31*(1+VLOOKUP('Dados de Entrada'!J$11+B31,C$95:D$122,2)),"")</f>
        <v/>
      </c>
    </row>
    <row r="33" spans="1:8" ht="13" x14ac:dyDescent="0.25">
      <c r="A33" s="146"/>
      <c r="B33" s="152">
        <v>18</v>
      </c>
      <c r="C33" s="148">
        <f t="shared" si="0"/>
        <v>1.1364927194280068E-2</v>
      </c>
      <c r="D33" s="149">
        <f ca="1">IF(YEAR(NOW())-'Dados de Entrada'!J$11&gt;B33,D34/(1-C33),IF(YEAR(NOW())-'Dados de Entrada'!J$11&lt;B33,D32*(1-C32),'Dados de Entrada'!J$12))</f>
        <v>229911.17933591024</v>
      </c>
      <c r="E33" s="149">
        <f t="shared" ca="1" si="1"/>
        <v>2612.9238143036782</v>
      </c>
      <c r="F33" s="149" t="str">
        <f ca="1">IF(YEAR(NOW())-'Dados de Entrada'!J$11&gt;B33,"",IF('Dados de Entrada'!E$4/12&gt;='Dados de Entrada'!J$11+B33+1-YEAR(NOW()),E33,IF('Dados de Entrada'!E$4/12&gt;'Dados de Entrada'!J$11+B33-YEAR(NOW()),('Dados de Entrada'!E$4/12-ROUNDDOWN('Dados de Entrada'!E$4/12,0))*E33,"")))</f>
        <v/>
      </c>
      <c r="G33" s="145" t="str">
        <f t="shared" ca="1" si="2"/>
        <v/>
      </c>
      <c r="H33" s="154" t="str">
        <f ca="1">IF(YEAR(NOW())-'Dados de Entrada'!J$11&gt;=B33,H32*(1+VLOOKUP('Dados de Entrada'!J$11+B32,C$95:D$122,2)),"")</f>
        <v/>
      </c>
    </row>
    <row r="34" spans="1:8" ht="13" x14ac:dyDescent="0.25">
      <c r="A34" s="146"/>
      <c r="B34" s="152">
        <v>19</v>
      </c>
      <c r="C34" s="148">
        <f t="shared" si="0"/>
        <v>1.0017944740312194E-2</v>
      </c>
      <c r="D34" s="149">
        <f ca="1">IF(YEAR(NOW())-'Dados de Entrada'!J$11&gt;B34,D35/(1-C34),IF(YEAR(NOW())-'Dados de Entrada'!J$11&lt;B34,D33*(1-C33),'Dados de Entrada'!J$12))</f>
        <v>227298.25552160657</v>
      </c>
      <c r="E34" s="149">
        <f t="shared" ca="1" si="1"/>
        <v>2277.061363384797</v>
      </c>
      <c r="F34" s="149" t="str">
        <f ca="1">IF(YEAR(NOW())-'Dados de Entrada'!J$11&gt;B34,"",IF('Dados de Entrada'!E$4/12&gt;='Dados de Entrada'!J$11+B34+1-YEAR(NOW()),E34,IF('Dados de Entrada'!E$4/12&gt;'Dados de Entrada'!J$11+B34-YEAR(NOW()),('Dados de Entrada'!E$4/12-ROUNDDOWN('Dados de Entrada'!E$4/12,0))*E34,"")))</f>
        <v/>
      </c>
      <c r="G34" s="145" t="str">
        <f t="shared" ca="1" si="2"/>
        <v/>
      </c>
      <c r="H34" s="154" t="str">
        <f ca="1">IF(YEAR(NOW())-'Dados de Entrada'!J$11&gt;=B34,H33*(1+VLOOKUP('Dados de Entrada'!J$11+B33,C$95:D$122,2)),"")</f>
        <v/>
      </c>
    </row>
    <row r="35" spans="1:8" ht="13" x14ac:dyDescent="0.25">
      <c r="A35" s="146"/>
      <c r="B35" s="152">
        <v>20</v>
      </c>
      <c r="C35" s="148">
        <f t="shared" si="0"/>
        <v>8.7795780904624341E-3</v>
      </c>
      <c r="D35" s="149">
        <f ca="1">IF(YEAR(NOW())-'Dados de Entrada'!J$11&gt;B35,D36/(1-C35),IF(YEAR(NOW())-'Dados de Entrada'!J$11&lt;B35,D34*(1-C34),'Dados de Entrada'!J$12))</f>
        <v>225021.19415822177</v>
      </c>
      <c r="E35" s="149">
        <f t="shared" ca="1" si="1"/>
        <v>1975.5911461212381</v>
      </c>
      <c r="F35" s="149" t="str">
        <f ca="1">IF(YEAR(NOW())-'Dados de Entrada'!J$11&gt;B35,"",IF('Dados de Entrada'!E$4/12&gt;='Dados de Entrada'!J$11+B35+1-YEAR(NOW()),E35,IF('Dados de Entrada'!E$4/12&gt;'Dados de Entrada'!J$11+B35-YEAR(NOW()),('Dados de Entrada'!E$4/12-ROUNDDOWN('Dados de Entrada'!E$4/12,0))*E35,"")))</f>
        <v/>
      </c>
      <c r="G35" s="145" t="str">
        <f t="shared" ca="1" si="2"/>
        <v/>
      </c>
      <c r="H35" s="151" t="str">
        <f ca="1">IF(YEAR(NOW())-'Dados de Entrada'!J$11&gt;=B35,H34*(1+VLOOKUP('Dados de Entrada'!J$11+B34,C$95:D$122,2)),"")</f>
        <v/>
      </c>
    </row>
    <row r="36" spans="1:8" ht="13" x14ac:dyDescent="0.25">
      <c r="A36" s="146"/>
      <c r="B36" s="152">
        <v>21</v>
      </c>
      <c r="C36" s="148">
        <f t="shared" si="0"/>
        <v>7.6374818767602501E-3</v>
      </c>
      <c r="D36" s="149">
        <f ca="1">IF(YEAR(NOW())-'Dados de Entrada'!J$11&gt;B36,D37/(1-C36),IF(YEAR(NOW())-'Dados de Entrada'!J$11&lt;B36,D35*(1-C35),'Dados de Entrada'!J$12))</f>
        <v>223045.60301210053</v>
      </c>
      <c r="E36" s="149">
        <f t="shared" ca="1" si="1"/>
        <v>1703.5067506959895</v>
      </c>
      <c r="F36" s="149" t="str">
        <f ca="1">IF(YEAR(NOW())-'Dados de Entrada'!J$11&gt;B36,"",IF('Dados de Entrada'!E$4/12&gt;='Dados de Entrada'!J$11+B36+1-YEAR(NOW()),E36,IF('Dados de Entrada'!E$4/12&gt;'Dados de Entrada'!J$11+B36-YEAR(NOW()),('Dados de Entrada'!E$4/12-ROUNDDOWN('Dados de Entrada'!E$4/12,0))*E36,"")))</f>
        <v/>
      </c>
      <c r="G36" s="145" t="str">
        <f t="shared" ca="1" si="2"/>
        <v/>
      </c>
      <c r="H36" s="151" t="str">
        <f ca="1">IF(YEAR(NOW())-'Dados de Entrada'!J$11&gt;=B36,H35*(1+VLOOKUP('Dados de Entrada'!J$11+B35,C$95:D$122,2)),"")</f>
        <v/>
      </c>
    </row>
    <row r="37" spans="1:8" ht="13" x14ac:dyDescent="0.25">
      <c r="A37" s="146"/>
      <c r="B37" s="152">
        <v>22</v>
      </c>
      <c r="C37" s="148">
        <f t="shared" si="0"/>
        <v>6.5810625449790423E-3</v>
      </c>
      <c r="D37" s="149">
        <f ca="1">IF(YEAR(NOW())-'Dados de Entrada'!J$11&gt;B37,D38/(1-C37),IF(YEAR(NOW())-'Dados de Entrada'!J$11&lt;B37,D36*(1-C36),'Dados de Entrada'!J$12))</f>
        <v>221342.09626140454</v>
      </c>
      <c r="E37" s="155">
        <f ca="1">YEAR(NOW())-'Dados de Entrada'!J$11</f>
        <v>10</v>
      </c>
      <c r="F37" s="149" t="str">
        <f ca="1">IF(YEAR(NOW())-'Dados de Entrada'!J$11&gt;B37,"",IF('Dados de Entrada'!E$4/12&gt;='Dados de Entrada'!J$11+B37+1-YEAR(NOW()),E37,IF('Dados de Entrada'!E$4/12&gt;'Dados de Entrada'!J$11+B37-YEAR(NOW()),('Dados de Entrada'!E$4/12-ROUNDDOWN('Dados de Entrada'!E$4/12,0))*E37,"")))</f>
        <v/>
      </c>
      <c r="G37" s="145" t="str">
        <f t="shared" ca="1" si="2"/>
        <v/>
      </c>
      <c r="H37" s="151" t="str">
        <f ca="1">IF(YEAR(NOW())-'Dados de Entrada'!J$11&gt;=B37,H36*(1+VLOOKUP('Dados de Entrada'!J$11+B36,C$95:D$122,2)),"")</f>
        <v/>
      </c>
    </row>
    <row r="38" spans="1:8" ht="13" x14ac:dyDescent="0.25">
      <c r="A38" s="146"/>
      <c r="B38" s="139"/>
      <c r="C38" s="156"/>
      <c r="D38" s="157"/>
      <c r="E38" s="158"/>
      <c r="F38" s="139"/>
      <c r="G38" s="159"/>
      <c r="H38" s="145"/>
    </row>
    <row r="39" spans="1:8" ht="13" x14ac:dyDescent="0.25">
      <c r="A39" s="146"/>
      <c r="B39" s="351" t="s">
        <v>46</v>
      </c>
      <c r="C39" s="298"/>
      <c r="D39" s="298"/>
      <c r="E39" s="298"/>
      <c r="F39" s="299"/>
      <c r="G39" s="145"/>
      <c r="H39" s="160"/>
    </row>
    <row r="40" spans="1:8" ht="26" x14ac:dyDescent="0.25">
      <c r="A40" s="146"/>
      <c r="B40" s="144" t="s">
        <v>205</v>
      </c>
      <c r="C40" s="144" t="s">
        <v>206</v>
      </c>
      <c r="D40" s="144" t="s">
        <v>207</v>
      </c>
      <c r="E40" s="144" t="s">
        <v>208</v>
      </c>
      <c r="F40" s="144" t="s">
        <v>209</v>
      </c>
      <c r="G40" s="145"/>
      <c r="H40" s="161"/>
    </row>
    <row r="41" spans="1:8" ht="13" x14ac:dyDescent="0.25">
      <c r="A41" s="146"/>
      <c r="B41" s="147">
        <v>0</v>
      </c>
      <c r="C41" s="148">
        <f t="shared" ref="C41:C63" si="3">0.070580632761148 -0.175867025361679/(B41+1) +0.160146777920703/(B41+1)^2 +0.100712622149732/(B41+1)^3</f>
        <v>0.15557300746990399</v>
      </c>
      <c r="D41" s="149">
        <f ca="1">IF(YEAR(NOW())-'Dados de Entrada'!J$6&gt;B41,D42/(1-C41),IF(YEAR(NOW())-'Dados de Entrada'!J$6&lt;B41,D40*(1-C40),'Dados de Entrada'!J$7))</f>
        <v>408291.17740190128</v>
      </c>
      <c r="E41" s="149">
        <f t="shared" ref="E41:E62" ca="1" si="4">D41-D42</f>
        <v>63519.086391841876</v>
      </c>
      <c r="F41" s="149" t="str">
        <f ca="1">IF(YEAR(NOW())-'Dados de Entrada'!J$6&gt;B41,"",IF('Dados de Entrada'!E$4/12&gt;='Dados de Entrada'!J$6+B41+1-YEAR(NOW()),E41,IF('Dados de Entrada'!E$4/12&gt;'Dados de Entrada'!J$6+B41-YEAR(NOW()),('Dados de Entrada'!E$4/12-ROUNDDOWN('Dados de Entrada'!E$4/12,0))*E41,"")))</f>
        <v/>
      </c>
      <c r="G41" s="145" t="str">
        <f t="shared" ref="G41:G63" ca="1" si="5">IF(OR(F41="",E41=0),"",F41/E41*D41)</f>
        <v/>
      </c>
      <c r="H41" s="151">
        <f ca="1">D41</f>
        <v>408291.17740190128</v>
      </c>
    </row>
    <row r="42" spans="1:8" ht="13" x14ac:dyDescent="0.25">
      <c r="A42" s="146"/>
      <c r="B42" s="152">
        <v>1</v>
      </c>
      <c r="C42" s="148">
        <f t="shared" si="3"/>
        <v>3.527289232920075E-2</v>
      </c>
      <c r="D42" s="149">
        <f ca="1">IF(YEAR(NOW())-'Dados de Entrada'!J$6&gt;B42,D43/(1-C42),IF(YEAR(NOW())-'Dados de Entrada'!J$6&lt;B42,D41*(1-C41),'Dados de Entrada'!J$7))</f>
        <v>344772.0910100594</v>
      </c>
      <c r="E42" s="149">
        <f t="shared" ca="1" si="4"/>
        <v>12161.108844311209</v>
      </c>
      <c r="F42" s="149" t="str">
        <f ca="1">IF(YEAR(NOW())-'Dados de Entrada'!J$6&gt;B42,"",IF('Dados de Entrada'!E$4/12&gt;='Dados de Entrada'!J$6+B42+1-YEAR(NOW()),E42,IF('Dados de Entrada'!E$4/12&gt;'Dados de Entrada'!J$6+B42-YEAR(NOW()),('Dados de Entrada'!E$4/12-ROUNDDOWN('Dados de Entrada'!E$4/12,0))*E42,"")))</f>
        <v/>
      </c>
      <c r="G42" s="145" t="str">
        <f t="shared" ca="1" si="5"/>
        <v/>
      </c>
      <c r="H42" s="151">
        <f ca="1">IF(YEAR(NOW())-'Dados de Entrada'!J$6&gt;=B42,H41*(1+VLOOKUP('Dados de Entrada'!J$6+B41,C$95:D$122,2)),"")</f>
        <v>433972.69246048084</v>
      </c>
    </row>
    <row r="43" spans="1:8" ht="13" x14ac:dyDescent="0.25">
      <c r="A43" s="146"/>
      <c r="B43" s="152">
        <v>2</v>
      </c>
      <c r="C43" s="148">
        <f t="shared" si="3"/>
        <v>3.3482474526212072E-2</v>
      </c>
      <c r="D43" s="149">
        <f ca="1">IF(YEAR(NOW())-'Dados de Entrada'!J$6&gt;B43,D44/(1-C43),IF(YEAR(NOW())-'Dados de Entrada'!J$6&lt;B43,D42*(1-C42),'Dados de Entrada'!J$7))</f>
        <v>332610.9821657482</v>
      </c>
      <c r="E43" s="149">
        <f t="shared" ca="1" si="4"/>
        <v>11136.638737503032</v>
      </c>
      <c r="F43" s="149" t="str">
        <f ca="1">IF(YEAR(NOW())-'Dados de Entrada'!J$6&gt;B43,"",IF('Dados de Entrada'!E$4/12&gt;='Dados de Entrada'!J$6+B43+1-YEAR(NOW()),E43,IF('Dados de Entrada'!E$4/12&gt;'Dados de Entrada'!J$6+B43-YEAR(NOW()),('Dados de Entrada'!E$4/12-ROUNDDOWN('Dados de Entrada'!E$4/12,0))*E43,"")))</f>
        <v/>
      </c>
      <c r="G43" s="145" t="str">
        <f t="shared" ca="1" si="5"/>
        <v/>
      </c>
      <c r="H43" s="151">
        <f ca="1">IF(YEAR(NOW())-'Dados de Entrada'!J$6&gt;=B43,H42*(1+VLOOKUP('Dados de Entrada'!J$6+B42,C$95:D$122,2)),"")</f>
        <v>446774.88688806508</v>
      </c>
    </row>
    <row r="44" spans="1:8" ht="13" x14ac:dyDescent="0.25">
      <c r="A44" s="146"/>
      <c r="B44" s="152">
        <v>3</v>
      </c>
      <c r="C44" s="148">
        <f t="shared" si="3"/>
        <v>3.8196684761861742E-2</v>
      </c>
      <c r="D44" s="149">
        <f ca="1">IF(YEAR(NOW())-'Dados de Entrada'!J$6&gt;B44,D45/(1-C44),IF(YEAR(NOW())-'Dados de Entrada'!J$6&lt;B44,D43*(1-C43),'Dados de Entrada'!J$7))</f>
        <v>321474.34342824516</v>
      </c>
      <c r="E44" s="149">
        <f t="shared" ca="1" si="4"/>
        <v>12279.254154955153</v>
      </c>
      <c r="F44" s="149" t="str">
        <f ca="1">IF(YEAR(NOW())-'Dados de Entrada'!J$6&gt;B44,"",IF('Dados de Entrada'!E$4/12&gt;='Dados de Entrada'!J$6+B44+1-YEAR(NOW()),E44,IF('Dados de Entrada'!E$4/12&gt;'Dados de Entrada'!J$6+B44-YEAR(NOW()),('Dados de Entrada'!E$4/12-ROUNDDOWN('Dados de Entrada'!E$4/12,0))*E44,"")))</f>
        <v/>
      </c>
      <c r="G44" s="145" t="str">
        <f t="shared" ca="1" si="5"/>
        <v/>
      </c>
      <c r="H44" s="151">
        <f ca="1">IF(YEAR(NOW())-'Dados de Entrada'!J$6&gt;=B44,H43*(1+VLOOKUP('Dados de Entrada'!J$6+B43,C$95:D$122,2)),"")</f>
        <v>463528.94514636754</v>
      </c>
    </row>
    <row r="45" spans="1:8" ht="13" x14ac:dyDescent="0.25">
      <c r="A45" s="146"/>
      <c r="B45" s="152">
        <v>4</v>
      </c>
      <c r="C45" s="148">
        <f t="shared" si="3"/>
        <v>4.2618799782838168E-2</v>
      </c>
      <c r="D45" s="149">
        <f ca="1">IF(YEAR(NOW())-'Dados de Entrada'!J$6&gt;B45,D46/(1-C45),IF(YEAR(NOW())-'Dados de Entrada'!J$6&lt;B45,D44*(1-C44),'Dados de Entrada'!J$7))</f>
        <v>309195.08927329001</v>
      </c>
      <c r="E45" s="149">
        <f t="shared" ca="1" si="4"/>
        <v>13177.52360357513</v>
      </c>
      <c r="F45" s="149" t="str">
        <f ca="1">IF(YEAR(NOW())-'Dados de Entrada'!J$6&gt;B45,"",IF('Dados de Entrada'!E$4/12&gt;='Dados de Entrada'!J$6+B45+1-YEAR(NOW()),E45,IF('Dados de Entrada'!E$4/12&gt;'Dados de Entrada'!J$6+B45-YEAR(NOW()),('Dados de Entrada'!E$4/12-ROUNDDOWN('Dados de Entrada'!E$4/12,0))*E45,"")))</f>
        <v/>
      </c>
      <c r="G45" s="145" t="str">
        <f t="shared" ca="1" si="5"/>
        <v/>
      </c>
      <c r="H45" s="151">
        <f ca="1">IF(YEAR(NOW())-'Dados de Entrada'!J$6&gt;=B45,H44*(1+VLOOKUP('Dados de Entrada'!J$6+B44,C$95:D$122,2)),"")</f>
        <v>483507.04268217593</v>
      </c>
    </row>
    <row r="46" spans="1:8" ht="13" x14ac:dyDescent="0.25">
      <c r="A46" s="146"/>
      <c r="B46" s="152">
        <v>5</v>
      </c>
      <c r="C46" s="148">
        <f t="shared" si="3"/>
        <v>4.6184245616025341E-2</v>
      </c>
      <c r="D46" s="149">
        <f ca="1">IF(YEAR(NOW())-'Dados de Entrada'!J$6&gt;B46,D47/(1-C46),IF(YEAR(NOW())-'Dados de Entrada'!J$6&lt;B46,D45*(1-C45),'Dados de Entrada'!J$7))</f>
        <v>296017.56566971488</v>
      </c>
      <c r="E46" s="149">
        <f t="shared" ca="1" si="4"/>
        <v>13671.347959548002</v>
      </c>
      <c r="F46" s="149" t="str">
        <f ca="1">IF(YEAR(NOW())-'Dados de Entrada'!J$6&gt;B46,"",IF('Dados de Entrada'!E$4/12&gt;='Dados de Entrada'!J$6+B46+1-YEAR(NOW()),E46,IF('Dados de Entrada'!E$4/12&gt;'Dados de Entrada'!J$6+B46-YEAR(NOW()),('Dados de Entrada'!E$4/12-ROUNDDOWN('Dados de Entrada'!E$4/12,0))*E46,"")))</f>
        <v/>
      </c>
      <c r="G46" s="145" t="str">
        <f t="shared" ca="1" si="5"/>
        <v/>
      </c>
      <c r="H46" s="151">
        <f ca="1">IF(YEAR(NOW())-'Dados de Entrada'!J$6&gt;=B46,H45*(1+VLOOKUP('Dados de Entrada'!J$6+B45,C$95:D$122,2)),"")</f>
        <v>505361.56101141026</v>
      </c>
    </row>
    <row r="47" spans="1:8" ht="13" x14ac:dyDescent="0.25">
      <c r="A47" s="146"/>
      <c r="B47" s="152">
        <v>6</v>
      </c>
      <c r="C47" s="148">
        <f t="shared" si="3"/>
        <v>4.9018696390513539E-2</v>
      </c>
      <c r="D47" s="149">
        <f ca="1">IF(YEAR(NOW())-'Dados de Entrada'!J$6&gt;B47,D48/(1-C47),IF(YEAR(NOW())-'Dados de Entrada'!J$6&lt;B47,D46*(1-C46),'Dados de Entrada'!J$7))</f>
        <v>282346.21771016688</v>
      </c>
      <c r="E47" s="149">
        <f t="shared" ca="1" si="4"/>
        <v>13840.243522944511</v>
      </c>
      <c r="F47" s="149" t="str">
        <f ca="1">IF(YEAR(NOW())-'Dados de Entrada'!J$6&gt;B47,"",IF('Dados de Entrada'!E$4/12&gt;='Dados de Entrada'!J$6+B47+1-YEAR(NOW()),E47,IF('Dados de Entrada'!E$4/12&gt;'Dados de Entrada'!J$6+B47-YEAR(NOW()),('Dados de Entrada'!E$4/12-ROUNDDOWN('Dados de Entrada'!E$4/12,0))*E47,"")))</f>
        <v/>
      </c>
      <c r="G47" s="145" t="str">
        <f t="shared" ca="1" si="5"/>
        <v/>
      </c>
      <c r="H47" s="151">
        <f ca="1">IF(YEAR(NOW())-'Dados de Entrada'!J$6&gt;=B47,H46*(1+VLOOKUP('Dados de Entrada'!J$6+B46,C$95:D$122,2)),"")</f>
        <v>556200.93404915812</v>
      </c>
    </row>
    <row r="48" spans="1:8" ht="13" x14ac:dyDescent="0.25">
      <c r="A48" s="146"/>
      <c r="B48" s="152">
        <v>7</v>
      </c>
      <c r="C48" s="148">
        <f t="shared" si="3"/>
        <v>5.1296252336085306E-2</v>
      </c>
      <c r="D48" s="149">
        <f ca="1">IF(YEAR(NOW())-'Dados de Entrada'!J$6&gt;B48,D49/(1-C48),IF(YEAR(NOW())-'Dados de Entrada'!J$6&lt;B48,D47*(1-C47),'Dados de Entrada'!J$7))</f>
        <v>268505.97418722237</v>
      </c>
      <c r="E48" s="149">
        <f t="shared" ca="1" si="4"/>
        <v>13773.350205654162</v>
      </c>
      <c r="F48" s="149" t="str">
        <f ca="1">IF(YEAR(NOW())-'Dados de Entrada'!J$6&gt;B48,"",IF('Dados de Entrada'!E$4/12&gt;='Dados de Entrada'!J$6+B48+1-YEAR(NOW()),E48,IF('Dados de Entrada'!E$4/12&gt;'Dados de Entrada'!J$6+B48-YEAR(NOW()),('Dados de Entrada'!E$4/12-ROUNDDOWN('Dados de Entrada'!E$4/12,0))*E48,"")))</f>
        <v/>
      </c>
      <c r="G48" s="145" t="str">
        <f t="shared" ca="1" si="5"/>
        <v/>
      </c>
      <c r="H48" s="151">
        <f ca="1">IF(YEAR(NOW())-'Dados de Entrada'!J$6&gt;=B48,H47*(1+VLOOKUP('Dados de Entrada'!J$6+B47,C$95:D$122,2)),"")</f>
        <v>588404.96813060436</v>
      </c>
    </row>
    <row r="49" spans="1:8" ht="13" x14ac:dyDescent="0.25">
      <c r="A49" s="146"/>
      <c r="B49" s="152">
        <v>8</v>
      </c>
      <c r="C49" s="148">
        <f t="shared" si="3"/>
        <v>5.3155124625537647E-2</v>
      </c>
      <c r="D49" s="149">
        <f ca="1">IF(YEAR(NOW())-'Dados de Entrada'!J$6&gt;B49,D50/(1-C49),IF(YEAR(NOW())-'Dados de Entrada'!J$6&lt;B49,D48*(1-C48),'Dados de Entrada'!J$7))</f>
        <v>254732.62398156821</v>
      </c>
      <c r="E49" s="149">
        <f t="shared" ca="1" si="4"/>
        <v>13540.344373930478</v>
      </c>
      <c r="F49" s="149" t="str">
        <f ca="1">IF(YEAR(NOW())-'Dados de Entrada'!J$6&gt;B49,"",IF('Dados de Entrada'!E$4/12&gt;='Dados de Entrada'!J$6+B49+1-YEAR(NOW()),E49,IF('Dados de Entrada'!E$4/12&gt;'Dados de Entrada'!J$6+B49-YEAR(NOW()),('Dados de Entrada'!E$4/12-ROUNDDOWN('Dados de Entrada'!E$4/12,0))*E49,"")))</f>
        <v/>
      </c>
      <c r="G49" s="145" t="str">
        <f t="shared" ca="1" si="5"/>
        <v/>
      </c>
      <c r="H49" s="151">
        <f ca="1">IF(YEAR(NOW())-'Dados de Entrada'!J$6&gt;=B49,H48*(1+VLOOKUP('Dados de Entrada'!J$6+B48,C$95:D$122,2)),"")</f>
        <v>615589.27765823831</v>
      </c>
    </row>
    <row r="50" spans="1:8" ht="13" x14ac:dyDescent="0.25">
      <c r="A50" s="146"/>
      <c r="B50" s="152">
        <v>9</v>
      </c>
      <c r="C50" s="148">
        <f t="shared" si="3"/>
        <v>5.4696110626336857E-2</v>
      </c>
      <c r="D50" s="149">
        <f ca="1">IF(YEAR(NOW())-'Dados de Entrada'!J$6&gt;B50,D51/(1-C50),IF(YEAR(NOW())-'Dados de Entrada'!J$6&lt;B50,D49*(1-C49),'Dados de Entrada'!J$7))</f>
        <v>241192.27960763773</v>
      </c>
      <c r="E50" s="149">
        <f t="shared" ca="1" si="4"/>
        <v>13192.279607637727</v>
      </c>
      <c r="F50" s="149" t="str">
        <f ca="1">IF(YEAR(NOW())-'Dados de Entrada'!J$6&gt;B50,"",IF('Dados de Entrada'!E$4/12&gt;='Dados de Entrada'!J$6+B50+1-YEAR(NOW()),E50,IF('Dados de Entrada'!E$4/12&gt;'Dados de Entrada'!J$6+B50-YEAR(NOW()),('Dados de Entrada'!E$4/12-ROUNDDOWN('Dados de Entrada'!E$4/12,0))*E50,"")))</f>
        <v/>
      </c>
      <c r="G50" s="145" t="str">
        <f t="shared" ca="1" si="5"/>
        <v/>
      </c>
      <c r="H50" s="151">
        <f ca="1">IF(YEAR(NOW())-'Dados de Entrada'!J$6&gt;=B50,H49*(1+VLOOKUP('Dados de Entrada'!J$6+B49,C$95:D$122,2)),"")</f>
        <v>639043.22913701716</v>
      </c>
    </row>
    <row r="51" spans="1:8" ht="13" x14ac:dyDescent="0.25">
      <c r="A51" s="146"/>
      <c r="B51" s="152">
        <v>10</v>
      </c>
      <c r="C51" s="148">
        <f t="shared" si="3"/>
        <v>5.5991915338544175E-2</v>
      </c>
      <c r="D51" s="149">
        <f ca="1">IF(YEAR(NOW())-'Dados de Entrada'!J$6&gt;B51,D52/(1-C51),IF(YEAR(NOW())-'Dados de Entrada'!J$6&lt;B51,D50*(1-C50),'Dados de Entrada'!J$7))</f>
        <v>228000</v>
      </c>
      <c r="E51" s="149">
        <f t="shared" ca="1" si="4"/>
        <v>12766.156697188067</v>
      </c>
      <c r="F51" s="149">
        <f ca="1">IF(YEAR(NOW())-'Dados de Entrada'!J$6&gt;B51,"",IF('Dados de Entrada'!E$4/12&gt;='Dados de Entrada'!J$6+B51+1-YEAR(NOW()),E51,IF('Dados de Entrada'!E$4/12&gt;'Dados de Entrada'!J$6+B51-YEAR(NOW()),('Dados de Entrada'!E$4/12-ROUNDDOWN('Dados de Entrada'!E$4/12,0))*E51,"")))</f>
        <v>12766.156697188067</v>
      </c>
      <c r="G51" s="145">
        <f t="shared" ca="1" si="5"/>
        <v>228000</v>
      </c>
      <c r="H51" s="151">
        <f ca="1">IF(YEAR(NOW())-'Dados de Entrada'!J$6&gt;=B51,H50*(1+VLOOKUP('Dados de Entrada'!J$6+B50,C$95:D$122,2)),"")</f>
        <v>665755.23611494456</v>
      </c>
    </row>
    <row r="52" spans="1:8" ht="13" x14ac:dyDescent="0.25">
      <c r="A52" s="146"/>
      <c r="B52" s="152">
        <v>11</v>
      </c>
      <c r="C52" s="148">
        <f t="shared" si="3"/>
        <v>5.7095460484016279E-2</v>
      </c>
      <c r="D52" s="149">
        <f ca="1">IF(YEAR(NOW())-'Dados de Entrada'!J$6&gt;B52,D53/(1-C52),IF(YEAR(NOW())-'Dados de Entrada'!J$6&lt;B52,D51*(1-C51),'Dados de Entrada'!J$7))</f>
        <v>215233.84330281193</v>
      </c>
      <c r="E52" s="149">
        <f t="shared" ca="1" si="4"/>
        <v>12288.875395118637</v>
      </c>
      <c r="F52" s="149">
        <f ca="1">IF(YEAR(NOW())-'Dados de Entrada'!J$6&gt;B52,"",IF('Dados de Entrada'!E$4/12&gt;='Dados de Entrada'!J$6+B52+1-YEAR(NOW()),E52,IF('Dados de Entrada'!E$4/12&gt;'Dados de Entrada'!J$6+B52-YEAR(NOW()),('Dados de Entrada'!E$4/12-ROUNDDOWN('Dados de Entrada'!E$4/12,0))*E52,"")))</f>
        <v>12288.875395118637</v>
      </c>
      <c r="G52" s="145">
        <f t="shared" ca="1" si="5"/>
        <v>215233.84330281193</v>
      </c>
      <c r="H52" s="151" t="str">
        <f ca="1">IF(YEAR(NOW())-'Dados de Entrada'!J$6&gt;=B52,H51*(1+VLOOKUP('Dados de Entrada'!J$6+B51,C$95:D$122,2)),"")</f>
        <v/>
      </c>
    </row>
    <row r="53" spans="1:8" ht="13" x14ac:dyDescent="0.25">
      <c r="A53" s="146"/>
      <c r="B53" s="152">
        <v>12</v>
      </c>
      <c r="C53" s="148">
        <f t="shared" si="3"/>
        <v>5.8045855086589562E-2</v>
      </c>
      <c r="D53" s="149">
        <f ca="1">IF(YEAR(NOW())-'Dados de Entrada'!J$6&gt;B53,D54/(1-C53),IF(YEAR(NOW())-'Dados de Entrada'!J$6&lt;B53,D52*(1-C52),'Dados de Entrada'!J$7))</f>
        <v>202944.9679076933</v>
      </c>
      <c r="E53" s="149">
        <f t="shared" ca="1" si="4"/>
        <v>11780.11419772252</v>
      </c>
      <c r="F53" s="149" t="str">
        <f ca="1">IF(YEAR(NOW())-'Dados de Entrada'!J$6&gt;B53,"",IF('Dados de Entrada'!E$4/12&gt;='Dados de Entrada'!J$6+B53+1-YEAR(NOW()),E53,IF('Dados de Entrada'!E$4/12&gt;'Dados de Entrada'!J$6+B53-YEAR(NOW()),('Dados de Entrada'!E$4/12-ROUNDDOWN('Dados de Entrada'!E$4/12,0))*E53,"")))</f>
        <v/>
      </c>
      <c r="G53" s="145" t="str">
        <f t="shared" ca="1" si="5"/>
        <v/>
      </c>
      <c r="H53" s="151" t="str">
        <f ca="1">IF(YEAR(NOW())-'Dados de Entrada'!J$6&gt;=B53,H52*(1+VLOOKUP('Dados de Entrada'!J$6+B52,C$95:D$122,2)),"")</f>
        <v/>
      </c>
    </row>
    <row r="54" spans="1:8" ht="13" x14ac:dyDescent="0.25">
      <c r="A54" s="146"/>
      <c r="B54" s="152">
        <v>13</v>
      </c>
      <c r="C54" s="148">
        <f t="shared" si="3"/>
        <v>5.8872480626363188E-2</v>
      </c>
      <c r="D54" s="149">
        <f ca="1">IF(YEAR(NOW())-'Dados de Entrada'!J$6&gt;B54,D55/(1-C54),IF(YEAR(NOW())-'Dados de Entrada'!J$6&lt;B54,D53*(1-C53),'Dados de Entrada'!J$7))</f>
        <v>191164.85370997078</v>
      </c>
      <c r="E54" s="149">
        <f t="shared" ca="1" si="4"/>
        <v>11254.349146481807</v>
      </c>
      <c r="F54" s="149" t="str">
        <f ca="1">IF(YEAR(NOW())-'Dados de Entrada'!J$6&gt;B54,"",IF('Dados de Entrada'!E$4/12&gt;='Dados de Entrada'!J$6+B54+1-YEAR(NOW()),E54,IF('Dados de Entrada'!E$4/12&gt;'Dados de Entrada'!J$6+B54-YEAR(NOW()),('Dados de Entrada'!E$4/12-ROUNDDOWN('Dados de Entrada'!E$4/12,0))*E54,"")))</f>
        <v/>
      </c>
      <c r="G54" s="153" t="str">
        <f t="shared" ca="1" si="5"/>
        <v/>
      </c>
      <c r="H54" s="151" t="str">
        <f ca="1">IF(YEAR(NOW())-'Dados de Entrada'!J$6&gt;=B54,H53*(1+VLOOKUP('Dados de Entrada'!J$6+B53,C$95:D$122,2)),"")</f>
        <v/>
      </c>
    </row>
    <row r="55" spans="1:8" ht="13" x14ac:dyDescent="0.25">
      <c r="A55" s="146"/>
      <c r="B55" s="152">
        <v>14</v>
      </c>
      <c r="C55" s="148">
        <f t="shared" si="3"/>
        <v>5.9597768638061328E-2</v>
      </c>
      <c r="D55" s="149">
        <f ca="1">IF(YEAR(NOW())-'Dados de Entrada'!J$6&gt;B55,D56/(1-C55),IF(YEAR(NOW())-'Dados de Entrada'!J$6&lt;B55,D54*(1-C54),'Dados de Entrada'!J$7))</f>
        <v>179910.50456348897</v>
      </c>
      <c r="E55" s="149">
        <f t="shared" ca="1" si="4"/>
        <v>10722.264626531687</v>
      </c>
      <c r="F55" s="149" t="str">
        <f ca="1">IF(YEAR(NOW())-'Dados de Entrada'!J$6&gt;B55,"",IF('Dados de Entrada'!E$4/12&gt;='Dados de Entrada'!J$6+B55+1-YEAR(NOW()),E55,IF('Dados de Entrada'!E$4/12&gt;'Dados de Entrada'!J$6+B55-YEAR(NOW()),('Dados de Entrada'!E$4/12-ROUNDDOWN('Dados de Entrada'!E$4/12,0))*E55,"")))</f>
        <v/>
      </c>
      <c r="G55" s="145" t="str">
        <f t="shared" ca="1" si="5"/>
        <v/>
      </c>
      <c r="H55" s="154" t="str">
        <f ca="1">IF(YEAR(NOW())-'Dados de Entrada'!J$6&gt;=B55,H54*(1+VLOOKUP('Dados de Entrada'!J$6+B54,C$95:D$122,2)),"")</f>
        <v/>
      </c>
    </row>
    <row r="56" spans="1:8" ht="13" x14ac:dyDescent="0.25">
      <c r="A56" s="146"/>
      <c r="B56" s="152">
        <v>15</v>
      </c>
      <c r="C56" s="148">
        <f t="shared" si="3"/>
        <v>6.023910506981283E-2</v>
      </c>
      <c r="D56" s="149">
        <f ca="1">IF(YEAR(NOW())-'Dados de Entrada'!J$6&gt;B56,D57/(1-C56),IF(YEAR(NOW())-'Dados de Entrada'!J$6&lt;B56,D55*(1-C55),'Dados de Entrada'!J$7))</f>
        <v>169188.23993695728</v>
      </c>
      <c r="E56" s="149">
        <f t="shared" ca="1" si="4"/>
        <v>10191.748162139062</v>
      </c>
      <c r="F56" s="149" t="str">
        <f ca="1">IF(YEAR(NOW())-'Dados de Entrada'!J$6&gt;B56,"",IF('Dados de Entrada'!E$4/12&gt;='Dados de Entrada'!J$6+B56+1-YEAR(NOW()),E56,IF('Dados de Entrada'!E$4/12&gt;'Dados de Entrada'!J$6+B56-YEAR(NOW()),('Dados de Entrada'!E$4/12-ROUNDDOWN('Dados de Entrada'!E$4/12,0))*E56,"")))</f>
        <v/>
      </c>
      <c r="G56" s="145" t="str">
        <f t="shared" ca="1" si="5"/>
        <v/>
      </c>
      <c r="H56" s="154" t="str">
        <f ca="1">IF(YEAR(NOW())-'Dados de Entrada'!J$6&gt;=B56,H55*(1+VLOOKUP('Dados de Entrada'!J$6+B55,C$95:D$122,2)),"")</f>
        <v/>
      </c>
    </row>
    <row r="57" spans="1:8" ht="13" x14ac:dyDescent="0.25">
      <c r="A57" s="146"/>
      <c r="B57" s="152">
        <v>16</v>
      </c>
      <c r="C57" s="148">
        <f t="shared" si="3"/>
        <v>6.0810153932993403E-2</v>
      </c>
      <c r="D57" s="149">
        <f ca="1">IF(YEAR(NOW())-'Dados de Entrada'!J$6&gt;B57,D58/(1-C57),IF(YEAR(NOW())-'Dados de Entrada'!J$6&lt;B57,D56*(1-C56),'Dados de Entrada'!J$7))</f>
        <v>158996.49177481822</v>
      </c>
      <c r="E57" s="149">
        <f t="shared" ca="1" si="4"/>
        <v>9668.6011396326066</v>
      </c>
      <c r="F57" s="149" t="str">
        <f ca="1">IF(YEAR(NOW())-'Dados de Entrada'!J$6&gt;B57,"",IF('Dados de Entrada'!E$4/12&gt;='Dados de Entrada'!J$6+B57+1-YEAR(NOW()),E57,IF('Dados de Entrada'!E$4/12&gt;'Dados de Entrada'!J$6+B57-YEAR(NOW()),('Dados de Entrada'!E$4/12-ROUNDDOWN('Dados de Entrada'!E$4/12,0))*E57,"")))</f>
        <v/>
      </c>
      <c r="G57" s="145" t="str">
        <f t="shared" ca="1" si="5"/>
        <v/>
      </c>
      <c r="H57" s="154" t="str">
        <f ca="1">IF(YEAR(NOW())-'Dados de Entrada'!J$6&gt;=B57,H56*(1+VLOOKUP('Dados de Entrada'!J$6+B56,C$95:D$122,2)),"")</f>
        <v/>
      </c>
    </row>
    <row r="58" spans="1:8" ht="13" x14ac:dyDescent="0.25">
      <c r="A58" s="146"/>
      <c r="B58" s="152">
        <v>17</v>
      </c>
      <c r="C58" s="148">
        <f t="shared" si="3"/>
        <v>6.1321791610177215E-2</v>
      </c>
      <c r="D58" s="149">
        <f ca="1">IF(YEAR(NOW())-'Dados de Entrada'!J$6&gt;B58,D59/(1-C58),IF(YEAR(NOW())-'Dados de Entrada'!J$6&lt;B58,D57*(1-C57),'Dados de Entrada'!J$7))</f>
        <v>149327.89063518561</v>
      </c>
      <c r="E58" s="149">
        <f t="shared" ca="1" si="4"/>
        <v>9157.0537911182037</v>
      </c>
      <c r="F58" s="149" t="str">
        <f ca="1">IF(YEAR(NOW())-'Dados de Entrada'!J$6&gt;B58,"",IF('Dados de Entrada'!E$4/12&gt;='Dados de Entrada'!J$6+B58+1-YEAR(NOW()),E58,IF('Dados de Entrada'!E$4/12&gt;'Dados de Entrada'!J$6+B58-YEAR(NOW()),('Dados de Entrada'!E$4/12-ROUNDDOWN('Dados de Entrada'!E$4/12,0))*E58,"")))</f>
        <v/>
      </c>
      <c r="G58" s="145" t="str">
        <f t="shared" ca="1" si="5"/>
        <v/>
      </c>
      <c r="H58" s="154" t="str">
        <f ca="1">IF(YEAR(NOW())-'Dados de Entrada'!J$6&gt;=B58,H57*(1+VLOOKUP('Dados de Entrada'!J$6+B57,C$95:D$122,2)),"")</f>
        <v/>
      </c>
    </row>
    <row r="59" spans="1:8" ht="13" x14ac:dyDescent="0.25">
      <c r="A59" s="146"/>
      <c r="B59" s="152">
        <v>18</v>
      </c>
      <c r="C59" s="148">
        <f t="shared" si="3"/>
        <v>6.1782776695697782E-2</v>
      </c>
      <c r="D59" s="149">
        <f ca="1">IF(YEAR(NOW())-'Dados de Entrada'!J$6&gt;B59,D60/(1-C59),IF(YEAR(NOW())-'Dados de Entrada'!J$6&lt;B59,D58*(1-C58),'Dados de Entrada'!J$7))</f>
        <v>140170.83684406741</v>
      </c>
      <c r="E59" s="149">
        <f t="shared" ca="1" si="4"/>
        <v>8660.143511986098</v>
      </c>
      <c r="F59" s="149" t="str">
        <f ca="1">IF(YEAR(NOW())-'Dados de Entrada'!J$6&gt;B59,"",IF('Dados de Entrada'!E$4/12&gt;='Dados de Entrada'!J$6+B59+1-YEAR(NOW()),E59,IF('Dados de Entrada'!E$4/12&gt;'Dados de Entrada'!J$6+B59-YEAR(NOW()),('Dados de Entrada'!E$4/12-ROUNDDOWN('Dados de Entrada'!E$4/12,0))*E59,"")))</f>
        <v/>
      </c>
      <c r="G59" s="145" t="str">
        <f t="shared" ca="1" si="5"/>
        <v/>
      </c>
      <c r="H59" s="154" t="str">
        <f ca="1">IF(YEAR(NOW())-'Dados de Entrada'!J$6&gt;=B59,H58*(1+VLOOKUP('Dados de Entrada'!J$6+B58,C$95:D$122,2)),"")</f>
        <v/>
      </c>
    </row>
    <row r="60" spans="1:8" ht="13" x14ac:dyDescent="0.25">
      <c r="A60" s="146"/>
      <c r="B60" s="152">
        <v>19</v>
      </c>
      <c r="C60" s="148">
        <f t="shared" si="3"/>
        <v>6.220023751563452E-2</v>
      </c>
      <c r="D60" s="149">
        <f ca="1">IF(YEAR(NOW())-'Dados de Entrada'!J$6&gt;B60,D61/(1-C60),IF(YEAR(NOW())-'Dados de Entrada'!J$6&lt;B60,D59*(1-C59),'Dados de Entrada'!J$7))</f>
        <v>131510.69333208131</v>
      </c>
      <c r="E60" s="149">
        <f t="shared" ca="1" si="4"/>
        <v>8179.9963611012354</v>
      </c>
      <c r="F60" s="149" t="str">
        <f ca="1">IF(YEAR(NOW())-'Dados de Entrada'!J$6&gt;B60,"",IF('Dados de Entrada'!E$4/12&gt;='Dados de Entrada'!J$6+B60+1-YEAR(NOW()),E60,IF('Dados de Entrada'!E$4/12&gt;'Dados de Entrada'!J$6+B60-YEAR(NOW()),('Dados de Entrada'!E$4/12-ROUNDDOWN('Dados de Entrada'!E$4/12,0))*E60,"")))</f>
        <v/>
      </c>
      <c r="G60" s="145" t="str">
        <f t="shared" ca="1" si="5"/>
        <v/>
      </c>
      <c r="H60" s="151" t="str">
        <f ca="1">IF(YEAR(NOW())-'Dados de Entrada'!J$6&gt;=B60,H59*(1+VLOOKUP('Dados de Entrada'!J$6+B59,C$95:D$122,2)),"")</f>
        <v/>
      </c>
    </row>
    <row r="61" spans="1:8" ht="13" x14ac:dyDescent="0.25">
      <c r="A61" s="146"/>
      <c r="B61" s="152">
        <v>20</v>
      </c>
      <c r="C61" s="148">
        <f t="shared" si="3"/>
        <v>6.2580032045672779E-2</v>
      </c>
      <c r="D61" s="149">
        <f ca="1">IF(YEAR(NOW())-'Dados de Entrada'!J$6&gt;B61,D62/(1-C61),IF(YEAR(NOW())-'Dados de Entrada'!J$6&lt;B61,D60*(1-C60),'Dados de Entrada'!J$7))</f>
        <v>123330.69697098008</v>
      </c>
      <c r="E61" s="149">
        <f t="shared" ca="1" si="4"/>
        <v>7718.0389686590934</v>
      </c>
      <c r="F61" s="149" t="str">
        <f ca="1">IF(YEAR(NOW())-'Dados de Entrada'!J$6&gt;B61,"",IF('Dados de Entrada'!E$4/12&gt;='Dados de Entrada'!J$6+B61+1-YEAR(NOW()),E61,IF('Dados de Entrada'!E$4/12&gt;'Dados de Entrada'!J$6+B61-YEAR(NOW()),('Dados de Entrada'!E$4/12-ROUNDDOWN('Dados de Entrada'!E$4/12,0))*E61,"")))</f>
        <v/>
      </c>
      <c r="G61" s="145" t="str">
        <f t="shared" ca="1" si="5"/>
        <v/>
      </c>
      <c r="H61" s="151" t="str">
        <f ca="1">IF(YEAR(NOW())-'Dados de Entrada'!J$6&gt;=B61,H60*(1+VLOOKUP('Dados de Entrada'!J$6+B60,C$95:D$122,2)),"")</f>
        <v/>
      </c>
    </row>
    <row r="62" spans="1:8" ht="13" x14ac:dyDescent="0.25">
      <c r="A62" s="146"/>
      <c r="B62" s="152">
        <v>21</v>
      </c>
      <c r="C62" s="148">
        <f t="shared" si="3"/>
        <v>6.2927017195910637E-2</v>
      </c>
      <c r="D62" s="149">
        <f ca="1">IF(YEAR(NOW())-'Dados de Entrada'!J$6&gt;B62,D63/(1-C62),IF(YEAR(NOW())-'Dados de Entrada'!J$6&lt;B62,D61*(1-C61),'Dados de Entrada'!J$7))</f>
        <v>115612.65800232098</v>
      </c>
      <c r="E62" s="149">
        <f t="shared" ca="1" si="4"/>
        <v>7275.1597181769903</v>
      </c>
      <c r="F62" s="149" t="str">
        <f ca="1">IF(YEAR(NOW())-'Dados de Entrada'!J$6&gt;B62,"",IF('Dados de Entrada'!E$4/12&gt;='Dados de Entrada'!J$6+B62+1-YEAR(NOW()),E62,IF('Dados de Entrada'!E$4/12&gt;'Dados de Entrada'!J$6+B62-YEAR(NOW()),('Dados de Entrada'!E$4/12-ROUNDDOWN('Dados de Entrada'!E$4/12,0))*E62,"")))</f>
        <v/>
      </c>
      <c r="G62" s="145" t="str">
        <f t="shared" ca="1" si="5"/>
        <v/>
      </c>
      <c r="H62" s="151" t="str">
        <f ca="1">IF(YEAR(NOW())-'Dados de Entrada'!J$6&gt;=B62,H61*(1+VLOOKUP('Dados de Entrada'!J$6+B61,C$95:D$122,2)),"")</f>
        <v/>
      </c>
    </row>
    <row r="63" spans="1:8" ht="13" x14ac:dyDescent="0.25">
      <c r="A63" s="146"/>
      <c r="B63" s="152">
        <v>22</v>
      </c>
      <c r="C63" s="148">
        <f t="shared" si="3"/>
        <v>6.3245252807009572E-2</v>
      </c>
      <c r="D63" s="149">
        <f ca="1">IF(YEAR(NOW())-'Dados de Entrada'!J$6&gt;B63,D64/(1-C63),IF(YEAR(NOW())-'Dados de Entrada'!J$6&lt;B63,D62*(1-C62),'Dados de Entrada'!J$7))</f>
        <v>108337.49828414399</v>
      </c>
      <c r="E63" s="155">
        <f ca="1">YEAR(NOW())-'Dados de Entrada'!J$6</f>
        <v>10</v>
      </c>
      <c r="F63" s="149" t="str">
        <f ca="1">IF(YEAR(NOW())-'Dados de Entrada'!J$6&gt;B63,"",IF('Dados de Entrada'!E$4/12&gt;='Dados de Entrada'!J$6+B63+1-YEAR(NOW()),E63,IF('Dados de Entrada'!E$4/12&gt;'Dados de Entrada'!J$6+B63-YEAR(NOW()),('Dados de Entrada'!E$4/12-ROUNDDOWN('Dados de Entrada'!E$4/12,0))*E63,"")))</f>
        <v/>
      </c>
      <c r="G63" s="145" t="str">
        <f t="shared" ca="1" si="5"/>
        <v/>
      </c>
      <c r="H63" s="151" t="str">
        <f ca="1">IF(YEAR(NOW())-'Dados de Entrada'!J$6&gt;=B63,H62*(1+VLOOKUP('Dados de Entrada'!J$6+B62,C$95:D$122,2)),"")</f>
        <v/>
      </c>
    </row>
    <row r="64" spans="1:8" ht="13" x14ac:dyDescent="0.25">
      <c r="A64" s="146"/>
      <c r="B64" s="139"/>
      <c r="C64" s="156"/>
      <c r="D64" s="157"/>
      <c r="E64" s="139"/>
      <c r="F64" s="139"/>
      <c r="G64" s="159"/>
      <c r="H64" s="145"/>
    </row>
    <row r="65" spans="1:8" ht="13" x14ac:dyDescent="0.25">
      <c r="A65" s="162"/>
      <c r="B65" s="139"/>
      <c r="C65" s="139"/>
      <c r="D65" s="139"/>
      <c r="E65" s="139"/>
      <c r="F65" s="139"/>
      <c r="G65" s="140"/>
      <c r="H65" s="145"/>
    </row>
    <row r="66" spans="1:8" ht="13" x14ac:dyDescent="0.25">
      <c r="A66" s="146"/>
      <c r="B66" s="352" t="s">
        <v>48</v>
      </c>
      <c r="C66" s="298"/>
      <c r="D66" s="298"/>
      <c r="E66" s="298"/>
      <c r="F66" s="299"/>
      <c r="G66" s="145"/>
      <c r="H66" s="160"/>
    </row>
    <row r="67" spans="1:8" ht="26" x14ac:dyDescent="0.25">
      <c r="A67" s="146"/>
      <c r="B67" s="144" t="s">
        <v>205</v>
      </c>
      <c r="C67" s="144" t="s">
        <v>206</v>
      </c>
      <c r="D67" s="144" t="s">
        <v>207</v>
      </c>
      <c r="E67" s="144" t="s">
        <v>208</v>
      </c>
      <c r="F67" s="144" t="s">
        <v>209</v>
      </c>
      <c r="G67" s="145"/>
      <c r="H67" s="161"/>
    </row>
    <row r="68" spans="1:8" ht="13" x14ac:dyDescent="0.25">
      <c r="A68" s="146"/>
      <c r="B68" s="147">
        <v>0</v>
      </c>
      <c r="C68" s="148">
        <f t="shared" ref="C68:C90" si="6">0.00635637852668087 +0.0712542999950912/(B68+1) -0.296774990294309/(B68+1)^2 +0.363971017624909/(B68+1)^3</f>
        <v>0.1448067058523721</v>
      </c>
      <c r="D68" s="149">
        <f ca="1">IF(YEAR(NOW())-'Dados de Entrada'!J$16&gt;B68,D69/(1-C68),IF(YEAR(NOW())-'Dados de Entrada'!J$16&lt;B68,D67*(1-C67),'Dados de Entrada'!J$17))</f>
        <v>207557.45872128964</v>
      </c>
      <c r="E68" s="149">
        <f t="shared" ref="E68:E89" ca="1" si="7">D68-D69</f>
        <v>30055.711872519663</v>
      </c>
      <c r="F68" s="149" t="str">
        <f ca="1">IF(YEAR(NOW())-'Dados de Entrada'!J$16&gt;B68,"",IF('Dados de Entrada'!E$4/12&gt;='Dados de Entrada'!J$16+B68+1-YEAR(NOW()),E68,IF('Dados de Entrada'!E$4/12&gt;'Dados de Entrada'!J$16+B68-YEAR(NOW()),('Dados de Entrada'!E$4/12-ROUNDDOWN('Dados de Entrada'!E$4/12,0))*E68,"")))</f>
        <v/>
      </c>
      <c r="G68" s="145" t="str">
        <f t="shared" ref="G68:G90" ca="1" si="8">IF(OR(F68="",E68=0),"",F68/E68*D68)</f>
        <v/>
      </c>
      <c r="H68" s="151">
        <f ca="1">D68</f>
        <v>207557.45872128964</v>
      </c>
    </row>
    <row r="69" spans="1:8" ht="13" x14ac:dyDescent="0.25">
      <c r="A69" s="146"/>
      <c r="B69" s="152">
        <v>1</v>
      </c>
      <c r="C69" s="148">
        <f t="shared" si="6"/>
        <v>1.3286158153762849E-2</v>
      </c>
      <c r="D69" s="149">
        <f ca="1">IF(YEAR(NOW())-'Dados de Entrada'!J$16&gt;B69,D70/(1-C69),IF(YEAR(NOW())-'Dados de Entrada'!J$16&lt;B69,D68*(1-C68),'Dados de Entrada'!J$17))</f>
        <v>177501.74684876998</v>
      </c>
      <c r="E69" s="149">
        <f t="shared" ca="1" si="7"/>
        <v>2358.3162812019291</v>
      </c>
      <c r="F69" s="149" t="str">
        <f ca="1">IF(YEAR(NOW())-'Dados de Entrada'!J$16&gt;B69,"",IF('Dados de Entrada'!E$4/12&gt;='Dados de Entrada'!J$16+B69+1-YEAR(NOW()),E69,IF('Dados de Entrada'!E$4/12&gt;'Dados de Entrada'!J$16+B69-YEAR(NOW()),('Dados de Entrada'!E$4/12-ROUNDDOWN('Dados de Entrada'!E$4/12,0))*E69,"")))</f>
        <v/>
      </c>
      <c r="G69" s="145" t="str">
        <f t="shared" ca="1" si="8"/>
        <v/>
      </c>
      <c r="H69" s="151">
        <f ca="1">IF(YEAR(NOW())-'Dados de Entrada'!J$6&gt;=B69,H68*(1+VLOOKUP('Dados de Entrada'!J$6+B68,C$95:D$122,2)),"")</f>
        <v>220612.82287485874</v>
      </c>
    </row>
    <row r="70" spans="1:8" ht="13" x14ac:dyDescent="0.25">
      <c r="A70" s="146"/>
      <c r="B70" s="152">
        <v>2</v>
      </c>
      <c r="C70" s="148">
        <f t="shared" si="6"/>
        <v>1.0613220996969866E-2</v>
      </c>
      <c r="D70" s="149">
        <f ca="1">IF(YEAR(NOW())-'Dados de Entrada'!J$16&gt;B70,D71/(1-C70),IF(YEAR(NOW())-'Dados de Entrada'!J$16&lt;B70,D69*(1-C69),'Dados de Entrada'!J$17))</f>
        <v>175143.43056756805</v>
      </c>
      <c r="E70" s="149">
        <f t="shared" ca="1" si="7"/>
        <v>1858.8359347810328</v>
      </c>
      <c r="F70" s="149" t="str">
        <f ca="1">IF(YEAR(NOW())-'Dados de Entrada'!J$16&gt;B70,"",IF('Dados de Entrada'!E$4/12&gt;='Dados de Entrada'!J$16+B70+1-YEAR(NOW()),E70,IF('Dados de Entrada'!E$4/12&gt;'Dados de Entrada'!J$16+B70-YEAR(NOW()),('Dados de Entrada'!E$4/12-ROUNDDOWN('Dados de Entrada'!E$4/12,0))*E70,"")))</f>
        <v/>
      </c>
      <c r="G70" s="145" t="str">
        <f t="shared" ca="1" si="8"/>
        <v/>
      </c>
      <c r="H70" s="151">
        <f ca="1">IF(YEAR(NOW())-'Dados de Entrada'!J$6&gt;=B70,H69*(1+VLOOKUP('Dados de Entrada'!J$6+B69,C$95:D$122,2)),"")</f>
        <v>227120.9011496671</v>
      </c>
    </row>
    <row r="71" spans="1:8" ht="13" x14ac:dyDescent="0.25">
      <c r="A71" s="146"/>
      <c r="B71" s="152">
        <v>3</v>
      </c>
      <c r="C71" s="148">
        <f t="shared" si="6"/>
        <v>1.130856378244856E-2</v>
      </c>
      <c r="D71" s="149">
        <f ca="1">IF(YEAR(NOW())-'Dados de Entrada'!J$16&gt;B71,D72/(1-C71),IF(YEAR(NOW())-'Dados de Entrada'!J$16&lt;B71,D70*(1-C70),'Dados de Entrada'!J$17))</f>
        <v>173284.59463278702</v>
      </c>
      <c r="E71" s="149">
        <f t="shared" ca="1" si="7"/>
        <v>1959.5998909206246</v>
      </c>
      <c r="F71" s="149" t="str">
        <f ca="1">IF(YEAR(NOW())-'Dados de Entrada'!J$16&gt;B71,"",IF('Dados de Entrada'!E$4/12&gt;='Dados de Entrada'!J$16+B71+1-YEAR(NOW()),E71,IF('Dados de Entrada'!E$4/12&gt;'Dados de Entrada'!J$16+B71-YEAR(NOW()),('Dados de Entrada'!E$4/12-ROUNDDOWN('Dados de Entrada'!E$4/12,0))*E71,"")))</f>
        <v/>
      </c>
      <c r="G71" s="145" t="str">
        <f t="shared" ca="1" si="8"/>
        <v/>
      </c>
      <c r="H71" s="151">
        <f ca="1">IF(YEAR(NOW())-'Dados de Entrada'!J$6&gt;=B71,H70*(1+VLOOKUP('Dados de Entrada'!J$6+B70,C$95:D$122,2)),"")</f>
        <v>235637.93494277963</v>
      </c>
    </row>
    <row r="72" spans="1:8" ht="13" x14ac:dyDescent="0.25">
      <c r="A72" s="146"/>
      <c r="B72" s="152">
        <v>4</v>
      </c>
      <c r="C72" s="148">
        <f t="shared" si="6"/>
        <v>1.1648007054926022E-2</v>
      </c>
      <c r="D72" s="149">
        <f ca="1">IF(YEAR(NOW())-'Dados de Entrada'!J$16&gt;B72,D73/(1-C72),IF(YEAR(NOW())-'Dados de Entrada'!J$16&lt;B72,D71*(1-C71),'Dados de Entrada'!J$17))</f>
        <v>171324.99474186639</v>
      </c>
      <c r="E72" s="149">
        <f t="shared" ca="1" si="7"/>
        <v>1995.5947474384157</v>
      </c>
      <c r="F72" s="149" t="str">
        <f ca="1">IF(YEAR(NOW())-'Dados de Entrada'!J$16&gt;B72,"",IF('Dados de Entrada'!E$4/12&gt;='Dados de Entrada'!J$16+B72+1-YEAR(NOW()),E72,IF('Dados de Entrada'!E$4/12&gt;'Dados de Entrada'!J$16+B72-YEAR(NOW()),('Dados de Entrada'!E$4/12-ROUNDDOWN('Dados de Entrada'!E$4/12,0))*E72,"")))</f>
        <v/>
      </c>
      <c r="G72" s="145" t="str">
        <f t="shared" ca="1" si="8"/>
        <v/>
      </c>
      <c r="H72" s="151">
        <f ca="1">IF(YEAR(NOW())-'Dados de Entrada'!J$6&gt;=B72,H71*(1+VLOOKUP('Dados de Entrada'!J$6+B71,C$95:D$122,2)),"")</f>
        <v>245793.92993881341</v>
      </c>
    </row>
    <row r="73" spans="1:8" ht="13" x14ac:dyDescent="0.25">
      <c r="A73" s="146"/>
      <c r="B73" s="152">
        <v>5</v>
      </c>
      <c r="C73" s="148">
        <f t="shared" si="6"/>
        <v>1.1673396469654658E-2</v>
      </c>
      <c r="D73" s="149">
        <f ca="1">IF(YEAR(NOW())-'Dados de Entrada'!J$16&gt;B73,D74/(1-C73),IF(YEAR(NOW())-'Dados de Entrada'!J$16&lt;B73,D72*(1-C72),'Dados de Entrada'!J$17))</f>
        <v>169329.39999442798</v>
      </c>
      <c r="E73" s="149">
        <f t="shared" ca="1" si="7"/>
        <v>1976.6492201037181</v>
      </c>
      <c r="F73" s="149" t="str">
        <f ca="1">IF(YEAR(NOW())-'Dados de Entrada'!J$16&gt;B73,"",IF('Dados de Entrada'!E$4/12&gt;='Dados de Entrada'!J$16+B73+1-YEAR(NOW()),E73,IF('Dados de Entrada'!E$4/12&gt;'Dados de Entrada'!J$16+B73-YEAR(NOW()),('Dados de Entrada'!E$4/12-ROUNDDOWN('Dados de Entrada'!E$4/12,0))*E73,"")))</f>
        <v/>
      </c>
      <c r="G73" s="145" t="str">
        <f t="shared" ca="1" si="8"/>
        <v/>
      </c>
      <c r="H73" s="151">
        <f ca="1">IF(YEAR(NOW())-'Dados de Entrada'!J$6&gt;=B73,H72*(1+VLOOKUP('Dados de Entrada'!J$6+B72,C$95:D$122,2)),"")</f>
        <v>256903.81557204775</v>
      </c>
    </row>
    <row r="74" spans="1:8" ht="13" x14ac:dyDescent="0.25">
      <c r="A74" s="146"/>
      <c r="B74" s="152">
        <v>6</v>
      </c>
      <c r="C74" s="148">
        <f t="shared" si="6"/>
        <v>1.1540071778354966E-2</v>
      </c>
      <c r="D74" s="149">
        <f ca="1">IF(YEAR(NOW())-'Dados de Entrada'!J$16&gt;B74,D75/(1-C74),IF(YEAR(NOW())-'Dados de Entrada'!J$16&lt;B74,D73*(1-C73),'Dados de Entrada'!J$17))</f>
        <v>167352.75077432426</v>
      </c>
      <c r="E74" s="149">
        <f t="shared" ca="1" si="7"/>
        <v>1931.2627562408452</v>
      </c>
      <c r="F74" s="149" t="str">
        <f ca="1">IF(YEAR(NOW())-'Dados de Entrada'!J$16&gt;B74,"",IF('Dados de Entrada'!E$4/12&gt;='Dados de Entrada'!J$16+B74+1-YEAR(NOW()),E74,IF('Dados de Entrada'!E$4/12&gt;'Dados de Entrada'!J$16+B74-YEAR(NOW()),('Dados de Entrada'!E$4/12-ROUNDDOWN('Dados de Entrada'!E$4/12,0))*E74,"")))</f>
        <v/>
      </c>
      <c r="G74" s="145" t="str">
        <f t="shared" ca="1" si="8"/>
        <v/>
      </c>
      <c r="H74" s="151">
        <f ca="1">IF(YEAR(NOW())-'Dados de Entrada'!J$6&gt;=B74,H73*(1+VLOOKUP('Dados de Entrada'!J$6+B73,C$95:D$122,2)),"")</f>
        <v>282748.33941859577</v>
      </c>
    </row>
    <row r="75" spans="1:8" ht="13" x14ac:dyDescent="0.25">
      <c r="A75" s="146"/>
      <c r="B75" s="152">
        <v>7</v>
      </c>
      <c r="C75" s="148">
        <f t="shared" si="6"/>
        <v>1.1336937696517342E-2</v>
      </c>
      <c r="D75" s="149">
        <f ca="1">IF(YEAR(NOW())-'Dados de Entrada'!J$16&gt;B75,D76/(1-C75),IF(YEAR(NOW())-'Dados de Entrada'!J$16&lt;B75,D74*(1-C74),'Dados de Entrada'!J$17))</f>
        <v>165421.48801808342</v>
      </c>
      <c r="E75" s="149">
        <f t="shared" ca="1" si="7"/>
        <v>1875.3731033261865</v>
      </c>
      <c r="F75" s="149" t="str">
        <f ca="1">IF(YEAR(NOW())-'Dados de Entrada'!J$16&gt;B75,"",IF('Dados de Entrada'!E$4/12&gt;='Dados de Entrada'!J$16+B75+1-YEAR(NOW()),E75,IF('Dados de Entrada'!E$4/12&gt;'Dados de Entrada'!J$16+B75-YEAR(NOW()),('Dados de Entrada'!E$4/12-ROUNDDOWN('Dados de Entrada'!E$4/12,0))*E75,"")))</f>
        <v/>
      </c>
      <c r="G75" s="145" t="str">
        <f t="shared" ca="1" si="8"/>
        <v/>
      </c>
      <c r="H75" s="151">
        <f ca="1">IF(YEAR(NOW())-'Dados de Entrada'!J$6&gt;=B75,H74*(1+VLOOKUP('Dados de Entrada'!J$6+B74,C$95:D$122,2)),"")</f>
        <v>299119.4682709325</v>
      </c>
    </row>
    <row r="76" spans="1:8" ht="13" x14ac:dyDescent="0.25">
      <c r="A76" s="146"/>
      <c r="B76" s="152">
        <v>8</v>
      </c>
      <c r="C76" s="148">
        <f t="shared" si="6"/>
        <v>1.1108908574113677E-2</v>
      </c>
      <c r="D76" s="149">
        <f ca="1">IF(YEAR(NOW())-'Dados de Entrada'!J$16&gt;B76,D77/(1-C76),IF(YEAR(NOW())-'Dados de Entrada'!J$16&lt;B76,D75*(1-C75),'Dados de Entrada'!J$17))</f>
        <v>163546.11491475723</v>
      </c>
      <c r="E76" s="149">
        <f t="shared" ca="1" si="7"/>
        <v>1816.818838239531</v>
      </c>
      <c r="F76" s="149" t="str">
        <f ca="1">IF(YEAR(NOW())-'Dados de Entrada'!J$16&gt;B76,"",IF('Dados de Entrada'!E$4/12&gt;='Dados de Entrada'!J$16+B76+1-YEAR(NOW()),E76,IF('Dados de Entrada'!E$4/12&gt;'Dados de Entrada'!J$16+B76-YEAR(NOW()),('Dados de Entrada'!E$4/12-ROUNDDOWN('Dados de Entrada'!E$4/12,0))*E76,"")))</f>
        <v/>
      </c>
      <c r="G76" s="145" t="str">
        <f t="shared" ca="1" si="8"/>
        <v/>
      </c>
      <c r="H76" s="151">
        <f ca="1">IF(YEAR(NOW())-'Dados de Entrada'!J$6&gt;=B76,H75*(1+VLOOKUP('Dados de Entrada'!J$6+B75,C$95:D$122,2)),"")</f>
        <v>312938.78770504956</v>
      </c>
    </row>
    <row r="77" spans="1:8" ht="13" x14ac:dyDescent="0.25">
      <c r="A77" s="146"/>
      <c r="B77" s="152">
        <v>9</v>
      </c>
      <c r="C77" s="148">
        <f t="shared" si="6"/>
        <v>1.0878029640871808E-2</v>
      </c>
      <c r="D77" s="149">
        <f ca="1">IF(YEAR(NOW())-'Dados de Entrada'!J$16&gt;B77,D78/(1-C77),IF(YEAR(NOW())-'Dados de Entrada'!J$16&lt;B77,D76*(1-C76),'Dados de Entrada'!J$17))</f>
        <v>161729.2960765177</v>
      </c>
      <c r="E77" s="149">
        <f t="shared" ca="1" si="7"/>
        <v>1759.2960765176977</v>
      </c>
      <c r="F77" s="149" t="str">
        <f ca="1">IF(YEAR(NOW())-'Dados de Entrada'!J$16&gt;B77,"",IF('Dados de Entrada'!E$4/12&gt;='Dados de Entrada'!J$16+B77+1-YEAR(NOW()),E77,IF('Dados de Entrada'!E$4/12&gt;'Dados de Entrada'!J$16+B77-YEAR(NOW()),('Dados de Entrada'!E$4/12-ROUNDDOWN('Dados de Entrada'!E$4/12,0))*E77,"")))</f>
        <v/>
      </c>
      <c r="G77" s="153" t="str">
        <f t="shared" ca="1" si="8"/>
        <v/>
      </c>
      <c r="H77" s="151">
        <f ca="1">IF(YEAR(NOW())-'Dados de Entrada'!J$6&gt;=B77,H76*(1+VLOOKUP('Dados de Entrada'!J$6+B76,C$95:D$122,2)),"")</f>
        <v>324861.75551661197</v>
      </c>
    </row>
    <row r="78" spans="1:8" ht="13" x14ac:dyDescent="0.25">
      <c r="A78" s="146"/>
      <c r="B78" s="152">
        <v>10</v>
      </c>
      <c r="C78" s="148">
        <f t="shared" si="6"/>
        <v>1.0654813105038154E-2</v>
      </c>
      <c r="D78" s="149">
        <f ca="1">IF(YEAR(NOW())-'Dados de Entrada'!J$16&gt;B78,D79/(1-C78),IF(YEAR(NOW())-'Dados de Entrada'!J$16&lt;B78,D77*(1-C77),'Dados de Entrada'!J$17))</f>
        <v>159970</v>
      </c>
      <c r="E78" s="149">
        <f t="shared" ca="1" si="7"/>
        <v>1704.4504524129443</v>
      </c>
      <c r="F78" s="149">
        <f ca="1">IF(YEAR(NOW())-'Dados de Entrada'!J$16&gt;B78,"",IF('Dados de Entrada'!E$4/12&gt;='Dados de Entrada'!J$16+B78+1-YEAR(NOW()),E78,IF('Dados de Entrada'!E$4/12&gt;'Dados de Entrada'!J$16+B78-YEAR(NOW()),('Dados de Entrada'!E$4/12-ROUNDDOWN('Dados de Entrada'!E$4/12,0))*E78,"")))</f>
        <v>1704.4504524129443</v>
      </c>
      <c r="G78" s="145">
        <f t="shared" ca="1" si="8"/>
        <v>159970</v>
      </c>
      <c r="H78" s="151">
        <f ca="1">IF(YEAR(NOW())-'Dados de Entrada'!J$6&gt;=B78,H77*(1+VLOOKUP('Dados de Entrada'!J$6+B77,C$95:D$122,2)),"")</f>
        <v>338440.97689720639</v>
      </c>
    </row>
    <row r="79" spans="1:8" ht="13" x14ac:dyDescent="0.25">
      <c r="A79" s="146"/>
      <c r="B79" s="152">
        <v>11</v>
      </c>
      <c r="C79" s="148">
        <f t="shared" si="6"/>
        <v>1.0443930802946109E-2</v>
      </c>
      <c r="D79" s="149">
        <f ca="1">IF(YEAR(NOW())-'Dados de Entrada'!J$16&gt;B79,D80/(1-C79),IF(YEAR(NOW())-'Dados de Entrada'!J$16&lt;B79,D78*(1-C78),'Dados de Entrada'!J$17))</f>
        <v>158265.54954758706</v>
      </c>
      <c r="E79" s="149">
        <f t="shared" ca="1" si="7"/>
        <v>1652.9144479652459</v>
      </c>
      <c r="F79" s="149">
        <f ca="1">IF(YEAR(NOW())-'Dados de Entrada'!J$16&gt;B79,"",IF('Dados de Entrada'!E$4/12&gt;='Dados de Entrada'!J$16+B79+1-YEAR(NOW()),E79,IF('Dados de Entrada'!E$4/12&gt;'Dados de Entrada'!J$16+B79-YEAR(NOW()),('Dados de Entrada'!E$4/12-ROUNDDOWN('Dados de Entrada'!E$4/12,0))*E79,"")))</f>
        <v>1652.9144479652459</v>
      </c>
      <c r="G79" s="145">
        <f t="shared" ca="1" si="8"/>
        <v>158265.54954758706</v>
      </c>
      <c r="H79" s="151" t="str">
        <f ca="1">IF(YEAR(NOW())-'Dados de Entrada'!J$6&gt;=B79,H78*(1+VLOOKUP('Dados de Entrada'!J$6+B78,C$95:D$122,2)),"")</f>
        <v/>
      </c>
    </row>
    <row r="80" spans="1:8" ht="13" x14ac:dyDescent="0.25">
      <c r="A80" s="146"/>
      <c r="B80" s="152">
        <v>12</v>
      </c>
      <c r="C80" s="148">
        <f t="shared" si="6"/>
        <v>1.0247080776553107E-2</v>
      </c>
      <c r="D80" s="149">
        <f ca="1">IF(YEAR(NOW())-'Dados de Entrada'!J$16&gt;B80,D81/(1-C80),IF(YEAR(NOW())-'Dados de Entrada'!J$16&lt;B80,D79*(1-C79),'Dados de Entrada'!J$17))</f>
        <v>156612.63509962181</v>
      </c>
      <c r="E80" s="149">
        <f t="shared" ca="1" si="7"/>
        <v>1604.8223224946705</v>
      </c>
      <c r="F80" s="149" t="str">
        <f ca="1">IF(YEAR(NOW())-'Dados de Entrada'!J$16&gt;B80,"",IF('Dados de Entrada'!E$4/12&gt;='Dados de Entrada'!J$16+B80+1-YEAR(NOW()),E80,IF('Dados de Entrada'!E$4/12&gt;'Dados de Entrada'!J$16+B80-YEAR(NOW()),('Dados de Entrada'!E$4/12-ROUNDDOWN('Dados de Entrada'!E$4/12,0))*E80,"")))</f>
        <v/>
      </c>
      <c r="G80" s="145" t="str">
        <f t="shared" ca="1" si="8"/>
        <v/>
      </c>
      <c r="H80" s="151" t="str">
        <f ca="1">IF(YEAR(NOW())-'Dados de Entrada'!J$6&gt;=B80,H79*(1+VLOOKUP('Dados de Entrada'!J$6+B79,C$95:D$122,2)),"")</f>
        <v/>
      </c>
    </row>
    <row r="81" spans="1:8" ht="13" x14ac:dyDescent="0.25">
      <c r="A81" s="146"/>
      <c r="B81" s="152">
        <v>13</v>
      </c>
      <c r="C81" s="148">
        <f t="shared" si="6"/>
        <v>1.0064455768861068E-2</v>
      </c>
      <c r="D81" s="149">
        <f ca="1">IF(YEAR(NOW())-'Dados de Entrada'!J$16&gt;B81,D82/(1-C81),IF(YEAR(NOW())-'Dados de Entrada'!J$16&lt;B81,D80*(1-C80),'Dados de Entrada'!J$17))</f>
        <v>155007.81277712714</v>
      </c>
      <c r="E81" s="149">
        <f t="shared" ca="1" si="7"/>
        <v>1560.0692755233031</v>
      </c>
      <c r="F81" s="149" t="str">
        <f ca="1">IF(YEAR(NOW())-'Dados de Entrada'!J$16&gt;B81,"",IF('Dados de Entrada'!E$4/12&gt;='Dados de Entrada'!J$16+B81+1-YEAR(NOW()),E81,IF('Dados de Entrada'!E$4/12&gt;'Dados de Entrada'!J$16+B81-YEAR(NOW()),('Dados de Entrada'!E$4/12-ROUNDDOWN('Dados de Entrada'!E$4/12,0))*E81,"")))</f>
        <v/>
      </c>
      <c r="G81" s="145" t="str">
        <f t="shared" ca="1" si="8"/>
        <v/>
      </c>
      <c r="H81" s="151" t="str">
        <f ca="1">IF(YEAR(NOW())-'Dados de Entrada'!J$6&gt;=B81,H80*(1+VLOOKUP('Dados de Entrada'!J$6+B80,C$95:D$122,2)),"")</f>
        <v/>
      </c>
    </row>
    <row r="82" spans="1:8" ht="13" x14ac:dyDescent="0.25">
      <c r="A82" s="146"/>
      <c r="B82" s="152">
        <v>14</v>
      </c>
      <c r="C82" s="148">
        <f t="shared" si="6"/>
        <v>9.8955085006381411E-3</v>
      </c>
      <c r="D82" s="149">
        <f ca="1">IF(YEAR(NOW())-'Dados de Entrada'!J$16&gt;B82,D83/(1-C82),IF(YEAR(NOW())-'Dados de Entrada'!J$16&lt;B82,D81*(1-C81),'Dados de Entrada'!J$17))</f>
        <v>153447.74350160384</v>
      </c>
      <c r="E82" s="149">
        <f t="shared" ca="1" si="7"/>
        <v>1518.4434502238582</v>
      </c>
      <c r="F82" s="149" t="str">
        <f ca="1">IF(YEAR(NOW())-'Dados de Entrada'!J$16&gt;B82,"",IF('Dados de Entrada'!E$4/12&gt;='Dados de Entrada'!J$16+B82+1-YEAR(NOW()),E82,IF('Dados de Entrada'!E$4/12&gt;'Dados de Entrada'!J$16+B82-YEAR(NOW()),('Dados de Entrada'!E$4/12-ROUNDDOWN('Dados de Entrada'!E$4/12,0))*E82,"")))</f>
        <v/>
      </c>
      <c r="G82" s="145" t="str">
        <f t="shared" ca="1" si="8"/>
        <v/>
      </c>
      <c r="H82" s="154" t="str">
        <f ca="1">IF(YEAR(NOW())-'Dados de Entrada'!J$6&gt;=B82,H81*(1+VLOOKUP('Dados de Entrada'!J$6+B81,C$95:D$122,2)),"")</f>
        <v/>
      </c>
    </row>
    <row r="83" spans="1:8" ht="13" x14ac:dyDescent="0.25">
      <c r="A83" s="146"/>
      <c r="B83" s="152">
        <v>15</v>
      </c>
      <c r="C83" s="148">
        <f t="shared" si="6"/>
        <v>9.7393550822617581E-3</v>
      </c>
      <c r="D83" s="149">
        <f ca="1">IF(YEAR(NOW())-'Dados de Entrada'!J$16&gt;B83,D84/(1-C83),IF(YEAR(NOW())-'Dados de Entrada'!J$16&lt;B83,D82*(1-C82),'Dados de Entrada'!J$17))</f>
        <v>151929.30005137998</v>
      </c>
      <c r="E83" s="149">
        <f t="shared" ca="1" si="7"/>
        <v>1479.6934005998774</v>
      </c>
      <c r="F83" s="149" t="str">
        <f ca="1">IF(YEAR(NOW())-'Dados de Entrada'!J$16&gt;B83,"",IF('Dados de Entrada'!E$4/12&gt;='Dados de Entrada'!J$16+B83+1-YEAR(NOW()),E83,IF('Dados de Entrada'!E$4/12&gt;'Dados de Entrada'!J$16+B83-YEAR(NOW()),('Dados de Entrada'!E$4/12-ROUNDDOWN('Dados de Entrada'!E$4/12,0))*E83,"")))</f>
        <v/>
      </c>
      <c r="G83" s="145" t="str">
        <f t="shared" ca="1" si="8"/>
        <v/>
      </c>
      <c r="H83" s="154" t="str">
        <f ca="1">IF(YEAR(NOW())-'Dados de Entrada'!J$6&gt;=B83,H82*(1+VLOOKUP('Dados de Entrada'!J$6+B82,C$95:D$122,2)),"")</f>
        <v/>
      </c>
    </row>
    <row r="84" spans="1:8" ht="13" x14ac:dyDescent="0.25">
      <c r="A84" s="146"/>
      <c r="B84" s="152">
        <v>16</v>
      </c>
      <c r="C84" s="148">
        <f t="shared" si="6"/>
        <v>9.594988109665404E-3</v>
      </c>
      <c r="D84" s="149">
        <f ca="1">IF(YEAR(NOW())-'Dados de Entrada'!J$16&gt;B84,D85/(1-C84),IF(YEAR(NOW())-'Dados de Entrada'!J$16&lt;B84,D83*(1-C83),'Dados de Entrada'!J$17))</f>
        <v>150449.6066507801</v>
      </c>
      <c r="E84" s="149">
        <f t="shared" ca="1" si="7"/>
        <v>1443.5621869180759</v>
      </c>
      <c r="F84" s="149" t="str">
        <f ca="1">IF(YEAR(NOW())-'Dados de Entrada'!J$16&gt;B84,"",IF('Dados de Entrada'!E$4/12&gt;='Dados de Entrada'!J$16+B84+1-YEAR(NOW()),E84,IF('Dados de Entrada'!E$4/12&gt;'Dados de Entrada'!J$16+B84-YEAR(NOW()),('Dados de Entrada'!E$4/12-ROUNDDOWN('Dados de Entrada'!E$4/12,0))*E84,"")))</f>
        <v/>
      </c>
      <c r="G84" s="145" t="str">
        <f t="shared" ca="1" si="8"/>
        <v/>
      </c>
      <c r="H84" s="154" t="str">
        <f ca="1">IF(YEAR(NOW())-'Dados de Entrada'!J$6&gt;=B84,H83*(1+VLOOKUP('Dados de Entrada'!J$6+B83,C$95:D$122,2)),"")</f>
        <v/>
      </c>
    </row>
    <row r="85" spans="1:8" ht="13" x14ac:dyDescent="0.25">
      <c r="A85" s="146"/>
      <c r="B85" s="152">
        <v>17</v>
      </c>
      <c r="C85" s="148">
        <f t="shared" si="6"/>
        <v>9.4613878529389104E-3</v>
      </c>
      <c r="D85" s="149">
        <f ca="1">IF(YEAR(NOW())-'Dados de Entrada'!J$16&gt;B85,D86/(1-C85),IF(YEAR(NOW())-'Dados de Entrada'!J$16&lt;B85,D84*(1-C84),'Dados de Entrada'!J$17))</f>
        <v>149006.04446386202</v>
      </c>
      <c r="E85" s="149">
        <f t="shared" ca="1" si="7"/>
        <v>1409.8039791048504</v>
      </c>
      <c r="F85" s="149" t="str">
        <f ca="1">IF(YEAR(NOW())-'Dados de Entrada'!J$16&gt;B85,"",IF('Dados de Entrada'!E$4/12&gt;='Dados de Entrada'!J$16+B85+1-YEAR(NOW()),E85,IF('Dados de Entrada'!E$4/12&gt;'Dados de Entrada'!J$16+B85-YEAR(NOW()),('Dados de Entrada'!E$4/12-ROUNDDOWN('Dados de Entrada'!E$4/12,0))*E85,"")))</f>
        <v/>
      </c>
      <c r="G85" s="145" t="str">
        <f t="shared" ca="1" si="8"/>
        <v/>
      </c>
      <c r="H85" s="154" t="str">
        <f ca="1">IF(YEAR(NOW())-'Dados de Entrada'!J$6&gt;=B85,H84*(1+VLOOKUP('Dados de Entrada'!J$6+B84,C$95:D$122,2)),"")</f>
        <v/>
      </c>
    </row>
    <row r="86" spans="1:8" ht="13" x14ac:dyDescent="0.25">
      <c r="A86" s="146"/>
      <c r="B86" s="152">
        <v>18</v>
      </c>
      <c r="C86" s="148">
        <f t="shared" si="6"/>
        <v>9.3375781913930672E-3</v>
      </c>
      <c r="D86" s="149">
        <f ca="1">IF(YEAR(NOW())-'Dados de Entrada'!J$16&gt;B86,D87/(1-C86),IF(YEAR(NOW())-'Dados de Entrada'!J$16&lt;B86,D85*(1-C85),'Dados de Entrada'!J$17))</f>
        <v>147596.24048475717</v>
      </c>
      <c r="E86" s="149">
        <f t="shared" ca="1" si="7"/>
        <v>1378.191436282068</v>
      </c>
      <c r="F86" s="149" t="str">
        <f ca="1">IF(YEAR(NOW())-'Dados de Entrada'!J$16&gt;B86,"",IF('Dados de Entrada'!E$4/12&gt;='Dados de Entrada'!J$16+B86+1-YEAR(NOW()),E86,IF('Dados de Entrada'!E$4/12&gt;'Dados de Entrada'!J$16+B86-YEAR(NOW()),('Dados de Entrada'!E$4/12-ROUNDDOWN('Dados de Entrada'!E$4/12,0))*E86,"")))</f>
        <v/>
      </c>
      <c r="G86" s="145" t="str">
        <f t="shared" ca="1" si="8"/>
        <v/>
      </c>
      <c r="H86" s="154" t="str">
        <f ca="1">IF(YEAR(NOW())-'Dados de Entrada'!J$6&gt;=B86,H85*(1+VLOOKUP('Dados de Entrada'!J$6+B85,C$95:D$122,2)),"")</f>
        <v/>
      </c>
    </row>
    <row r="87" spans="1:8" ht="13" x14ac:dyDescent="0.25">
      <c r="A87" s="146"/>
      <c r="B87" s="152">
        <v>19</v>
      </c>
      <c r="C87" s="148">
        <f t="shared" si="6"/>
        <v>9.2226524279027718E-3</v>
      </c>
      <c r="D87" s="149">
        <f ca="1">IF(YEAR(NOW())-'Dados de Entrada'!J$16&gt;B87,D88/(1-C87),IF(YEAR(NOW())-'Dados de Entrada'!J$16&lt;B87,D86*(1-C86),'Dados de Entrada'!J$17))</f>
        <v>146218.04904847511</v>
      </c>
      <c r="E87" s="149">
        <f t="shared" ca="1" si="7"/>
        <v>1348.5182450601133</v>
      </c>
      <c r="F87" s="149" t="str">
        <f ca="1">IF(YEAR(NOW())-'Dados de Entrada'!J$16&gt;B87,"",IF('Dados de Entrada'!E$4/12&gt;='Dados de Entrada'!J$16+B87+1-YEAR(NOW()),E87,IF('Dados de Entrada'!E$4/12&gt;'Dados de Entrada'!J$16+B87-YEAR(NOW()),('Dados de Entrada'!E$4/12-ROUNDDOWN('Dados de Entrada'!E$4/12,0))*E87,"")))</f>
        <v/>
      </c>
      <c r="G87" s="145" t="str">
        <f t="shared" ca="1" si="8"/>
        <v/>
      </c>
      <c r="H87" s="151" t="str">
        <f ca="1">IF(YEAR(NOW())-'Dados de Entrada'!J$6&gt;=B87,H86*(1+VLOOKUP('Dados de Entrada'!J$6+B86,C$95:D$122,2)),"")</f>
        <v/>
      </c>
    </row>
    <row r="88" spans="1:8" ht="13" x14ac:dyDescent="0.25">
      <c r="A88" s="146"/>
      <c r="B88" s="152">
        <v>20</v>
      </c>
      <c r="C88" s="148">
        <f t="shared" si="6"/>
        <v>9.1157827507689412E-3</v>
      </c>
      <c r="D88" s="149">
        <f ca="1">IF(YEAR(NOW())-'Dados de Entrada'!J$16&gt;B88,D89/(1-C88),IF(YEAR(NOW())-'Dados de Entrada'!J$16&lt;B88,D87*(1-C87),'Dados de Entrada'!J$17))</f>
        <v>144869.53080341499</v>
      </c>
      <c r="E88" s="149">
        <f t="shared" ca="1" si="7"/>
        <v>1320.5991700097511</v>
      </c>
      <c r="F88" s="149" t="str">
        <f ca="1">IF(YEAR(NOW())-'Dados de Entrada'!J$16&gt;B88,"",IF('Dados de Entrada'!E$4/12&gt;='Dados de Entrada'!J$16+B88+1-YEAR(NOW()),E88,IF('Dados de Entrada'!E$4/12&gt;'Dados de Entrada'!J$16+B88-YEAR(NOW()),('Dados de Entrada'!E$4/12-ROUNDDOWN('Dados de Entrada'!E$4/12,0))*E88,"")))</f>
        <v/>
      </c>
      <c r="G88" s="145" t="str">
        <f t="shared" ca="1" si="8"/>
        <v/>
      </c>
      <c r="H88" s="151" t="str">
        <f ca="1">IF(YEAR(NOW())-'Dados de Entrada'!J$6&gt;=B88,H87*(1+VLOOKUP('Dados de Entrada'!J$6+B87,C$95:D$122,2)),"")</f>
        <v/>
      </c>
    </row>
    <row r="89" spans="1:8" ht="13" x14ac:dyDescent="0.25">
      <c r="A89" s="146"/>
      <c r="B89" s="152">
        <v>21</v>
      </c>
      <c r="C89" s="148">
        <f t="shared" si="6"/>
        <v>9.0162209786694373E-3</v>
      </c>
      <c r="D89" s="149">
        <f ca="1">IF(YEAR(NOW())-'Dados de Entrada'!J$16&gt;B89,D90/(1-C89),IF(YEAR(NOW())-'Dados de Entrada'!J$16&lt;B89,D88*(1-C88),'Dados de Entrada'!J$17))</f>
        <v>143548.93163340524</v>
      </c>
      <c r="E89" s="149">
        <f t="shared" ca="1" si="7"/>
        <v>1294.2688888586999</v>
      </c>
      <c r="F89" s="149" t="str">
        <f ca="1">IF(YEAR(NOW())-'Dados de Entrada'!J$16&gt;B89,"",IF('Dados de Entrada'!E$4/12&gt;='Dados de Entrada'!J$16+B89+1-YEAR(NOW()),E89,IF('Dados de Entrada'!E$4/12&gt;'Dados de Entrada'!J$16+B89-YEAR(NOW()),('Dados de Entrada'!E$4/12-ROUNDDOWN('Dados de Entrada'!E$4/12,0))*E89,"")))</f>
        <v/>
      </c>
      <c r="G89" s="145" t="str">
        <f t="shared" ca="1" si="8"/>
        <v/>
      </c>
      <c r="H89" s="151" t="str">
        <f ca="1">IF(YEAR(NOW())-'Dados de Entrada'!J$6&gt;=B89,H88*(1+VLOOKUP('Dados de Entrada'!J$6+B88,C$95:D$122,2)),"")</f>
        <v/>
      </c>
    </row>
    <row r="90" spans="1:8" ht="13" x14ac:dyDescent="0.25">
      <c r="A90" s="146"/>
      <c r="B90" s="152">
        <v>22</v>
      </c>
      <c r="C90" s="148">
        <f t="shared" si="6"/>
        <v>8.9232948526658338E-3</v>
      </c>
      <c r="D90" s="149">
        <f ca="1">IF(YEAR(NOW())-'Dados de Entrada'!J$16&gt;B90,D91/(1-C90),IF(YEAR(NOW())-'Dados de Entrada'!J$16&lt;B90,D89*(1-C89),'Dados de Entrada'!J$17))</f>
        <v>142254.66274454654</v>
      </c>
      <c r="E90" s="155">
        <f ca="1">YEAR(NOW())-'Dados de Entrada'!J$16</f>
        <v>10</v>
      </c>
      <c r="F90" s="149" t="str">
        <f ca="1">IF(YEAR(NOW())-'Dados de Entrada'!J$16&gt;B90,"",IF('Dados de Entrada'!E$4/12&gt;='Dados de Entrada'!J$16+B90+1-YEAR(NOW()),E90,IF('Dados de Entrada'!E$4/12&gt;'Dados de Entrada'!J$16+B90-YEAR(NOW()),('Dados de Entrada'!E$4/12-ROUNDDOWN('Dados de Entrada'!E$4/12,0))*E90,"")))</f>
        <v/>
      </c>
      <c r="G90" s="145" t="str">
        <f t="shared" ca="1" si="8"/>
        <v/>
      </c>
      <c r="H90" s="151" t="str">
        <f ca="1">IF(YEAR(NOW())-'Dados de Entrada'!J$6&gt;=B90,H89*(1+VLOOKUP('Dados de Entrada'!J$6+B89,C$95:D$122,2)),"")</f>
        <v/>
      </c>
    </row>
    <row r="91" spans="1:8" ht="13" x14ac:dyDescent="0.25">
      <c r="A91" s="146"/>
      <c r="B91" s="139"/>
      <c r="C91" s="156"/>
      <c r="D91" s="157"/>
      <c r="E91" s="139"/>
      <c r="F91" s="139"/>
      <c r="G91" s="159"/>
      <c r="H91" s="145"/>
    </row>
    <row r="92" spans="1:8" ht="13" x14ac:dyDescent="0.25">
      <c r="A92" s="162"/>
      <c r="B92" s="163"/>
      <c r="C92" s="139" t="s">
        <v>210</v>
      </c>
      <c r="D92" s="139"/>
      <c r="E92" s="139"/>
      <c r="F92" s="139"/>
      <c r="G92" s="140"/>
      <c r="H92" s="145"/>
    </row>
    <row r="93" spans="1:8" ht="13" x14ac:dyDescent="0.25">
      <c r="A93" s="162"/>
      <c r="B93" s="139"/>
      <c r="C93" s="139"/>
      <c r="D93" s="139"/>
      <c r="E93" s="139"/>
      <c r="F93" s="139"/>
      <c r="G93" s="140"/>
      <c r="H93" s="145"/>
    </row>
    <row r="94" spans="1:8" ht="13" x14ac:dyDescent="0.3">
      <c r="A94" s="162"/>
      <c r="B94" s="139"/>
      <c r="C94" s="164" t="s">
        <v>211</v>
      </c>
      <c r="D94" s="164" t="s">
        <v>15</v>
      </c>
      <c r="E94" s="77"/>
      <c r="F94" s="139"/>
      <c r="G94" s="140"/>
      <c r="H94" s="145"/>
    </row>
    <row r="95" spans="1:8" ht="13" x14ac:dyDescent="0.3">
      <c r="A95" s="162"/>
      <c r="B95" s="77"/>
      <c r="C95" s="165">
        <v>2001</v>
      </c>
      <c r="D95" s="166">
        <v>7.6700000000000004E-2</v>
      </c>
      <c r="E95" s="77"/>
      <c r="F95" s="139"/>
      <c r="G95" s="140"/>
      <c r="H95" s="145"/>
    </row>
    <row r="96" spans="1:8" ht="13" x14ac:dyDescent="0.3">
      <c r="A96" s="167"/>
      <c r="B96" s="77"/>
      <c r="C96" s="165">
        <v>2002</v>
      </c>
      <c r="D96" s="166">
        <v>0.12529999999999999</v>
      </c>
      <c r="E96" s="77"/>
      <c r="F96" s="139"/>
      <c r="G96" s="140"/>
      <c r="H96" s="145"/>
    </row>
    <row r="97" spans="1:8" ht="13" x14ac:dyDescent="0.3">
      <c r="A97" s="167"/>
      <c r="B97" s="77"/>
      <c r="C97" s="165">
        <v>2003</v>
      </c>
      <c r="D97" s="166">
        <v>9.2999999999999999E-2</v>
      </c>
      <c r="E97" s="77"/>
      <c r="F97" s="139"/>
      <c r="G97" s="140"/>
      <c r="H97" s="145"/>
    </row>
    <row r="98" spans="1:8" ht="13" x14ac:dyDescent="0.3">
      <c r="A98" s="167"/>
      <c r="B98" s="77"/>
      <c r="C98" s="165">
        <v>2004</v>
      </c>
      <c r="D98" s="166">
        <v>7.5999999999999998E-2</v>
      </c>
      <c r="E98" s="77"/>
      <c r="F98" s="139"/>
      <c r="G98" s="140"/>
      <c r="H98" s="145"/>
    </row>
    <row r="99" spans="1:8" ht="13" x14ac:dyDescent="0.3">
      <c r="A99" s="167"/>
      <c r="B99" s="77"/>
      <c r="C99" s="165">
        <v>2005</v>
      </c>
      <c r="D99" s="166">
        <v>5.6899999999999999E-2</v>
      </c>
      <c r="E99" s="77"/>
      <c r="F99" s="139"/>
      <c r="G99" s="140"/>
      <c r="H99" s="145"/>
    </row>
    <row r="100" spans="1:8" ht="13" x14ac:dyDescent="0.3">
      <c r="A100" s="167"/>
      <c r="B100" s="77"/>
      <c r="C100" s="165">
        <v>2006</v>
      </c>
      <c r="D100" s="166">
        <v>3.1399999999999997E-2</v>
      </c>
      <c r="E100" s="77"/>
      <c r="F100" s="139"/>
      <c r="G100" s="140"/>
      <c r="H100" s="145"/>
    </row>
    <row r="101" spans="1:8" ht="13" x14ac:dyDescent="0.3">
      <c r="A101" s="167"/>
      <c r="B101" s="77"/>
      <c r="C101" s="165">
        <v>2007</v>
      </c>
      <c r="D101" s="166">
        <v>4.4600000000000001E-2</v>
      </c>
      <c r="E101" s="77"/>
      <c r="F101" s="139"/>
      <c r="G101" s="140"/>
      <c r="H101" s="145"/>
    </row>
    <row r="102" spans="1:8" ht="13" x14ac:dyDescent="0.3">
      <c r="A102" s="167"/>
      <c r="B102" s="77"/>
      <c r="C102" s="165">
        <v>2008</v>
      </c>
      <c r="D102" s="166">
        <v>5.8999999999999997E-2</v>
      </c>
      <c r="E102" s="77"/>
      <c r="F102" s="139"/>
      <c r="G102" s="140"/>
      <c r="H102" s="145"/>
    </row>
    <row r="103" spans="1:8" ht="13" x14ac:dyDescent="0.3">
      <c r="A103" s="167"/>
      <c r="B103" s="77"/>
      <c r="C103" s="165">
        <v>2009</v>
      </c>
      <c r="D103" s="166">
        <v>4.3099999999999999E-2</v>
      </c>
      <c r="E103" s="77"/>
      <c r="F103" s="139"/>
      <c r="G103" s="140"/>
      <c r="H103" s="145"/>
    </row>
    <row r="104" spans="1:8" ht="13" x14ac:dyDescent="0.3">
      <c r="A104" s="167"/>
      <c r="B104" s="77"/>
      <c r="C104" s="165">
        <v>2010</v>
      </c>
      <c r="D104" s="166">
        <v>5.91E-2</v>
      </c>
      <c r="E104" s="77"/>
      <c r="F104" s="139"/>
      <c r="G104" s="140"/>
      <c r="H104" s="145"/>
    </row>
    <row r="105" spans="1:8" ht="13" x14ac:dyDescent="0.3">
      <c r="A105" s="167"/>
      <c r="B105" s="77"/>
      <c r="C105" s="165">
        <v>2011</v>
      </c>
      <c r="D105" s="166">
        <v>6.5000000000000002E-2</v>
      </c>
      <c r="E105" s="77"/>
      <c r="F105" s="139"/>
      <c r="G105" s="140"/>
      <c r="H105" s="145"/>
    </row>
    <row r="106" spans="1:8" ht="13" x14ac:dyDescent="0.3">
      <c r="A106" s="167"/>
      <c r="B106" s="77"/>
      <c r="C106" s="165">
        <v>2012</v>
      </c>
      <c r="D106" s="166">
        <v>5.8400000000000001E-2</v>
      </c>
      <c r="E106" s="77"/>
      <c r="F106" s="139"/>
      <c r="G106" s="140"/>
      <c r="H106" s="145"/>
    </row>
    <row r="107" spans="1:8" ht="13" x14ac:dyDescent="0.3">
      <c r="A107" s="167"/>
      <c r="B107" s="77"/>
      <c r="C107" s="165">
        <v>2013</v>
      </c>
      <c r="D107" s="166">
        <v>5.91E-2</v>
      </c>
      <c r="E107" s="77"/>
      <c r="F107" s="139"/>
      <c r="G107" s="140"/>
      <c r="H107" s="145"/>
    </row>
    <row r="108" spans="1:8" ht="13" x14ac:dyDescent="0.3">
      <c r="A108" s="77"/>
      <c r="B108" s="77"/>
      <c r="C108" s="165">
        <v>2014</v>
      </c>
      <c r="D108" s="166">
        <v>6.4100000000000004E-2</v>
      </c>
      <c r="E108" s="77"/>
      <c r="F108" s="139"/>
      <c r="G108" s="140"/>
      <c r="H108" s="145"/>
    </row>
    <row r="109" spans="1:8" ht="13" x14ac:dyDescent="0.3">
      <c r="A109" s="77"/>
      <c r="B109" s="77"/>
      <c r="C109" s="165">
        <v>2015</v>
      </c>
      <c r="D109" s="166">
        <v>0.1067</v>
      </c>
      <c r="E109" s="77"/>
      <c r="F109" s="139"/>
      <c r="G109" s="140"/>
      <c r="H109" s="145"/>
    </row>
    <row r="110" spans="1:8" ht="13" x14ac:dyDescent="0.3">
      <c r="A110" s="77"/>
      <c r="B110" s="77"/>
      <c r="C110" s="165">
        <v>2016</v>
      </c>
      <c r="D110" s="166">
        <v>6.2899999999999998E-2</v>
      </c>
      <c r="E110" s="168"/>
      <c r="F110" s="139"/>
      <c r="G110" s="140"/>
      <c r="H110" s="145"/>
    </row>
    <row r="111" spans="1:8" ht="13" x14ac:dyDescent="0.3">
      <c r="A111" s="77"/>
      <c r="B111" s="77"/>
      <c r="C111" s="165">
        <v>2017</v>
      </c>
      <c r="D111" s="166">
        <v>2.9499999999999998E-2</v>
      </c>
      <c r="E111" s="168"/>
      <c r="F111" s="139"/>
      <c r="G111" s="140"/>
      <c r="H111" s="145"/>
    </row>
    <row r="112" spans="1:8" ht="13" x14ac:dyDescent="0.3">
      <c r="A112" s="77"/>
      <c r="B112" s="77"/>
      <c r="C112" s="165">
        <v>2018</v>
      </c>
      <c r="D112" s="166">
        <v>3.7499999999999999E-2</v>
      </c>
      <c r="E112" s="168"/>
      <c r="F112" s="139"/>
      <c r="G112" s="140"/>
      <c r="H112" s="145"/>
    </row>
    <row r="113" spans="1:8" ht="13" x14ac:dyDescent="0.3">
      <c r="A113" s="77"/>
      <c r="B113" s="77"/>
      <c r="C113" s="165">
        <v>2019</v>
      </c>
      <c r="D113" s="166">
        <v>4.3099999999999999E-2</v>
      </c>
      <c r="E113" s="168"/>
      <c r="F113" s="139"/>
      <c r="G113" s="140"/>
      <c r="H113" s="145"/>
    </row>
    <row r="114" spans="1:8" ht="13" x14ac:dyDescent="0.3">
      <c r="A114" s="77"/>
      <c r="B114" s="77"/>
      <c r="C114" s="165">
        <v>2020</v>
      </c>
      <c r="D114" s="166">
        <v>4.5199999999999997E-2</v>
      </c>
      <c r="E114" s="168"/>
      <c r="F114" s="139"/>
      <c r="G114" s="140"/>
      <c r="H114" s="145"/>
    </row>
    <row r="115" spans="1:8" ht="13" x14ac:dyDescent="0.3">
      <c r="A115" s="77"/>
      <c r="B115" s="77"/>
      <c r="C115" s="165">
        <v>2021</v>
      </c>
      <c r="D115" s="166">
        <v>0.10059999999999999</v>
      </c>
      <c r="E115" s="168"/>
      <c r="F115" s="139"/>
      <c r="G115" s="140"/>
      <c r="H115" s="145"/>
    </row>
    <row r="116" spans="1:8" ht="13" x14ac:dyDescent="0.3">
      <c r="A116" s="77"/>
      <c r="B116" s="77"/>
      <c r="C116" s="165">
        <v>2022</v>
      </c>
      <c r="D116" s="166">
        <v>5.79E-2</v>
      </c>
      <c r="E116" s="168"/>
      <c r="F116" s="139"/>
      <c r="G116" s="140"/>
      <c r="H116" s="145"/>
    </row>
    <row r="117" spans="1:8" ht="13" x14ac:dyDescent="0.3">
      <c r="A117" s="77"/>
      <c r="B117" s="77"/>
      <c r="C117" s="165">
        <v>2023</v>
      </c>
      <c r="D117" s="166">
        <v>4.6199999999999998E-2</v>
      </c>
      <c r="E117" s="168"/>
      <c r="F117" s="139"/>
      <c r="G117" s="140"/>
      <c r="H117" s="145"/>
    </row>
    <row r="118" spans="1:8" ht="13" x14ac:dyDescent="0.3">
      <c r="A118" s="77"/>
      <c r="B118" s="77"/>
      <c r="C118" s="165">
        <v>2024</v>
      </c>
      <c r="D118" s="166">
        <f>'Dados de Entrada'!E11</f>
        <v>3.8100000000000002E-2</v>
      </c>
      <c r="E118" s="168"/>
      <c r="F118" s="139"/>
      <c r="G118" s="140"/>
      <c r="H118" s="145"/>
    </row>
    <row r="119" spans="1:8" ht="13" x14ac:dyDescent="0.3">
      <c r="A119" s="77"/>
      <c r="B119" s="77"/>
      <c r="C119" s="165">
        <v>2025</v>
      </c>
      <c r="D119" s="166">
        <f>'Dados de Entrada'!E12</f>
        <v>4.1799999999999997E-2</v>
      </c>
      <c r="E119" s="168"/>
      <c r="F119" s="139"/>
      <c r="G119" s="140"/>
      <c r="H119" s="145"/>
    </row>
    <row r="120" spans="1:8" ht="13" x14ac:dyDescent="0.3">
      <c r="A120" s="77"/>
      <c r="B120" s="77"/>
      <c r="C120" s="165">
        <v>2026</v>
      </c>
      <c r="D120" s="166">
        <f>'Dados de Entrada'!E13</f>
        <v>3.7999999999999999E-2</v>
      </c>
      <c r="E120" s="168"/>
      <c r="F120" s="139"/>
      <c r="G120" s="140"/>
      <c r="H120" s="145"/>
    </row>
    <row r="121" spans="1:8" ht="13" x14ac:dyDescent="0.3">
      <c r="A121" s="77"/>
      <c r="B121" s="77"/>
      <c r="C121" s="165">
        <v>2027</v>
      </c>
      <c r="D121" s="166">
        <f>'Dados de Entrada'!E14</f>
        <v>3.5000000000000003E-2</v>
      </c>
      <c r="E121" s="168"/>
      <c r="F121" s="139"/>
      <c r="G121" s="140"/>
      <c r="H121" s="145"/>
    </row>
    <row r="122" spans="1:8" ht="13" x14ac:dyDescent="0.3">
      <c r="A122" s="77"/>
      <c r="B122" s="77"/>
      <c r="C122" s="165">
        <v>2028</v>
      </c>
      <c r="D122" s="166">
        <f>'Dados de Entrada'!E15</f>
        <v>3.5000000000000003E-2</v>
      </c>
      <c r="E122" s="168"/>
      <c r="F122" s="139"/>
      <c r="G122" s="140"/>
      <c r="H122" s="145"/>
    </row>
  </sheetData>
  <mergeCells count="11">
    <mergeCell ref="A11:G11"/>
    <mergeCell ref="B13:F13"/>
    <mergeCell ref="B39:F39"/>
    <mergeCell ref="B66:F66"/>
    <mergeCell ref="A1:G1"/>
    <mergeCell ref="A2:G2"/>
    <mergeCell ref="A4:G4"/>
    <mergeCell ref="A5:G5"/>
    <mergeCell ref="A7:G7"/>
    <mergeCell ref="A8:G8"/>
    <mergeCell ref="A10:G10"/>
  </mergeCells>
  <conditionalFormatting sqref="B15:F37">
    <cfRule type="expression" dxfId="2" priority="2">
      <formula>$B15=$E$37</formula>
    </cfRule>
  </conditionalFormatting>
  <conditionalFormatting sqref="B41:F63">
    <cfRule type="expression" dxfId="1" priority="1">
      <formula>$B41=$E$63</formula>
    </cfRule>
  </conditionalFormatting>
  <conditionalFormatting sqref="B68:F90">
    <cfRule type="expression" dxfId="0" priority="3">
      <formula>$B68=$E$90</formula>
    </cfRule>
  </conditionalFormatting>
  <printOptions horizontalCentered="1"/>
  <pageMargins left="0.7" right="0.7" top="0.75" bottom="0.75" header="0" footer="0"/>
  <pageSetup paperSize="9" fitToHeight="0" pageOrder="overThenDown" orientation="portrait" cellComments="atEnd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66666"/>
    <outlinePr summaryBelow="0" summaryRight="0"/>
  </sheetPr>
  <dimension ref="A1:E24"/>
  <sheetViews>
    <sheetView topLeftCell="D1" workbookViewId="0">
      <selection activeCell="G15" sqref="G15"/>
    </sheetView>
  </sheetViews>
  <sheetFormatPr defaultColWidth="12.6328125" defaultRowHeight="15.75" customHeight="1" x14ac:dyDescent="0.25"/>
  <cols>
    <col min="1" max="2" width="15.6328125" hidden="1" customWidth="1"/>
    <col min="3" max="3" width="14.81640625" hidden="1" customWidth="1"/>
    <col min="4" max="4" width="12.08984375" customWidth="1"/>
    <col min="5" max="5" width="26.90625" customWidth="1"/>
  </cols>
  <sheetData>
    <row r="1" spans="1:5" ht="28.75" customHeight="1" x14ac:dyDescent="0.25">
      <c r="A1" s="169" t="s">
        <v>66</v>
      </c>
      <c r="B1" s="169" t="s">
        <v>65</v>
      </c>
      <c r="C1" s="169" t="s">
        <v>48</v>
      </c>
      <c r="D1" s="170" t="s">
        <v>212</v>
      </c>
      <c r="E1" s="170" t="s">
        <v>213</v>
      </c>
    </row>
    <row r="2" spans="1:5" ht="13" x14ac:dyDescent="0.25">
      <c r="A2" s="171" t="str">
        <f ca="1">IF('Depreciação e Infração'!F15="","",'Depreciação e Infração'!F15/'Depreciação e Infração'!E15*E2)</f>
        <v/>
      </c>
      <c r="B2" s="171" t="str">
        <f ca="1">IF('Depreciação e Infração'!F41="","",'Depreciação e Infração'!F41/'Depreciação e Infração'!E41*E2)</f>
        <v/>
      </c>
      <c r="C2" s="171" t="str">
        <f ca="1">IF('Depreciação e Infração'!F68="","",'Depreciação e Infração'!F68/'Depreciação e Infração'!E68*E2)</f>
        <v/>
      </c>
      <c r="D2" s="172">
        <v>0</v>
      </c>
      <c r="E2" s="245">
        <f t="shared" ref="E2:E4" si="0">7.692307692*10^(-7)</f>
        <v>7.6923076919999993E-7</v>
      </c>
    </row>
    <row r="3" spans="1:5" ht="13" x14ac:dyDescent="0.25">
      <c r="A3" s="171" t="str">
        <f ca="1">IF('Depreciação e Infração'!F16="","",'Depreciação e Infração'!F16/'Depreciação e Infração'!E16*E3)</f>
        <v/>
      </c>
      <c r="B3" s="171" t="str">
        <f ca="1">IF('Depreciação e Infração'!F42="","",'Depreciação e Infração'!F42/'Depreciação e Infração'!E42*E3)</f>
        <v/>
      </c>
      <c r="C3" s="171" t="str">
        <f ca="1">IF('Depreciação e Infração'!F69="","",'Depreciação e Infração'!F69/'Depreciação e Infração'!E69*E3)</f>
        <v/>
      </c>
      <c r="D3" s="172">
        <v>1</v>
      </c>
      <c r="E3" s="245">
        <f t="shared" si="0"/>
        <v>7.6923076919999993E-7</v>
      </c>
    </row>
    <row r="4" spans="1:5" ht="13" x14ac:dyDescent="0.25">
      <c r="A4" s="171" t="str">
        <f ca="1">IF('Depreciação e Infração'!F17="","",'Depreciação e Infração'!F17/'Depreciação e Infração'!E17*E4)</f>
        <v/>
      </c>
      <c r="B4" s="171" t="str">
        <f ca="1">IF('Depreciação e Infração'!F43="","",'Depreciação e Infração'!F43/'Depreciação e Infração'!E43*E4)</f>
        <v/>
      </c>
      <c r="C4" s="171" t="str">
        <f ca="1">IF('Depreciação e Infração'!F70="","",'Depreciação e Infração'!F70/'Depreciação e Infração'!E70*E4)</f>
        <v/>
      </c>
      <c r="D4" s="172">
        <v>2</v>
      </c>
      <c r="E4" s="245">
        <f t="shared" si="0"/>
        <v>7.6923076919999993E-7</v>
      </c>
    </row>
    <row r="5" spans="1:5" ht="13" x14ac:dyDescent="0.25">
      <c r="A5" s="171" t="str">
        <f ca="1">IF('Depreciação e Infração'!F18="","",'Depreciação e Infração'!F18/'Depreciação e Infração'!E18*E5)</f>
        <v/>
      </c>
      <c r="B5" s="171" t="str">
        <f ca="1">IF('Depreciação e Infração'!F44="","",'Depreciação e Infração'!F44/'Depreciação e Infração'!E44*E5)</f>
        <v/>
      </c>
      <c r="C5" s="171" t="str">
        <f ca="1">IF('Depreciação e Infração'!F71="","",'Depreciação e Infração'!F71/'Depreciação e Infração'!E71*E5)</f>
        <v/>
      </c>
      <c r="D5" s="172">
        <v>3</v>
      </c>
      <c r="E5" s="245">
        <f t="shared" ref="E5:E6" si="1">8.974358974*10^(-7)</f>
        <v>8.9743589739999994E-7</v>
      </c>
    </row>
    <row r="6" spans="1:5" ht="13" x14ac:dyDescent="0.25">
      <c r="A6" s="171" t="str">
        <f ca="1">IF('Depreciação e Infração'!F19="","",'Depreciação e Infração'!F19/'Depreciação e Infração'!E19*E6)</f>
        <v/>
      </c>
      <c r="B6" s="171" t="str">
        <f ca="1">IF('Depreciação e Infração'!F45="","",'Depreciação e Infração'!F45/'Depreciação e Infração'!E45*E6)</f>
        <v/>
      </c>
      <c r="C6" s="171" t="str">
        <f ca="1">IF('Depreciação e Infração'!F72="","",'Depreciação e Infração'!F72/'Depreciação e Infração'!E72*E6)</f>
        <v/>
      </c>
      <c r="D6" s="172">
        <v>4</v>
      </c>
      <c r="E6" s="245">
        <f t="shared" si="1"/>
        <v>8.9743589739999994E-7</v>
      </c>
    </row>
    <row r="7" spans="1:5" ht="13" x14ac:dyDescent="0.25">
      <c r="A7" s="171" t="str">
        <f ca="1">IF('Depreciação e Infração'!F20="","",'Depreciação e Infração'!F20/'Depreciação e Infração'!E20*E7)</f>
        <v/>
      </c>
      <c r="B7" s="171" t="str">
        <f ca="1">IF('Depreciação e Infração'!F46="","",'Depreciação e Infração'!F46/'Depreciação e Infração'!E46*E7)</f>
        <v/>
      </c>
      <c r="C7" s="171" t="str">
        <f ca="1">IF('Depreciação e Infração'!F73="","",'Depreciação e Infração'!F73/'Depreciação e Infração'!E73*E7)</f>
        <v/>
      </c>
      <c r="D7" s="172">
        <v>5</v>
      </c>
      <c r="E7" s="245">
        <f t="shared" ref="E7:E8" si="2">1.025641026*10^(-6)</f>
        <v>1.0256410259999999E-6</v>
      </c>
    </row>
    <row r="8" spans="1:5" ht="13" x14ac:dyDescent="0.25">
      <c r="A8" s="171" t="str">
        <f ca="1">IF('Depreciação e Infração'!F21="","",'Depreciação e Infração'!F21/'Depreciação e Infração'!E21*E8)</f>
        <v/>
      </c>
      <c r="B8" s="171" t="str">
        <f ca="1">IF('Depreciação e Infração'!F47="","",'Depreciação e Infração'!F47/'Depreciação e Infração'!E47*E8)</f>
        <v/>
      </c>
      <c r="C8" s="171" t="str">
        <f ca="1">IF('Depreciação e Infração'!F74="","",'Depreciação e Infração'!F74/'Depreciação e Infração'!E74*E8)</f>
        <v/>
      </c>
      <c r="D8" s="172">
        <v>6</v>
      </c>
      <c r="E8" s="245">
        <f t="shared" si="2"/>
        <v>1.0256410259999999E-6</v>
      </c>
    </row>
    <row r="9" spans="1:5" ht="13" x14ac:dyDescent="0.25">
      <c r="A9" s="171" t="str">
        <f ca="1">IF('Depreciação e Infração'!F22="","",'Depreciação e Infração'!F22/'Depreciação e Infração'!E22*E9)</f>
        <v/>
      </c>
      <c r="B9" s="171" t="str">
        <f ca="1">IF('Depreciação e Infração'!F48="","",'Depreciação e Infração'!F48/'Depreciação e Infração'!E48*E9)</f>
        <v/>
      </c>
      <c r="C9" s="171" t="str">
        <f ca="1">IF('Depreciação e Infração'!F75="","",'Depreciação e Infração'!F75/'Depreciação e Infração'!E75*E9)</f>
        <v/>
      </c>
      <c r="D9" s="172">
        <v>7</v>
      </c>
      <c r="E9" s="245">
        <f t="shared" ref="E9:E10" si="3">1.153846154*10^(-6)</f>
        <v>1.153846154E-6</v>
      </c>
    </row>
    <row r="10" spans="1:5" ht="13" x14ac:dyDescent="0.25">
      <c r="A10" s="171" t="str">
        <f ca="1">IF('Depreciação e Infração'!F23="","",'Depreciação e Infração'!F23/'Depreciação e Infração'!E23*E10)</f>
        <v/>
      </c>
      <c r="B10" s="171" t="str">
        <f ca="1">IF('Depreciação e Infração'!F49="","",'Depreciação e Infração'!F49/'Depreciação e Infração'!E49*E10)</f>
        <v/>
      </c>
      <c r="C10" s="171" t="str">
        <f ca="1">IF('Depreciação e Infração'!F76="","",'Depreciação e Infração'!F76/'Depreciação e Infração'!E76*E10)</f>
        <v/>
      </c>
      <c r="D10" s="172">
        <v>8</v>
      </c>
      <c r="E10" s="245">
        <f t="shared" si="3"/>
        <v>1.153846154E-6</v>
      </c>
    </row>
    <row r="11" spans="1:5" ht="13" x14ac:dyDescent="0.25">
      <c r="A11" s="171" t="str">
        <f ca="1">IF('Depreciação e Infração'!F24="","",'Depreciação e Infração'!F24/'Depreciação e Infração'!E24*E11)</f>
        <v/>
      </c>
      <c r="B11" s="171" t="str">
        <f ca="1">IF('Depreciação e Infração'!F50="","",'Depreciação e Infração'!F50/'Depreciação e Infração'!E50*E11)</f>
        <v/>
      </c>
      <c r="C11" s="171" t="str">
        <f ca="1">IF('Depreciação e Infração'!F77="","",'Depreciação e Infração'!F77/'Depreciação e Infração'!E77*E11)</f>
        <v/>
      </c>
      <c r="D11" s="172">
        <v>9</v>
      </c>
      <c r="E11" s="245">
        <f t="shared" ref="E11:E12" si="4">1.282051282*10^(-6)</f>
        <v>1.2820512820000001E-6</v>
      </c>
    </row>
    <row r="12" spans="1:5" ht="13" x14ac:dyDescent="0.25">
      <c r="A12" s="171">
        <f ca="1">IF('Depreciação e Infração'!F25="","",'Depreciação e Infração'!F25/'Depreciação e Infração'!E25*E12)</f>
        <v>1.2820512820000001E-6</v>
      </c>
      <c r="B12" s="173">
        <f ca="1">IF('Depreciação e Infração'!F51="","",'Depreciação e Infração'!F51/'Depreciação e Infração'!E51*E12)</f>
        <v>1.2820512820000001E-6</v>
      </c>
      <c r="C12" s="171">
        <f ca="1">IF('Depreciação e Infração'!F78="","",'Depreciação e Infração'!F78/'Depreciação e Infração'!E78*E12)</f>
        <v>1.2820512820000001E-6</v>
      </c>
      <c r="D12" s="172">
        <v>10</v>
      </c>
      <c r="E12" s="245">
        <f t="shared" si="4"/>
        <v>1.2820512820000001E-6</v>
      </c>
    </row>
    <row r="13" spans="1:5" ht="13" x14ac:dyDescent="0.25">
      <c r="A13" s="171">
        <f ca="1">IF('Depreciação e Infração'!F26="","",'Depreciação e Infração'!F26/'Depreciação e Infração'!E26*E13)</f>
        <v>1.538461538E-6</v>
      </c>
      <c r="B13" s="173">
        <f ca="1">IF('Depreciação e Infração'!F52="","",'Depreciação e Infração'!F52/'Depreciação e Infração'!E52*E13)</f>
        <v>1.538461538E-6</v>
      </c>
      <c r="C13" s="171">
        <f ca="1">IF('Depreciação e Infração'!F79="","",'Depreciação e Infração'!F79/'Depreciação e Infração'!E79*E13)</f>
        <v>1.538461538E-6</v>
      </c>
      <c r="D13" s="172">
        <v>11</v>
      </c>
      <c r="E13" s="245">
        <f t="shared" ref="E13:E24" si="5">1.538461538*10^(-6)</f>
        <v>1.538461538E-6</v>
      </c>
    </row>
    <row r="14" spans="1:5" ht="13" x14ac:dyDescent="0.25">
      <c r="A14" s="171" t="str">
        <f ca="1">IF('Depreciação e Infração'!F27="","",'Depreciação e Infração'!F27/'Depreciação e Infração'!E27*E14)</f>
        <v/>
      </c>
      <c r="B14" s="171" t="str">
        <f ca="1">IF('Depreciação e Infração'!F53="","",'Depreciação e Infração'!F53/'Depreciação e Infração'!E53*E14)</f>
        <v/>
      </c>
      <c r="C14" s="171" t="str">
        <f ca="1">IF('Depreciação e Infração'!F80="","",'Depreciação e Infração'!F80/'Depreciação e Infração'!E80*E14)</f>
        <v/>
      </c>
      <c r="D14" s="172">
        <v>12</v>
      </c>
      <c r="E14" s="245">
        <f t="shared" si="5"/>
        <v>1.538461538E-6</v>
      </c>
    </row>
    <row r="15" spans="1:5" ht="13" x14ac:dyDescent="0.25">
      <c r="A15" s="171" t="str">
        <f ca="1">IF('Depreciação e Infração'!F28="","",'Depreciação e Infração'!F28/'Depreciação e Infração'!E28*E15)</f>
        <v/>
      </c>
      <c r="B15" s="171" t="str">
        <f ca="1">IF('Depreciação e Infração'!F54="","",'Depreciação e Infração'!F54/'Depreciação e Infração'!E54*E15)</f>
        <v/>
      </c>
      <c r="C15" s="171" t="str">
        <f ca="1">IF('Depreciação e Infração'!F81="","",'Depreciação e Infração'!F81/'Depreciação e Infração'!E81*E15)</f>
        <v/>
      </c>
      <c r="D15" s="172">
        <v>13</v>
      </c>
      <c r="E15" s="245">
        <f t="shared" si="5"/>
        <v>1.538461538E-6</v>
      </c>
    </row>
    <row r="16" spans="1:5" ht="13" x14ac:dyDescent="0.25">
      <c r="A16" s="171" t="str">
        <f ca="1">IF('Depreciação e Infração'!F29="","",'Depreciação e Infração'!F29/'Depreciação e Infração'!E29*E16)</f>
        <v/>
      </c>
      <c r="B16" s="171" t="str">
        <f ca="1">IF('Depreciação e Infração'!F55="","",'Depreciação e Infração'!F55/'Depreciação e Infração'!E55*E16)</f>
        <v/>
      </c>
      <c r="C16" s="171" t="str">
        <f ca="1">IF('Depreciação e Infração'!F82="","",'Depreciação e Infração'!F82/'Depreciação e Infração'!E82*E16)</f>
        <v/>
      </c>
      <c r="D16" s="172">
        <v>14</v>
      </c>
      <c r="E16" s="245">
        <f t="shared" si="5"/>
        <v>1.538461538E-6</v>
      </c>
    </row>
    <row r="17" spans="1:5" ht="13" x14ac:dyDescent="0.25">
      <c r="A17" s="171" t="str">
        <f ca="1">IF('Depreciação e Infração'!F30="","",'Depreciação e Infração'!F30/'Depreciação e Infração'!E30*E17)</f>
        <v/>
      </c>
      <c r="B17" s="171" t="str">
        <f ca="1">IF('Depreciação e Infração'!F56="","",'Depreciação e Infração'!F56/'Depreciação e Infração'!E56*E17)</f>
        <v/>
      </c>
      <c r="C17" s="171" t="str">
        <f ca="1">IF('Depreciação e Infração'!F83="","",'Depreciação e Infração'!F83/'Depreciação e Infração'!E83*E17)</f>
        <v/>
      </c>
      <c r="D17" s="172">
        <v>15</v>
      </c>
      <c r="E17" s="245">
        <f t="shared" si="5"/>
        <v>1.538461538E-6</v>
      </c>
    </row>
    <row r="18" spans="1:5" ht="13" x14ac:dyDescent="0.25">
      <c r="A18" s="171" t="str">
        <f ca="1">IF('Depreciação e Infração'!F31="","",'Depreciação e Infração'!F31/'Depreciação e Infração'!E31*E18)</f>
        <v/>
      </c>
      <c r="B18" s="171" t="str">
        <f ca="1">IF('Depreciação e Infração'!F57="","",'Depreciação e Infração'!F57/'Depreciação e Infração'!E57*E18)</f>
        <v/>
      </c>
      <c r="C18" s="171" t="str">
        <f ca="1">IF('Depreciação e Infração'!F84="","",'Depreciação e Infração'!F84/'Depreciação e Infração'!E84*E18)</f>
        <v/>
      </c>
      <c r="D18" s="172">
        <v>16</v>
      </c>
      <c r="E18" s="245">
        <f t="shared" si="5"/>
        <v>1.538461538E-6</v>
      </c>
    </row>
    <row r="19" spans="1:5" ht="13" x14ac:dyDescent="0.25">
      <c r="A19" s="171" t="str">
        <f ca="1">IF('Depreciação e Infração'!F32="","",'Depreciação e Infração'!F32/'Depreciação e Infração'!E32*E19)</f>
        <v/>
      </c>
      <c r="B19" s="171" t="str">
        <f ca="1">IF('Depreciação e Infração'!F58="","",'Depreciação e Infração'!F58/'Depreciação e Infração'!E58*E19)</f>
        <v/>
      </c>
      <c r="C19" s="171" t="str">
        <f ca="1">IF('Depreciação e Infração'!F85="","",'Depreciação e Infração'!F85/'Depreciação e Infração'!E85*E19)</f>
        <v/>
      </c>
      <c r="D19" s="172">
        <v>17</v>
      </c>
      <c r="E19" s="245">
        <f t="shared" si="5"/>
        <v>1.538461538E-6</v>
      </c>
    </row>
    <row r="20" spans="1:5" ht="13" x14ac:dyDescent="0.25">
      <c r="A20" s="171" t="str">
        <f ca="1">IF('Depreciação e Infração'!F33="","",'Depreciação e Infração'!F33/'Depreciação e Infração'!E33*E20)</f>
        <v/>
      </c>
      <c r="B20" s="171" t="str">
        <f ca="1">IF('Depreciação e Infração'!F59="","",'Depreciação e Infração'!F59/'Depreciação e Infração'!E59*E20)</f>
        <v/>
      </c>
      <c r="C20" s="171" t="str">
        <f ca="1">IF('Depreciação e Infração'!F86="","",'Depreciação e Infração'!F86/'Depreciação e Infração'!E86*E20)</f>
        <v/>
      </c>
      <c r="D20" s="172">
        <v>18</v>
      </c>
      <c r="E20" s="245">
        <f t="shared" si="5"/>
        <v>1.538461538E-6</v>
      </c>
    </row>
    <row r="21" spans="1:5" ht="13" x14ac:dyDescent="0.25">
      <c r="A21" s="171" t="str">
        <f ca="1">IF('Depreciação e Infração'!F34="","",'Depreciação e Infração'!F34/'Depreciação e Infração'!E34*E21)</f>
        <v/>
      </c>
      <c r="B21" s="171" t="str">
        <f ca="1">IF('Depreciação e Infração'!F60="","",'Depreciação e Infração'!F60/'Depreciação e Infração'!E60*E21)</f>
        <v/>
      </c>
      <c r="C21" s="171" t="str">
        <f ca="1">IF('Depreciação e Infração'!F87="","",'Depreciação e Infração'!F87/'Depreciação e Infração'!E87*E21)</f>
        <v/>
      </c>
      <c r="D21" s="172">
        <v>19</v>
      </c>
      <c r="E21" s="245">
        <f t="shared" si="5"/>
        <v>1.538461538E-6</v>
      </c>
    </row>
    <row r="22" spans="1:5" ht="13" x14ac:dyDescent="0.25">
      <c r="A22" s="171" t="str">
        <f ca="1">IF('Depreciação e Infração'!F35="","",'Depreciação e Infração'!F35/'Depreciação e Infração'!E35*E22)</f>
        <v/>
      </c>
      <c r="B22" s="171" t="str">
        <f ca="1">IF('Depreciação e Infração'!F61="","",'Depreciação e Infração'!F61/'Depreciação e Infração'!E61*E22)</f>
        <v/>
      </c>
      <c r="C22" s="171" t="str">
        <f ca="1">IF('Depreciação e Infração'!F88="","",'Depreciação e Infração'!F88/'Depreciação e Infração'!E88*E22)</f>
        <v/>
      </c>
      <c r="D22" s="172">
        <v>20</v>
      </c>
      <c r="E22" s="245">
        <f t="shared" si="5"/>
        <v>1.538461538E-6</v>
      </c>
    </row>
    <row r="23" spans="1:5" ht="13" x14ac:dyDescent="0.25">
      <c r="A23" s="171" t="str">
        <f ca="1">IF('Depreciação e Infração'!F36="","",'Depreciação e Infração'!F36/'Depreciação e Infração'!E36*E23)</f>
        <v/>
      </c>
      <c r="B23" s="158"/>
      <c r="C23" s="171" t="str">
        <f ca="1">IF('Depreciação e Infração'!F89="","",'Depreciação e Infração'!F89/'Depreciação e Infração'!E89*E23)</f>
        <v/>
      </c>
      <c r="D23" s="172">
        <v>21</v>
      </c>
      <c r="E23" s="245">
        <f t="shared" si="5"/>
        <v>1.538461538E-6</v>
      </c>
    </row>
    <row r="24" spans="1:5" ht="13" x14ac:dyDescent="0.25">
      <c r="A24" s="171" t="str">
        <f ca="1">IF('Depreciação e Infração'!F37="","",'Depreciação e Infração'!F37/'Depreciação e Infração'!E37*E24)</f>
        <v/>
      </c>
      <c r="B24" s="158"/>
      <c r="C24" s="171" t="str">
        <f ca="1">IF('Depreciação e Infração'!F90="","",'Depreciação e Infração'!F90/'Depreciação e Infração'!E90*E24)</f>
        <v/>
      </c>
      <c r="D24" s="172">
        <v>22</v>
      </c>
      <c r="E24" s="245">
        <f t="shared" si="5"/>
        <v>1.538461538E-6</v>
      </c>
    </row>
  </sheetData>
  <printOptions horizontalCentered="1"/>
  <pageMargins left="0.7" right="0.7" top="0.75" bottom="0.75" header="0" footer="0"/>
  <pageSetup paperSize="9" pageOrder="overThenDown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66666"/>
    <outlinePr summaryBelow="0" summaryRight="0"/>
    <pageSetUpPr fitToPage="1"/>
  </sheetPr>
  <dimension ref="A1:N64"/>
  <sheetViews>
    <sheetView topLeftCell="A49" zoomScaleNormal="100" workbookViewId="0">
      <selection activeCell="J20" sqref="J20"/>
    </sheetView>
  </sheetViews>
  <sheetFormatPr defaultColWidth="12.6328125" defaultRowHeight="15.75" customHeight="1" x14ac:dyDescent="0.25"/>
  <cols>
    <col min="1" max="1" width="0.36328125" customWidth="1"/>
    <col min="3" max="3" width="45.81640625" customWidth="1"/>
    <col min="4" max="4" width="0.36328125" customWidth="1"/>
    <col min="6" max="6" width="0.36328125" customWidth="1"/>
    <col min="9" max="9" width="0.36328125" customWidth="1"/>
    <col min="12" max="12" width="0.36328125" customWidth="1"/>
  </cols>
  <sheetData>
    <row r="1" spans="1:14" ht="18" x14ac:dyDescent="0.4">
      <c r="A1" s="174">
        <v>3</v>
      </c>
      <c r="B1" s="355" t="s">
        <v>214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</row>
    <row r="2" spans="1:14" ht="13" x14ac:dyDescent="0.3">
      <c r="A2" s="24"/>
      <c r="B2" s="24"/>
      <c r="C2" s="24"/>
      <c r="D2" s="24"/>
      <c r="E2" s="24"/>
      <c r="F2" s="24"/>
      <c r="G2" s="175" t="s">
        <v>215</v>
      </c>
      <c r="H2" s="176"/>
      <c r="I2" s="24"/>
      <c r="J2" s="175" t="s">
        <v>215</v>
      </c>
      <c r="K2" s="176"/>
      <c r="L2" s="4"/>
      <c r="M2" s="175" t="s">
        <v>215</v>
      </c>
      <c r="N2" s="176"/>
    </row>
    <row r="3" spans="1:14" ht="14" x14ac:dyDescent="0.3">
      <c r="A3" s="24"/>
      <c r="B3" s="24"/>
      <c r="C3" s="177" t="s">
        <v>216</v>
      </c>
      <c r="D3" s="24"/>
      <c r="E3" s="178" t="s">
        <v>217</v>
      </c>
      <c r="F3" s="24"/>
      <c r="G3" s="356" t="s">
        <v>218</v>
      </c>
      <c r="H3" s="255"/>
      <c r="I3" s="24"/>
      <c r="J3" s="356" t="s">
        <v>219</v>
      </c>
      <c r="K3" s="255"/>
      <c r="L3" s="4"/>
      <c r="M3" s="179" t="s">
        <v>220</v>
      </c>
      <c r="N3" s="81"/>
    </row>
    <row r="4" spans="1:14" ht="14" x14ac:dyDescent="0.3">
      <c r="A4" s="24"/>
      <c r="B4" s="24"/>
      <c r="C4" s="177" t="s">
        <v>221</v>
      </c>
      <c r="D4" s="24"/>
      <c r="E4" s="178" t="s">
        <v>217</v>
      </c>
      <c r="F4" s="24"/>
      <c r="G4" s="357" t="s">
        <v>222</v>
      </c>
      <c r="H4" s="255"/>
      <c r="I4" s="24"/>
      <c r="J4" s="180" t="s">
        <v>222</v>
      </c>
      <c r="K4" s="81"/>
      <c r="L4" s="4"/>
      <c r="M4" s="180" t="s">
        <v>222</v>
      </c>
      <c r="N4" s="81"/>
    </row>
    <row r="5" spans="1:14" ht="14" x14ac:dyDescent="0.3">
      <c r="A5" s="24"/>
      <c r="B5" s="24"/>
      <c r="C5" s="177" t="s">
        <v>223</v>
      </c>
      <c r="D5" s="24"/>
      <c r="E5" s="178" t="s">
        <v>217</v>
      </c>
      <c r="F5" s="24"/>
      <c r="G5" s="358"/>
      <c r="H5" s="255"/>
      <c r="I5" s="24"/>
      <c r="J5" s="358"/>
      <c r="K5" s="255"/>
      <c r="L5" s="4"/>
      <c r="M5" s="358"/>
      <c r="N5" s="255"/>
    </row>
    <row r="6" spans="1:14" ht="14" x14ac:dyDescent="0.3">
      <c r="A6" s="24"/>
      <c r="B6" s="24"/>
      <c r="C6" s="177" t="s">
        <v>224</v>
      </c>
      <c r="D6" s="24"/>
      <c r="E6" s="178" t="s">
        <v>217</v>
      </c>
      <c r="F6" s="24"/>
      <c r="G6" s="313"/>
      <c r="H6" s="255"/>
      <c r="I6" s="24"/>
      <c r="J6" s="24"/>
      <c r="K6" s="81"/>
      <c r="L6" s="4"/>
      <c r="M6" s="24"/>
      <c r="N6" s="81"/>
    </row>
    <row r="7" spans="1:14" ht="1.5" customHeight="1" x14ac:dyDescent="0.3">
      <c r="A7" s="24"/>
      <c r="B7" s="24"/>
      <c r="C7" s="24"/>
      <c r="D7" s="24"/>
      <c r="E7" s="24"/>
      <c r="F7" s="24"/>
      <c r="G7" s="24"/>
      <c r="H7" s="81"/>
      <c r="I7" s="24"/>
      <c r="J7" s="24"/>
      <c r="K7" s="81"/>
      <c r="L7" s="4"/>
      <c r="M7" s="24"/>
      <c r="N7" s="81"/>
    </row>
    <row r="8" spans="1:14" ht="13" x14ac:dyDescent="0.3">
      <c r="A8" s="24"/>
      <c r="B8" s="280" t="s">
        <v>225</v>
      </c>
      <c r="C8" s="255"/>
      <c r="D8" s="24"/>
      <c r="E8" s="175" t="s">
        <v>226</v>
      </c>
      <c r="F8" s="24"/>
      <c r="G8" s="359" t="str">
        <f>G3&amp;" - "&amp;G6</f>
        <v xml:space="preserve">Motorista (+36 passageiros) - </v>
      </c>
      <c r="H8" s="255"/>
      <c r="I8" s="24"/>
      <c r="J8" s="359" t="str">
        <f>J3&amp;" - "&amp;J6</f>
        <v xml:space="preserve">Motorista (21 a 36 passageiros) - </v>
      </c>
      <c r="K8" s="255"/>
      <c r="L8" s="4"/>
      <c r="M8" s="359" t="str">
        <f>M3&amp;" - "&amp;M6</f>
        <v xml:space="preserve">Motorista (01 a 20 passageiros) - </v>
      </c>
      <c r="N8" s="255"/>
    </row>
    <row r="9" spans="1:14" ht="15" customHeight="1" x14ac:dyDescent="0.3">
      <c r="A9" s="24"/>
      <c r="B9" s="255"/>
      <c r="C9" s="255"/>
      <c r="D9" s="24"/>
      <c r="E9" s="181"/>
      <c r="F9" s="24"/>
      <c r="G9" s="182" t="s">
        <v>227</v>
      </c>
      <c r="H9" s="182" t="s">
        <v>228</v>
      </c>
      <c r="I9" s="24"/>
      <c r="J9" s="182" t="s">
        <v>227</v>
      </c>
      <c r="K9" s="182" t="s">
        <v>229</v>
      </c>
      <c r="L9" s="4"/>
      <c r="M9" s="182" t="s">
        <v>227</v>
      </c>
      <c r="N9" s="182" t="s">
        <v>229</v>
      </c>
    </row>
    <row r="10" spans="1:14" ht="1.5" customHeight="1" x14ac:dyDescent="0.3">
      <c r="A10" s="183"/>
      <c r="B10" s="183"/>
      <c r="C10" s="183"/>
      <c r="D10" s="183"/>
      <c r="E10" s="183"/>
      <c r="F10" s="183"/>
      <c r="G10" s="360"/>
      <c r="H10" s="255"/>
      <c r="I10" s="183"/>
      <c r="J10" s="360"/>
      <c r="K10" s="255"/>
      <c r="L10" s="4"/>
      <c r="M10" s="360"/>
      <c r="N10" s="255"/>
    </row>
    <row r="11" spans="1:14" ht="13" x14ac:dyDescent="0.3">
      <c r="A11" s="24"/>
      <c r="B11" s="184" t="s">
        <v>230</v>
      </c>
      <c r="C11" s="185"/>
      <c r="D11" s="24"/>
      <c r="E11" s="186"/>
      <c r="F11" s="24"/>
      <c r="G11" s="186"/>
      <c r="H11" s="186"/>
      <c r="I11" s="24"/>
      <c r="J11" s="186"/>
      <c r="K11" s="186"/>
      <c r="L11" s="4"/>
      <c r="M11" s="186"/>
      <c r="N11" s="186"/>
    </row>
    <row r="12" spans="1:14" ht="13" x14ac:dyDescent="0.3">
      <c r="A12" s="24"/>
      <c r="B12" s="187" t="s">
        <v>231</v>
      </c>
      <c r="C12" s="24"/>
      <c r="D12" s="24"/>
      <c r="E12" s="24"/>
      <c r="F12" s="24"/>
      <c r="G12" s="24"/>
      <c r="H12" s="188">
        <f>'Dados de Entrada'!J25</f>
        <v>3043.51</v>
      </c>
      <c r="I12" s="24"/>
      <c r="J12" s="24"/>
      <c r="K12" s="188">
        <f>'Dados de Entrada'!J22</f>
        <v>2093.08</v>
      </c>
      <c r="L12" s="4"/>
      <c r="M12" s="24"/>
      <c r="N12" s="188">
        <f>'Dados de Entrada'!J28</f>
        <v>1762.03</v>
      </c>
    </row>
    <row r="13" spans="1:14" ht="13" x14ac:dyDescent="0.3">
      <c r="A13" s="24"/>
      <c r="B13" s="189" t="s">
        <v>232</v>
      </c>
      <c r="C13" s="190"/>
      <c r="D13" s="24"/>
      <c r="E13" s="191"/>
      <c r="F13" s="24"/>
      <c r="G13" s="191"/>
      <c r="H13" s="192">
        <f>SUM(H12)</f>
        <v>3043.51</v>
      </c>
      <c r="I13" s="24"/>
      <c r="J13" s="191"/>
      <c r="K13" s="192">
        <f>SUM(K12)</f>
        <v>2093.08</v>
      </c>
      <c r="L13" s="4"/>
      <c r="M13" s="191"/>
      <c r="N13" s="192">
        <f>SUM(N12)</f>
        <v>1762.03</v>
      </c>
    </row>
    <row r="14" spans="1:14" ht="1.5" customHeight="1" x14ac:dyDescent="0.3">
      <c r="A14" s="183"/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4"/>
      <c r="M14" s="183"/>
      <c r="N14" s="183"/>
    </row>
    <row r="15" spans="1:14" ht="13" x14ac:dyDescent="0.3">
      <c r="A15" s="24"/>
      <c r="B15" s="361" t="s">
        <v>233</v>
      </c>
      <c r="C15" s="305"/>
      <c r="D15" s="24"/>
      <c r="E15" s="190"/>
      <c r="F15" s="24"/>
      <c r="G15" s="193"/>
      <c r="H15" s="193"/>
      <c r="I15" s="24"/>
      <c r="J15" s="193"/>
      <c r="K15" s="190"/>
      <c r="L15" s="4"/>
      <c r="M15" s="193"/>
      <c r="N15" s="190"/>
    </row>
    <row r="16" spans="1:14" ht="13" x14ac:dyDescent="0.3">
      <c r="A16" s="24"/>
      <c r="B16" s="362" t="s">
        <v>234</v>
      </c>
      <c r="C16" s="321"/>
      <c r="D16" s="24"/>
      <c r="E16" s="82"/>
      <c r="F16" s="24"/>
      <c r="G16" s="194"/>
      <c r="H16" s="195"/>
      <c r="I16" s="24"/>
      <c r="J16" s="194"/>
      <c r="K16" s="196"/>
      <c r="L16" s="4"/>
      <c r="M16" s="194"/>
      <c r="N16" s="196"/>
    </row>
    <row r="17" spans="1:14" ht="13" x14ac:dyDescent="0.3">
      <c r="A17" s="24"/>
      <c r="B17" s="362" t="s">
        <v>235</v>
      </c>
      <c r="C17" s="321"/>
      <c r="D17" s="24"/>
      <c r="E17" s="194"/>
      <c r="F17" s="24"/>
      <c r="G17" s="194"/>
      <c r="H17" s="195"/>
      <c r="I17" s="24"/>
      <c r="J17" s="194"/>
      <c r="K17" s="195"/>
      <c r="L17" s="4"/>
      <c r="M17" s="194"/>
      <c r="N17" s="195"/>
    </row>
    <row r="18" spans="1:14" ht="13" x14ac:dyDescent="0.3">
      <c r="A18" s="24"/>
      <c r="B18" s="116" t="s">
        <v>236</v>
      </c>
      <c r="C18" s="197" t="s">
        <v>237</v>
      </c>
      <c r="D18" s="24"/>
      <c r="E18" s="198">
        <v>0.2</v>
      </c>
      <c r="F18" s="24"/>
      <c r="G18" s="198">
        <f t="shared" ref="G18:G24" si="0">$E18</f>
        <v>0.2</v>
      </c>
      <c r="H18" s="199">
        <f>H13*G18</f>
        <v>608.70200000000011</v>
      </c>
      <c r="I18" s="24"/>
      <c r="J18" s="198">
        <f t="shared" ref="J18:J24" si="1">$E18</f>
        <v>0.2</v>
      </c>
      <c r="K18" s="199">
        <f>K13*J18</f>
        <v>418.61599999999999</v>
      </c>
      <c r="L18" s="4"/>
      <c r="M18" s="198">
        <f t="shared" ref="M18:M24" si="2">$E18</f>
        <v>0.2</v>
      </c>
      <c r="N18" s="199">
        <f>N13*M18</f>
        <v>352.40600000000001</v>
      </c>
    </row>
    <row r="19" spans="1:14" ht="13" x14ac:dyDescent="0.3">
      <c r="A19" s="24"/>
      <c r="B19" s="116" t="s">
        <v>238</v>
      </c>
      <c r="C19" s="197" t="s">
        <v>239</v>
      </c>
      <c r="D19" s="24"/>
      <c r="E19" s="198">
        <v>0.08</v>
      </c>
      <c r="F19" s="24"/>
      <c r="G19" s="198">
        <f t="shared" si="0"/>
        <v>0.08</v>
      </c>
      <c r="H19" s="199">
        <f>H13*G19</f>
        <v>243.48080000000002</v>
      </c>
      <c r="I19" s="24"/>
      <c r="J19" s="198">
        <f t="shared" si="1"/>
        <v>0.08</v>
      </c>
      <c r="K19" s="199">
        <f>K13*J19</f>
        <v>167.44640000000001</v>
      </c>
      <c r="L19" s="4"/>
      <c r="M19" s="198">
        <f t="shared" si="2"/>
        <v>0.08</v>
      </c>
      <c r="N19" s="199">
        <f>N13*M19</f>
        <v>140.9624</v>
      </c>
    </row>
    <row r="20" spans="1:14" ht="13" x14ac:dyDescent="0.3">
      <c r="A20" s="24"/>
      <c r="B20" s="116" t="s">
        <v>240</v>
      </c>
      <c r="C20" s="197" t="s">
        <v>241</v>
      </c>
      <c r="D20" s="24"/>
      <c r="E20" s="198">
        <v>1.4999999999999999E-2</v>
      </c>
      <c r="F20" s="24"/>
      <c r="G20" s="198">
        <f t="shared" si="0"/>
        <v>1.4999999999999999E-2</v>
      </c>
      <c r="H20" s="199">
        <f>G20*H13</f>
        <v>45.652650000000001</v>
      </c>
      <c r="I20" s="24"/>
      <c r="J20" s="198">
        <f t="shared" si="1"/>
        <v>1.4999999999999999E-2</v>
      </c>
      <c r="K20" s="199">
        <f>J20*K13</f>
        <v>31.396199999999997</v>
      </c>
      <c r="L20" s="4"/>
      <c r="M20" s="198">
        <f t="shared" si="2"/>
        <v>1.4999999999999999E-2</v>
      </c>
      <c r="N20" s="199">
        <f>M20*N13</f>
        <v>26.430449999999997</v>
      </c>
    </row>
    <row r="21" spans="1:14" ht="13" x14ac:dyDescent="0.3">
      <c r="A21" s="24"/>
      <c r="B21" s="116" t="s">
        <v>242</v>
      </c>
      <c r="C21" s="197" t="s">
        <v>243</v>
      </c>
      <c r="D21" s="24"/>
      <c r="E21" s="198">
        <v>0.01</v>
      </c>
      <c r="F21" s="24"/>
      <c r="G21" s="198">
        <f t="shared" si="0"/>
        <v>0.01</v>
      </c>
      <c r="H21" s="199">
        <f>G21*H13</f>
        <v>30.435100000000002</v>
      </c>
      <c r="I21" s="24"/>
      <c r="J21" s="198">
        <f t="shared" si="1"/>
        <v>0.01</v>
      </c>
      <c r="K21" s="199">
        <f>J21*K13</f>
        <v>20.930800000000001</v>
      </c>
      <c r="L21" s="4"/>
      <c r="M21" s="198">
        <f t="shared" si="2"/>
        <v>0.01</v>
      </c>
      <c r="N21" s="199">
        <f>M21*N13</f>
        <v>17.6203</v>
      </c>
    </row>
    <row r="22" spans="1:14" ht="13" x14ac:dyDescent="0.3">
      <c r="A22" s="24"/>
      <c r="B22" s="116" t="s">
        <v>244</v>
      </c>
      <c r="C22" s="197" t="s">
        <v>245</v>
      </c>
      <c r="D22" s="24"/>
      <c r="E22" s="198">
        <v>2E-3</v>
      </c>
      <c r="F22" s="24"/>
      <c r="G22" s="198">
        <f t="shared" si="0"/>
        <v>2E-3</v>
      </c>
      <c r="H22" s="199">
        <f>G22*H13</f>
        <v>6.0870200000000008</v>
      </c>
      <c r="I22" s="24"/>
      <c r="J22" s="198">
        <f t="shared" si="1"/>
        <v>2E-3</v>
      </c>
      <c r="K22" s="199">
        <f>J22*K13</f>
        <v>4.1861600000000001</v>
      </c>
      <c r="L22" s="4"/>
      <c r="M22" s="198">
        <f t="shared" si="2"/>
        <v>2E-3</v>
      </c>
      <c r="N22" s="199">
        <f>M22*N13</f>
        <v>3.52406</v>
      </c>
    </row>
    <row r="23" spans="1:14" ht="13" x14ac:dyDescent="0.3">
      <c r="A23" s="24"/>
      <c r="B23" s="116" t="s">
        <v>246</v>
      </c>
      <c r="C23" s="197" t="s">
        <v>247</v>
      </c>
      <c r="D23" s="24"/>
      <c r="E23" s="198">
        <v>6.0000000000000001E-3</v>
      </c>
      <c r="F23" s="24"/>
      <c r="G23" s="198">
        <f t="shared" si="0"/>
        <v>6.0000000000000001E-3</v>
      </c>
      <c r="H23" s="199">
        <f>G23*H13</f>
        <v>18.261060000000001</v>
      </c>
      <c r="I23" s="24"/>
      <c r="J23" s="198">
        <f t="shared" si="1"/>
        <v>6.0000000000000001E-3</v>
      </c>
      <c r="K23" s="199">
        <f>J23*K13</f>
        <v>12.558479999999999</v>
      </c>
      <c r="L23" s="4"/>
      <c r="M23" s="198">
        <f t="shared" si="2"/>
        <v>6.0000000000000001E-3</v>
      </c>
      <c r="N23" s="199">
        <f>M23*N13</f>
        <v>10.572179999999999</v>
      </c>
    </row>
    <row r="24" spans="1:14" ht="13" x14ac:dyDescent="0.3">
      <c r="A24" s="24"/>
      <c r="B24" s="116" t="s">
        <v>248</v>
      </c>
      <c r="C24" s="197" t="s">
        <v>249</v>
      </c>
      <c r="D24" s="24"/>
      <c r="E24" s="198">
        <v>2.5000000000000001E-2</v>
      </c>
      <c r="F24" s="24"/>
      <c r="G24" s="198">
        <f t="shared" si="0"/>
        <v>2.5000000000000001E-2</v>
      </c>
      <c r="H24" s="199">
        <f>G24*H13</f>
        <v>76.087750000000014</v>
      </c>
      <c r="I24" s="24"/>
      <c r="J24" s="198">
        <f t="shared" si="1"/>
        <v>2.5000000000000001E-2</v>
      </c>
      <c r="K24" s="199">
        <f>J24*K13</f>
        <v>52.326999999999998</v>
      </c>
      <c r="L24" s="4"/>
      <c r="M24" s="198">
        <f t="shared" si="2"/>
        <v>2.5000000000000001E-2</v>
      </c>
      <c r="N24" s="199">
        <f>M24*N13</f>
        <v>44.050750000000001</v>
      </c>
    </row>
    <row r="25" spans="1:14" ht="13" x14ac:dyDescent="0.3">
      <c r="A25" s="24"/>
      <c r="B25" s="116" t="s">
        <v>250</v>
      </c>
      <c r="C25" s="197" t="s">
        <v>251</v>
      </c>
      <c r="D25" s="24"/>
      <c r="E25" s="198">
        <v>0.03</v>
      </c>
      <c r="F25" s="24"/>
      <c r="G25" s="198">
        <v>0.03</v>
      </c>
      <c r="H25" s="199">
        <f>G25*H13</f>
        <v>91.305300000000003</v>
      </c>
      <c r="I25" s="24"/>
      <c r="J25" s="198">
        <v>0.03</v>
      </c>
      <c r="K25" s="199">
        <f>J25*K13</f>
        <v>62.792399999999994</v>
      </c>
      <c r="L25" s="24"/>
      <c r="M25" s="198">
        <v>0.03</v>
      </c>
      <c r="N25" s="199">
        <f>M25*N13</f>
        <v>52.860899999999994</v>
      </c>
    </row>
    <row r="26" spans="1:14" ht="13" x14ac:dyDescent="0.3">
      <c r="A26" s="24"/>
      <c r="B26" s="363" t="s">
        <v>252</v>
      </c>
      <c r="C26" s="302"/>
      <c r="D26" s="24"/>
      <c r="E26" s="201">
        <f>SUM(E18:E25)</f>
        <v>0.3680000000000001</v>
      </c>
      <c r="F26" s="24"/>
      <c r="G26" s="201">
        <f t="shared" ref="G26:H26" si="3">SUM(G18:G25)</f>
        <v>0.3680000000000001</v>
      </c>
      <c r="H26" s="202">
        <f t="shared" si="3"/>
        <v>1120.0116800000003</v>
      </c>
      <c r="I26" s="24"/>
      <c r="J26" s="201">
        <f t="shared" ref="J26:K26" si="4">SUM(J18:J25)</f>
        <v>0.3680000000000001</v>
      </c>
      <c r="K26" s="202">
        <f t="shared" si="4"/>
        <v>770.25344000000007</v>
      </c>
      <c r="L26" s="4"/>
      <c r="M26" s="201">
        <f t="shared" ref="M26:N26" si="5">SUM(M18:M25)</f>
        <v>0.3680000000000001</v>
      </c>
      <c r="N26" s="202">
        <f t="shared" si="5"/>
        <v>648.42704000000003</v>
      </c>
    </row>
    <row r="27" spans="1:14" ht="13" x14ac:dyDescent="0.3">
      <c r="A27" s="24"/>
      <c r="B27" s="203" t="s">
        <v>253</v>
      </c>
      <c r="C27" s="204"/>
      <c r="D27" s="24"/>
      <c r="E27" s="205"/>
      <c r="F27" s="24"/>
      <c r="G27" s="205"/>
      <c r="H27" s="196"/>
      <c r="I27" s="24"/>
      <c r="J27" s="205"/>
      <c r="K27" s="196"/>
      <c r="L27" s="4"/>
      <c r="M27" s="205"/>
      <c r="N27" s="196"/>
    </row>
    <row r="28" spans="1:14" ht="13" x14ac:dyDescent="0.3">
      <c r="A28" s="24"/>
      <c r="B28" s="116" t="s">
        <v>254</v>
      </c>
      <c r="C28" s="197" t="s">
        <v>255</v>
      </c>
      <c r="D28" s="24"/>
      <c r="E28" s="198">
        <v>0</v>
      </c>
      <c r="F28" s="24"/>
      <c r="G28" s="198">
        <v>0</v>
      </c>
      <c r="H28" s="199">
        <v>0</v>
      </c>
      <c r="I28" s="24"/>
      <c r="J28" s="198">
        <v>0</v>
      </c>
      <c r="K28" s="199">
        <v>0</v>
      </c>
      <c r="L28" s="4"/>
      <c r="M28" s="206">
        <v>0</v>
      </c>
      <c r="N28" s="199">
        <v>0</v>
      </c>
    </row>
    <row r="29" spans="1:14" ht="13" x14ac:dyDescent="0.3">
      <c r="A29" s="24"/>
      <c r="B29" s="116" t="s">
        <v>256</v>
      </c>
      <c r="C29" s="197" t="s">
        <v>257</v>
      </c>
      <c r="D29" s="24"/>
      <c r="E29" s="198">
        <v>1E-4</v>
      </c>
      <c r="F29" s="24"/>
      <c r="G29" s="198">
        <f t="shared" ref="G29:G33" si="6">$E29</f>
        <v>1E-4</v>
      </c>
      <c r="H29" s="199">
        <f>H13*G29</f>
        <v>0.30435100000000004</v>
      </c>
      <c r="I29" s="24"/>
      <c r="J29" s="198">
        <f t="shared" ref="J29:J33" si="7">$E29</f>
        <v>1E-4</v>
      </c>
      <c r="K29" s="199">
        <f>K13*J29</f>
        <v>0.20930799999999999</v>
      </c>
      <c r="L29" s="4"/>
      <c r="M29" s="206">
        <f t="shared" ref="M29:M33" si="8">$E29</f>
        <v>1E-4</v>
      </c>
      <c r="N29" s="199">
        <f>N13*M29</f>
        <v>0.176203</v>
      </c>
    </row>
    <row r="30" spans="1:14" ht="13" x14ac:dyDescent="0.3">
      <c r="A30" s="24"/>
      <c r="B30" s="116" t="s">
        <v>258</v>
      </c>
      <c r="C30" s="207" t="s">
        <v>259</v>
      </c>
      <c r="D30" s="24"/>
      <c r="E30" s="198">
        <v>1.54E-2</v>
      </c>
      <c r="F30" s="24"/>
      <c r="G30" s="198">
        <f t="shared" si="6"/>
        <v>1.54E-2</v>
      </c>
      <c r="H30" s="199">
        <f>H13*G30</f>
        <v>46.870054000000003</v>
      </c>
      <c r="I30" s="24"/>
      <c r="J30" s="198">
        <f t="shared" si="7"/>
        <v>1.54E-2</v>
      </c>
      <c r="K30" s="199">
        <f>K13*J30</f>
        <v>32.233432000000001</v>
      </c>
      <c r="L30" s="4"/>
      <c r="M30" s="206">
        <f t="shared" si="8"/>
        <v>1.54E-2</v>
      </c>
      <c r="N30" s="199">
        <f>N13*M30</f>
        <v>27.135262000000001</v>
      </c>
    </row>
    <row r="31" spans="1:14" ht="13" x14ac:dyDescent="0.3">
      <c r="A31" s="24"/>
      <c r="B31" s="116" t="s">
        <v>260</v>
      </c>
      <c r="C31" s="197" t="s">
        <v>261</v>
      </c>
      <c r="D31" s="24"/>
      <c r="E31" s="198">
        <v>2.0000000000000001E-4</v>
      </c>
      <c r="F31" s="24"/>
      <c r="G31" s="198">
        <f t="shared" si="6"/>
        <v>2.0000000000000001E-4</v>
      </c>
      <c r="H31" s="199">
        <f>H13*G31</f>
        <v>0.60870200000000008</v>
      </c>
      <c r="I31" s="24"/>
      <c r="J31" s="198">
        <f t="shared" si="7"/>
        <v>2.0000000000000001E-4</v>
      </c>
      <c r="K31" s="199">
        <f>K13*J31</f>
        <v>0.41861599999999999</v>
      </c>
      <c r="L31" s="4"/>
      <c r="M31" s="206">
        <f t="shared" si="8"/>
        <v>2.0000000000000001E-4</v>
      </c>
      <c r="N31" s="199">
        <f>N13*M31</f>
        <v>0.352406</v>
      </c>
    </row>
    <row r="32" spans="1:14" ht="13" x14ac:dyDescent="0.3">
      <c r="A32" s="24"/>
      <c r="B32" s="116" t="s">
        <v>262</v>
      </c>
      <c r="C32" s="197" t="s">
        <v>263</v>
      </c>
      <c r="D32" s="24"/>
      <c r="E32" s="198">
        <v>9.1000000000000004E-3</v>
      </c>
      <c r="F32" s="24"/>
      <c r="G32" s="198">
        <f t="shared" si="6"/>
        <v>9.1000000000000004E-3</v>
      </c>
      <c r="H32" s="199">
        <f>H13*G32</f>
        <v>27.695941000000005</v>
      </c>
      <c r="I32" s="24"/>
      <c r="J32" s="198">
        <f t="shared" si="7"/>
        <v>9.1000000000000004E-3</v>
      </c>
      <c r="K32" s="199">
        <f>K13*J32</f>
        <v>19.047028000000001</v>
      </c>
      <c r="L32" s="4"/>
      <c r="M32" s="206">
        <f t="shared" si="8"/>
        <v>9.1000000000000004E-3</v>
      </c>
      <c r="N32" s="199">
        <f>N13*M32</f>
        <v>16.034473000000002</v>
      </c>
    </row>
    <row r="33" spans="1:14" ht="13" x14ac:dyDescent="0.3">
      <c r="A33" s="24"/>
      <c r="B33" s="116" t="s">
        <v>264</v>
      </c>
      <c r="C33" s="197" t="s">
        <v>265</v>
      </c>
      <c r="D33" s="24"/>
      <c r="E33" s="198">
        <v>4.0000000000000002E-4</v>
      </c>
      <c r="F33" s="24"/>
      <c r="G33" s="198">
        <f t="shared" si="6"/>
        <v>4.0000000000000002E-4</v>
      </c>
      <c r="H33" s="199">
        <f>H13*G33</f>
        <v>1.2174040000000002</v>
      </c>
      <c r="I33" s="24"/>
      <c r="J33" s="198">
        <f t="shared" si="7"/>
        <v>4.0000000000000002E-4</v>
      </c>
      <c r="K33" s="199">
        <f>K13*J33</f>
        <v>0.83723199999999998</v>
      </c>
      <c r="L33" s="4"/>
      <c r="M33" s="206">
        <f t="shared" si="8"/>
        <v>4.0000000000000002E-4</v>
      </c>
      <c r="N33" s="199">
        <f>N13*M33</f>
        <v>0.70481199999999999</v>
      </c>
    </row>
    <row r="34" spans="1:14" ht="13" x14ac:dyDescent="0.3">
      <c r="A34" s="24"/>
      <c r="B34" s="363" t="s">
        <v>266</v>
      </c>
      <c r="C34" s="302"/>
      <c r="D34" s="24"/>
      <c r="E34" s="201">
        <f>SUM(E28:E33)</f>
        <v>2.52E-2</v>
      </c>
      <c r="F34" s="24"/>
      <c r="G34" s="201">
        <f t="shared" ref="G34:H34" si="9">SUM(G28:G33)</f>
        <v>2.52E-2</v>
      </c>
      <c r="H34" s="202">
        <f t="shared" si="9"/>
        <v>76.696452000000008</v>
      </c>
      <c r="I34" s="24"/>
      <c r="J34" s="201">
        <f t="shared" ref="J34:K34" si="10">SUM(J28:J33)</f>
        <v>2.52E-2</v>
      </c>
      <c r="K34" s="202">
        <f t="shared" si="10"/>
        <v>52.745615999999998</v>
      </c>
      <c r="L34" s="4"/>
      <c r="M34" s="208">
        <f t="shared" ref="M34:N34" si="11">SUM(M28:M33)</f>
        <v>2.52E-2</v>
      </c>
      <c r="N34" s="202">
        <f t="shared" si="11"/>
        <v>44.403156000000003</v>
      </c>
    </row>
    <row r="35" spans="1:14" ht="13" x14ac:dyDescent="0.3">
      <c r="A35" s="24"/>
      <c r="B35" s="203" t="s">
        <v>267</v>
      </c>
      <c r="C35" s="204"/>
      <c r="D35" s="24"/>
      <c r="E35" s="205"/>
      <c r="F35" s="24"/>
      <c r="G35" s="205"/>
      <c r="H35" s="196"/>
      <c r="I35" s="24"/>
      <c r="J35" s="205"/>
      <c r="K35" s="196"/>
      <c r="L35" s="4"/>
      <c r="M35" s="209"/>
      <c r="N35" s="196"/>
    </row>
    <row r="36" spans="1:14" ht="13" x14ac:dyDescent="0.3">
      <c r="A36" s="24"/>
      <c r="B36" s="116" t="s">
        <v>268</v>
      </c>
      <c r="C36" s="197" t="s">
        <v>269</v>
      </c>
      <c r="D36" s="24"/>
      <c r="E36" s="198">
        <v>3.1E-2</v>
      </c>
      <c r="F36" s="24"/>
      <c r="G36" s="198">
        <f>$E36</f>
        <v>3.1E-2</v>
      </c>
      <c r="H36" s="199">
        <f>H13*G36</f>
        <v>94.34881</v>
      </c>
      <c r="I36" s="24"/>
      <c r="J36" s="198">
        <f t="shared" ref="J36:J37" si="12">$E36</f>
        <v>3.1E-2</v>
      </c>
      <c r="K36" s="199">
        <f>K13*J36</f>
        <v>64.885480000000001</v>
      </c>
      <c r="L36" s="4"/>
      <c r="M36" s="206">
        <f t="shared" ref="M36:M37" si="13">$E36</f>
        <v>3.1E-2</v>
      </c>
      <c r="N36" s="199">
        <f>N13*M36</f>
        <v>54.622929999999997</v>
      </c>
    </row>
    <row r="37" spans="1:14" ht="13" x14ac:dyDescent="0.3">
      <c r="A37" s="24"/>
      <c r="B37" s="116" t="s">
        <v>270</v>
      </c>
      <c r="C37" s="197" t="s">
        <v>271</v>
      </c>
      <c r="D37" s="24"/>
      <c r="E37" s="198">
        <v>8.3299999999999999E-2</v>
      </c>
      <c r="F37" s="24"/>
      <c r="G37" s="198">
        <v>8.3299999999999999E-2</v>
      </c>
      <c r="H37" s="199">
        <f>H13*G37</f>
        <v>253.52438300000003</v>
      </c>
      <c r="I37" s="24"/>
      <c r="J37" s="198">
        <f t="shared" si="12"/>
        <v>8.3299999999999999E-2</v>
      </c>
      <c r="K37" s="199">
        <f>K13*J37</f>
        <v>174.35356400000001</v>
      </c>
      <c r="L37" s="4"/>
      <c r="M37" s="206">
        <f t="shared" si="13"/>
        <v>8.3299999999999999E-2</v>
      </c>
      <c r="N37" s="199">
        <f>N13*M37</f>
        <v>146.77709899999999</v>
      </c>
    </row>
    <row r="38" spans="1:14" ht="13" x14ac:dyDescent="0.3">
      <c r="A38" s="24"/>
      <c r="B38" s="363" t="s">
        <v>272</v>
      </c>
      <c r="C38" s="302"/>
      <c r="D38" s="24"/>
      <c r="E38" s="201">
        <f>SUM(E36:E37)</f>
        <v>0.1143</v>
      </c>
      <c r="F38" s="24"/>
      <c r="G38" s="201">
        <f t="shared" ref="G38:H38" si="14">SUM(G36:G37)</f>
        <v>0.1143</v>
      </c>
      <c r="H38" s="202">
        <f t="shared" si="14"/>
        <v>347.87319300000001</v>
      </c>
      <c r="I38" s="24"/>
      <c r="J38" s="201">
        <f t="shared" ref="J38:K38" si="15">SUM(J36:J37)</f>
        <v>0.1143</v>
      </c>
      <c r="K38" s="202">
        <f t="shared" si="15"/>
        <v>239.23904400000001</v>
      </c>
      <c r="L38" s="4"/>
      <c r="M38" s="201">
        <f t="shared" ref="M38:N38" si="16">SUM(M36:M37)</f>
        <v>0.1143</v>
      </c>
      <c r="N38" s="202">
        <f t="shared" si="16"/>
        <v>201.40002899999999</v>
      </c>
    </row>
    <row r="39" spans="1:14" ht="13" x14ac:dyDescent="0.3">
      <c r="A39" s="24"/>
      <c r="B39" s="203" t="s">
        <v>273</v>
      </c>
      <c r="C39" s="204"/>
      <c r="D39" s="24"/>
      <c r="E39" s="210"/>
      <c r="F39" s="24"/>
      <c r="G39" s="210"/>
      <c r="H39" s="196"/>
      <c r="I39" s="24"/>
      <c r="J39" s="210"/>
      <c r="K39" s="196"/>
      <c r="L39" s="4"/>
      <c r="M39" s="210"/>
      <c r="N39" s="196"/>
    </row>
    <row r="40" spans="1:14" ht="13" x14ac:dyDescent="0.3">
      <c r="A40" s="24"/>
      <c r="B40" s="116" t="s">
        <v>274</v>
      </c>
      <c r="C40" s="197" t="s">
        <v>275</v>
      </c>
      <c r="D40" s="24"/>
      <c r="E40" s="198">
        <v>1.3100000000000001E-2</v>
      </c>
      <c r="F40" s="24"/>
      <c r="G40" s="198">
        <f t="shared" ref="G40:G42" si="17">$E40</f>
        <v>1.3100000000000001E-2</v>
      </c>
      <c r="H40" s="199">
        <f>G40*H13</f>
        <v>39.869981000000003</v>
      </c>
      <c r="I40" s="24"/>
      <c r="J40" s="198">
        <f t="shared" ref="J40:J42" si="18">$E40</f>
        <v>1.3100000000000001E-2</v>
      </c>
      <c r="K40" s="199">
        <f>J40*K13</f>
        <v>27.419347999999999</v>
      </c>
      <c r="L40" s="4"/>
      <c r="M40" s="198">
        <f t="shared" ref="M40:M42" si="19">$E40</f>
        <v>1.3100000000000001E-2</v>
      </c>
      <c r="N40" s="199">
        <f>M40*N13</f>
        <v>23.082592999999999</v>
      </c>
    </row>
    <row r="41" spans="1:14" ht="13" x14ac:dyDescent="0.3">
      <c r="A41" s="24"/>
      <c r="B41" s="116" t="s">
        <v>276</v>
      </c>
      <c r="C41" s="197" t="s">
        <v>277</v>
      </c>
      <c r="D41" s="24"/>
      <c r="E41" s="198">
        <v>8.9999999999999998E-4</v>
      </c>
      <c r="F41" s="24"/>
      <c r="G41" s="198">
        <f t="shared" si="17"/>
        <v>8.9999999999999998E-4</v>
      </c>
      <c r="H41" s="199">
        <f>G41*H13</f>
        <v>2.7391589999999999</v>
      </c>
      <c r="I41" s="24"/>
      <c r="J41" s="198">
        <f t="shared" si="18"/>
        <v>8.9999999999999998E-4</v>
      </c>
      <c r="K41" s="199">
        <f>J41*K13</f>
        <v>1.8837719999999998</v>
      </c>
      <c r="L41" s="4"/>
      <c r="M41" s="198">
        <f t="shared" si="19"/>
        <v>8.9999999999999998E-4</v>
      </c>
      <c r="N41" s="199">
        <f>M41*N13</f>
        <v>1.5858269999999999</v>
      </c>
    </row>
    <row r="42" spans="1:14" ht="13" x14ac:dyDescent="0.3">
      <c r="A42" s="24"/>
      <c r="B42" s="116" t="s">
        <v>278</v>
      </c>
      <c r="C42" s="197" t="s">
        <v>279</v>
      </c>
      <c r="D42" s="24"/>
      <c r="E42" s="198">
        <v>2.3099999999999999E-2</v>
      </c>
      <c r="F42" s="24"/>
      <c r="G42" s="198">
        <f t="shared" si="17"/>
        <v>2.3099999999999999E-2</v>
      </c>
      <c r="H42" s="199">
        <f>G42*H13</f>
        <v>70.305081000000001</v>
      </c>
      <c r="I42" s="24"/>
      <c r="J42" s="198">
        <f t="shared" si="18"/>
        <v>2.3099999999999999E-2</v>
      </c>
      <c r="K42" s="199">
        <f>J42*K13</f>
        <v>48.350147999999997</v>
      </c>
      <c r="L42" s="4"/>
      <c r="M42" s="198">
        <f t="shared" si="19"/>
        <v>2.3099999999999999E-2</v>
      </c>
      <c r="N42" s="199">
        <f>M42*N13</f>
        <v>40.702892999999996</v>
      </c>
    </row>
    <row r="43" spans="1:14" ht="13" x14ac:dyDescent="0.3">
      <c r="A43" s="24"/>
      <c r="B43" s="363" t="s">
        <v>280</v>
      </c>
      <c r="C43" s="302"/>
      <c r="D43" s="24"/>
      <c r="E43" s="201">
        <f>SUM(E40:E42)</f>
        <v>3.7100000000000001E-2</v>
      </c>
      <c r="F43" s="24"/>
      <c r="G43" s="201">
        <f t="shared" ref="G43:H43" si="20">SUM(G40:G42)</f>
        <v>3.7100000000000001E-2</v>
      </c>
      <c r="H43" s="202">
        <f t="shared" si="20"/>
        <v>112.914221</v>
      </c>
      <c r="I43" s="24"/>
      <c r="J43" s="201">
        <f t="shared" ref="J43:K43" si="21">SUM(J40:J42)</f>
        <v>3.7100000000000001E-2</v>
      </c>
      <c r="K43" s="202">
        <f t="shared" si="21"/>
        <v>77.653267999999997</v>
      </c>
      <c r="L43" s="4"/>
      <c r="M43" s="201">
        <f t="shared" ref="M43:N43" si="22">SUM(M40:M42)</f>
        <v>3.7100000000000001E-2</v>
      </c>
      <c r="N43" s="202">
        <f t="shared" si="22"/>
        <v>65.371312999999986</v>
      </c>
    </row>
    <row r="44" spans="1:14" ht="13" x14ac:dyDescent="0.3">
      <c r="A44" s="24"/>
      <c r="B44" s="203" t="s">
        <v>281</v>
      </c>
      <c r="C44" s="204"/>
      <c r="D44" s="24"/>
      <c r="E44" s="205"/>
      <c r="F44" s="24"/>
      <c r="G44" s="205"/>
      <c r="H44" s="196"/>
      <c r="I44" s="24"/>
      <c r="J44" s="205"/>
      <c r="K44" s="196"/>
      <c r="L44" s="4"/>
      <c r="M44" s="205"/>
      <c r="N44" s="196"/>
    </row>
    <row r="45" spans="1:14" ht="13" x14ac:dyDescent="0.3">
      <c r="A45" s="24"/>
      <c r="B45" s="116" t="s">
        <v>282</v>
      </c>
      <c r="C45" s="197" t="s">
        <v>283</v>
      </c>
      <c r="D45" s="24"/>
      <c r="E45" s="198">
        <v>0</v>
      </c>
      <c r="F45" s="24"/>
      <c r="G45" s="198">
        <v>0</v>
      </c>
      <c r="H45" s="199">
        <v>0</v>
      </c>
      <c r="I45" s="24"/>
      <c r="J45" s="198">
        <v>0</v>
      </c>
      <c r="K45" s="199">
        <v>0</v>
      </c>
      <c r="L45" s="4"/>
      <c r="M45" s="198">
        <v>0</v>
      </c>
      <c r="N45" s="199">
        <v>0</v>
      </c>
    </row>
    <row r="46" spans="1:14" ht="13" x14ac:dyDescent="0.3">
      <c r="A46" s="24"/>
      <c r="B46" s="116" t="s">
        <v>284</v>
      </c>
      <c r="C46" s="197" t="s">
        <v>285</v>
      </c>
      <c r="D46" s="24"/>
      <c r="E46" s="198">
        <v>0</v>
      </c>
      <c r="F46" s="24"/>
      <c r="G46" s="198">
        <v>0</v>
      </c>
      <c r="H46" s="199">
        <v>0</v>
      </c>
      <c r="I46" s="24"/>
      <c r="J46" s="198">
        <v>0</v>
      </c>
      <c r="K46" s="199">
        <v>0</v>
      </c>
      <c r="L46" s="4"/>
      <c r="M46" s="198">
        <v>0</v>
      </c>
      <c r="N46" s="199">
        <v>0</v>
      </c>
    </row>
    <row r="47" spans="1:14" ht="13" x14ac:dyDescent="0.3">
      <c r="A47" s="24"/>
      <c r="B47" s="116" t="s">
        <v>286</v>
      </c>
      <c r="C47" s="197" t="s">
        <v>287</v>
      </c>
      <c r="D47" s="24"/>
      <c r="E47" s="198">
        <v>0</v>
      </c>
      <c r="F47" s="24"/>
      <c r="G47" s="198">
        <v>0</v>
      </c>
      <c r="H47" s="199">
        <v>0</v>
      </c>
      <c r="I47" s="24"/>
      <c r="J47" s="198">
        <v>0</v>
      </c>
      <c r="K47" s="199">
        <v>0</v>
      </c>
      <c r="L47" s="4"/>
      <c r="M47" s="198">
        <v>0</v>
      </c>
      <c r="N47" s="199">
        <v>0</v>
      </c>
    </row>
    <row r="48" spans="1:14" ht="13" x14ac:dyDescent="0.3">
      <c r="A48" s="24"/>
      <c r="B48" s="363" t="s">
        <v>288</v>
      </c>
      <c r="C48" s="302"/>
      <c r="D48" s="24"/>
      <c r="E48" s="201">
        <f>SUM(E45:E47)</f>
        <v>0</v>
      </c>
      <c r="F48" s="24"/>
      <c r="G48" s="201">
        <f t="shared" ref="G48:H48" si="23">SUM(G45:G47)</f>
        <v>0</v>
      </c>
      <c r="H48" s="202">
        <f t="shared" si="23"/>
        <v>0</v>
      </c>
      <c r="I48" s="24"/>
      <c r="J48" s="201">
        <f t="shared" ref="J48:K48" si="24">SUM(J45:J47)</f>
        <v>0</v>
      </c>
      <c r="K48" s="202">
        <f t="shared" si="24"/>
        <v>0</v>
      </c>
      <c r="L48" s="4"/>
      <c r="M48" s="201">
        <f t="shared" ref="M48:N48" si="25">SUM(M45:M47)</f>
        <v>0</v>
      </c>
      <c r="N48" s="202">
        <f t="shared" si="25"/>
        <v>0</v>
      </c>
    </row>
    <row r="49" spans="1:14" ht="13" x14ac:dyDescent="0.3">
      <c r="A49" s="24"/>
      <c r="B49" s="367" t="s">
        <v>289</v>
      </c>
      <c r="C49" s="305"/>
      <c r="D49" s="24"/>
      <c r="E49" s="210"/>
      <c r="F49" s="24"/>
      <c r="G49" s="210"/>
      <c r="H49" s="196"/>
      <c r="I49" s="24"/>
      <c r="J49" s="210"/>
      <c r="K49" s="196"/>
      <c r="L49" s="4"/>
      <c r="M49" s="210"/>
      <c r="N49" s="196"/>
    </row>
    <row r="50" spans="1:14" ht="13" x14ac:dyDescent="0.3">
      <c r="A50" s="24"/>
      <c r="B50" s="91" t="s">
        <v>290</v>
      </c>
      <c r="C50" s="197" t="s">
        <v>291</v>
      </c>
      <c r="D50" s="24"/>
      <c r="E50" s="198">
        <f>E26*(E34+E38)</f>
        <v>5.1336000000000021E-2</v>
      </c>
      <c r="F50" s="24"/>
      <c r="G50" s="198">
        <f>$E50</f>
        <v>5.1336000000000021E-2</v>
      </c>
      <c r="H50" s="199">
        <f>H13*G50</f>
        <v>156.24162936000008</v>
      </c>
      <c r="I50" s="24"/>
      <c r="J50" s="198">
        <f>$E50</f>
        <v>5.1336000000000021E-2</v>
      </c>
      <c r="K50" s="199">
        <f>K13*J50</f>
        <v>107.45035488000003</v>
      </c>
      <c r="L50" s="4"/>
      <c r="M50" s="198">
        <f>$E50</f>
        <v>5.1336000000000021E-2</v>
      </c>
      <c r="N50" s="199">
        <f>N13*M50</f>
        <v>90.455572080000039</v>
      </c>
    </row>
    <row r="51" spans="1:14" ht="13" x14ac:dyDescent="0.3">
      <c r="A51" s="24"/>
      <c r="B51" s="363" t="s">
        <v>292</v>
      </c>
      <c r="C51" s="302"/>
      <c r="D51" s="24"/>
      <c r="E51" s="211">
        <f>SUM(E50)</f>
        <v>5.1336000000000021E-2</v>
      </c>
      <c r="F51" s="24"/>
      <c r="G51" s="201">
        <f t="shared" ref="G51:H51" si="26">SUM(G50)</f>
        <v>5.1336000000000021E-2</v>
      </c>
      <c r="H51" s="202">
        <f t="shared" si="26"/>
        <v>156.24162936000008</v>
      </c>
      <c r="I51" s="24"/>
      <c r="J51" s="201">
        <f t="shared" ref="J51:K51" si="27">SUM(J50)</f>
        <v>5.1336000000000021E-2</v>
      </c>
      <c r="K51" s="202">
        <f t="shared" si="27"/>
        <v>107.45035488000003</v>
      </c>
      <c r="L51" s="4"/>
      <c r="M51" s="201">
        <f t="shared" ref="M51:N51" si="28">SUM(M50)</f>
        <v>5.1336000000000021E-2</v>
      </c>
      <c r="N51" s="202">
        <f t="shared" si="28"/>
        <v>90.455572080000039</v>
      </c>
    </row>
    <row r="52" spans="1:14" ht="1.5" customHeight="1" x14ac:dyDescent="0.3">
      <c r="A52" s="183"/>
      <c r="B52" s="183"/>
      <c r="C52" s="183"/>
      <c r="D52" s="183"/>
      <c r="E52" s="212"/>
      <c r="F52" s="183"/>
      <c r="G52" s="213"/>
      <c r="H52" s="213"/>
      <c r="I52" s="183"/>
      <c r="J52" s="183"/>
      <c r="K52" s="183"/>
      <c r="L52" s="4"/>
      <c r="M52" s="183"/>
      <c r="N52" s="183"/>
    </row>
    <row r="53" spans="1:14" ht="13" x14ac:dyDescent="0.3">
      <c r="A53" s="24"/>
      <c r="B53" s="365" t="s">
        <v>293</v>
      </c>
      <c r="C53" s="299"/>
      <c r="D53" s="24"/>
      <c r="E53" s="214">
        <f>ROUND(E48+E43+E34+E26+E51+E38,5)</f>
        <v>0.59594000000000003</v>
      </c>
      <c r="F53" s="215"/>
      <c r="G53" s="214">
        <f>ROUND(G48+G43+G34+G26+G51+G38,5)</f>
        <v>0.59594000000000003</v>
      </c>
      <c r="H53" s="192">
        <f>H26+H34+H43+H48+H51+H38</f>
        <v>1813.7371753600005</v>
      </c>
      <c r="I53" s="215"/>
      <c r="J53" s="214">
        <f>ROUND(J48+J43+J34+J26+J51+J38,5)</f>
        <v>0.59594000000000003</v>
      </c>
      <c r="K53" s="192">
        <f>K26+K34+K43+K48+K51+K38</f>
        <v>1247.3417228800001</v>
      </c>
      <c r="L53" s="4"/>
      <c r="M53" s="214">
        <f>ROUND(M48+M43+M34+M26+M51+M38,5)</f>
        <v>0.59594000000000003</v>
      </c>
      <c r="N53" s="192">
        <f>N26+N34+N43+N48+N51+N38</f>
        <v>1050.05711008</v>
      </c>
    </row>
    <row r="54" spans="1:14" ht="13" x14ac:dyDescent="0.3">
      <c r="A54" s="24"/>
      <c r="B54" s="365" t="s">
        <v>294</v>
      </c>
      <c r="C54" s="299"/>
      <c r="D54" s="24"/>
      <c r="E54" s="216"/>
      <c r="F54" s="215"/>
      <c r="G54" s="364">
        <f>H53+H13</f>
        <v>4857.2471753600003</v>
      </c>
      <c r="H54" s="299"/>
      <c r="I54" s="215"/>
      <c r="J54" s="364">
        <f>K53+K13</f>
        <v>3340.4217228799998</v>
      </c>
      <c r="K54" s="299"/>
      <c r="L54" s="4"/>
      <c r="M54" s="364">
        <f>N53+N13</f>
        <v>2812.08711008</v>
      </c>
      <c r="N54" s="299"/>
    </row>
    <row r="55" spans="1:14" ht="1.5" customHeight="1" x14ac:dyDescent="0.3">
      <c r="A55" s="183"/>
      <c r="B55" s="213"/>
      <c r="C55" s="213"/>
      <c r="D55" s="183"/>
      <c r="E55" s="217"/>
      <c r="F55" s="217"/>
      <c r="G55" s="218"/>
      <c r="H55" s="217"/>
      <c r="I55" s="217"/>
      <c r="J55" s="217"/>
      <c r="K55" s="217"/>
      <c r="L55" s="4"/>
      <c r="M55" s="217"/>
      <c r="N55" s="217"/>
    </row>
    <row r="56" spans="1:14" ht="13" x14ac:dyDescent="0.3">
      <c r="A56" s="24"/>
      <c r="B56" s="365" t="s">
        <v>295</v>
      </c>
      <c r="C56" s="299"/>
      <c r="D56" s="24"/>
      <c r="E56" s="219"/>
      <c r="F56" s="215"/>
      <c r="G56" s="220"/>
      <c r="H56" s="219"/>
      <c r="I56" s="215"/>
      <c r="J56" s="219"/>
      <c r="K56" s="219"/>
      <c r="L56" s="4"/>
      <c r="M56" s="219"/>
      <c r="N56" s="219"/>
    </row>
    <row r="57" spans="1:14" ht="13" x14ac:dyDescent="0.3">
      <c r="A57" s="24"/>
      <c r="B57" s="203" t="s">
        <v>296</v>
      </c>
      <c r="C57" s="204"/>
      <c r="D57" s="24"/>
      <c r="E57" s="221"/>
      <c r="F57" s="24"/>
      <c r="G57" s="221"/>
      <c r="H57" s="195"/>
      <c r="I57" s="24"/>
      <c r="J57" s="221"/>
      <c r="K57" s="195"/>
      <c r="L57" s="4"/>
      <c r="M57" s="221"/>
      <c r="N57" s="195"/>
    </row>
    <row r="58" spans="1:14" ht="13" x14ac:dyDescent="0.3">
      <c r="A58" s="24"/>
      <c r="B58" s="91" t="s">
        <v>297</v>
      </c>
      <c r="C58" s="197"/>
      <c r="D58" s="24"/>
      <c r="E58" s="221"/>
      <c r="F58" s="24"/>
      <c r="G58" s="221"/>
      <c r="H58" s="98">
        <f>'Dados de Entrada'!J26</f>
        <v>0</v>
      </c>
      <c r="I58" s="24"/>
      <c r="J58" s="221"/>
      <c r="K58" s="98">
        <f>'Dados de Entrada'!J23</f>
        <v>0</v>
      </c>
      <c r="L58" s="4"/>
      <c r="M58" s="221"/>
      <c r="N58" s="98"/>
    </row>
    <row r="59" spans="1:14" ht="13" x14ac:dyDescent="0.3">
      <c r="A59" s="24"/>
      <c r="B59" s="91" t="s">
        <v>298</v>
      </c>
      <c r="C59" s="197"/>
      <c r="D59" s="24"/>
      <c r="E59" s="221"/>
      <c r="F59" s="24"/>
      <c r="G59" s="221"/>
      <c r="H59" s="199"/>
      <c r="I59" s="24"/>
      <c r="J59" s="221"/>
      <c r="K59" s="199"/>
      <c r="L59" s="4"/>
      <c r="M59" s="221"/>
      <c r="N59" s="199"/>
    </row>
    <row r="60" spans="1:14" ht="13" x14ac:dyDescent="0.3">
      <c r="A60" s="24"/>
      <c r="B60" s="200" t="s">
        <v>299</v>
      </c>
      <c r="C60" s="222"/>
      <c r="D60" s="24"/>
      <c r="E60" s="223"/>
      <c r="F60" s="24"/>
      <c r="G60" s="223"/>
      <c r="H60" s="202">
        <f>SUM(H58:H59)</f>
        <v>0</v>
      </c>
      <c r="I60" s="24"/>
      <c r="J60" s="223"/>
      <c r="K60" s="202">
        <f>SUM(K58:K59)</f>
        <v>0</v>
      </c>
      <c r="L60" s="4"/>
      <c r="M60" s="223"/>
      <c r="N60" s="202">
        <f>SUM(N58:N59)</f>
        <v>0</v>
      </c>
    </row>
    <row r="61" spans="1:14" ht="13" x14ac:dyDescent="0.3">
      <c r="A61" s="24"/>
      <c r="B61" s="365" t="s">
        <v>300</v>
      </c>
      <c r="C61" s="299"/>
      <c r="D61" s="24"/>
      <c r="E61" s="186"/>
      <c r="F61" s="24"/>
      <c r="G61" s="186"/>
      <c r="H61" s="192">
        <f>H60</f>
        <v>0</v>
      </c>
      <c r="I61" s="24"/>
      <c r="J61" s="186"/>
      <c r="K61" s="192">
        <f>K60</f>
        <v>0</v>
      </c>
      <c r="L61" s="4"/>
      <c r="M61" s="186"/>
      <c r="N61" s="192">
        <f>N60</f>
        <v>0</v>
      </c>
    </row>
    <row r="62" spans="1:14" ht="1.5" customHeight="1" x14ac:dyDescent="0.3">
      <c r="A62" s="183"/>
      <c r="B62" s="213"/>
      <c r="C62" s="213"/>
      <c r="D62" s="183"/>
      <c r="E62" s="183"/>
      <c r="F62" s="183"/>
      <c r="G62" s="183"/>
      <c r="H62" s="183"/>
      <c r="I62" s="183"/>
      <c r="J62" s="183"/>
      <c r="K62" s="183"/>
      <c r="L62" s="4"/>
      <c r="M62" s="183"/>
      <c r="N62" s="183"/>
    </row>
    <row r="63" spans="1:14" ht="13" x14ac:dyDescent="0.3">
      <c r="A63" s="24"/>
      <c r="B63" s="365" t="s">
        <v>301</v>
      </c>
      <c r="C63" s="299"/>
      <c r="D63" s="24"/>
      <c r="E63" s="186"/>
      <c r="F63" s="24"/>
      <c r="G63" s="186"/>
      <c r="H63" s="186"/>
      <c r="I63" s="24"/>
      <c r="J63" s="186"/>
      <c r="K63" s="186"/>
      <c r="L63" s="4"/>
      <c r="M63" s="186"/>
      <c r="N63" s="186"/>
    </row>
    <row r="64" spans="1:14" ht="14" x14ac:dyDescent="0.3">
      <c r="A64" s="24"/>
      <c r="B64" s="368" t="s">
        <v>302</v>
      </c>
      <c r="C64" s="299"/>
      <c r="D64" s="24"/>
      <c r="E64" s="224"/>
      <c r="F64" s="24"/>
      <c r="G64" s="366">
        <f>G54+H61</f>
        <v>4857.2471753600003</v>
      </c>
      <c r="H64" s="299"/>
      <c r="I64" s="24"/>
      <c r="J64" s="366">
        <f>J54+K61</f>
        <v>3340.4217228799998</v>
      </c>
      <c r="K64" s="299"/>
      <c r="L64" s="4"/>
      <c r="M64" s="366">
        <f>M54+N61</f>
        <v>2812.08711008</v>
      </c>
      <c r="N64" s="299"/>
    </row>
  </sheetData>
  <mergeCells count="37">
    <mergeCell ref="M64:N64"/>
    <mergeCell ref="B43:C43"/>
    <mergeCell ref="B48:C48"/>
    <mergeCell ref="B49:C49"/>
    <mergeCell ref="B51:C51"/>
    <mergeCell ref="B53:C53"/>
    <mergeCell ref="B54:C54"/>
    <mergeCell ref="G54:H54"/>
    <mergeCell ref="B61:C61"/>
    <mergeCell ref="B63:C63"/>
    <mergeCell ref="B64:C64"/>
    <mergeCell ref="G64:H64"/>
    <mergeCell ref="J64:K64"/>
    <mergeCell ref="B34:C34"/>
    <mergeCell ref="B38:C38"/>
    <mergeCell ref="J54:K54"/>
    <mergeCell ref="M54:N54"/>
    <mergeCell ref="B56:C56"/>
    <mergeCell ref="B8:C9"/>
    <mergeCell ref="B15:C15"/>
    <mergeCell ref="B16:C16"/>
    <mergeCell ref="B17:C17"/>
    <mergeCell ref="B26:C26"/>
    <mergeCell ref="G6:H6"/>
    <mergeCell ref="G8:H8"/>
    <mergeCell ref="J8:K8"/>
    <mergeCell ref="M8:N8"/>
    <mergeCell ref="G10:H10"/>
    <mergeCell ref="J10:K10"/>
    <mergeCell ref="M10:N10"/>
    <mergeCell ref="B1:N1"/>
    <mergeCell ref="G3:H3"/>
    <mergeCell ref="J3:K3"/>
    <mergeCell ref="G4:H4"/>
    <mergeCell ref="G5:H5"/>
    <mergeCell ref="J5:K5"/>
    <mergeCell ref="M5:N5"/>
  </mergeCells>
  <pageMargins left="0.511811024" right="0.511811024" top="0.78740157499999996" bottom="0.78740157499999996" header="0.31496062000000002" footer="0.31496062000000002"/>
  <pageSetup paperSize="9" scale="86" fitToHeight="6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666666"/>
    <outlinePr summaryBelow="0" summaryRight="0"/>
    <pageSetUpPr fitToPage="1"/>
  </sheetPr>
  <dimension ref="A1:B18"/>
  <sheetViews>
    <sheetView zoomScaleNormal="100" workbookViewId="0">
      <selection activeCell="B11" sqref="B11"/>
    </sheetView>
  </sheetViews>
  <sheetFormatPr defaultColWidth="12.6328125" defaultRowHeight="15.75" customHeight="1" x14ac:dyDescent="0.25"/>
  <cols>
    <col min="1" max="1" width="28.453125" customWidth="1"/>
    <col min="2" max="2" width="22.36328125" customWidth="1"/>
  </cols>
  <sheetData>
    <row r="1" spans="1:2" ht="25" x14ac:dyDescent="0.5">
      <c r="A1" s="369" t="s">
        <v>303</v>
      </c>
      <c r="B1" s="305"/>
    </row>
    <row r="2" spans="1:2" ht="13" x14ac:dyDescent="0.3">
      <c r="A2" s="370" t="s">
        <v>304</v>
      </c>
      <c r="B2" s="321"/>
    </row>
    <row r="3" spans="1:2" ht="1.5" customHeight="1" x14ac:dyDescent="0.3">
      <c r="A3" s="116"/>
      <c r="B3" s="197"/>
    </row>
    <row r="4" spans="1:2" ht="12.5" x14ac:dyDescent="0.25">
      <c r="A4" s="225" t="s">
        <v>305</v>
      </c>
      <c r="B4" s="226" t="s">
        <v>306</v>
      </c>
    </row>
    <row r="5" spans="1:2" ht="15" x14ac:dyDescent="0.25">
      <c r="A5" s="227" t="s">
        <v>307</v>
      </c>
      <c r="B5" s="228">
        <f>B18</f>
        <v>0.21757290640394089</v>
      </c>
    </row>
    <row r="6" spans="1:2" ht="1.5" customHeight="1" x14ac:dyDescent="0.3">
      <c r="A6" s="116"/>
      <c r="B6" s="229"/>
    </row>
    <row r="7" spans="1:2" ht="14" x14ac:dyDescent="0.3">
      <c r="A7" s="230" t="s">
        <v>308</v>
      </c>
      <c r="B7" s="230" t="s">
        <v>309</v>
      </c>
    </row>
    <row r="8" spans="1:2" ht="1.5" customHeight="1" x14ac:dyDescent="0.3">
      <c r="A8" s="116"/>
      <c r="B8" s="197"/>
    </row>
    <row r="9" spans="1:2" ht="14" x14ac:dyDescent="0.3">
      <c r="A9" s="231" t="s">
        <v>310</v>
      </c>
      <c r="B9" s="232">
        <f>0.038+0.0049</f>
        <v>4.2900000000000001E-2</v>
      </c>
    </row>
    <row r="10" spans="1:2" ht="14" x14ac:dyDescent="0.3">
      <c r="A10" s="231" t="s">
        <v>311</v>
      </c>
      <c r="B10" s="232">
        <v>6.6500000000000004E-2</v>
      </c>
    </row>
    <row r="11" spans="1:2" ht="14" x14ac:dyDescent="0.3">
      <c r="A11" s="231" t="s">
        <v>312</v>
      </c>
      <c r="B11" s="232">
        <f>SUM(B12:B17)</f>
        <v>8.6499999999999994E-2</v>
      </c>
    </row>
    <row r="12" spans="1:2" ht="1.5" customHeight="1" x14ac:dyDescent="0.3">
      <c r="A12" s="116"/>
      <c r="B12" s="233"/>
    </row>
    <row r="13" spans="1:2" ht="13" x14ac:dyDescent="0.3">
      <c r="A13" s="116" t="s">
        <v>313</v>
      </c>
      <c r="B13" s="234">
        <v>0</v>
      </c>
    </row>
    <row r="14" spans="1:2" ht="13" x14ac:dyDescent="0.25">
      <c r="A14" s="235" t="s">
        <v>314</v>
      </c>
      <c r="B14" s="236">
        <f>'Dados de Entrada'!E6</f>
        <v>0.05</v>
      </c>
    </row>
    <row r="15" spans="1:2" ht="13" x14ac:dyDescent="0.25">
      <c r="A15" s="235" t="s">
        <v>315</v>
      </c>
      <c r="B15" s="237">
        <v>6.4999999999999997E-3</v>
      </c>
    </row>
    <row r="16" spans="1:2" ht="13" x14ac:dyDescent="0.25">
      <c r="A16" s="238" t="s">
        <v>316</v>
      </c>
      <c r="B16" s="239">
        <v>0.03</v>
      </c>
    </row>
    <row r="17" spans="1:2" ht="1.5" customHeight="1" x14ac:dyDescent="0.3">
      <c r="A17" s="116"/>
      <c r="B17" s="233"/>
    </row>
    <row r="18" spans="1:2" ht="14" x14ac:dyDescent="0.3">
      <c r="A18" s="240" t="s">
        <v>317</v>
      </c>
      <c r="B18" s="241">
        <f>((1+B9)*(1+B10))/(1-B11)-1</f>
        <v>0.21757290640394089</v>
      </c>
    </row>
  </sheetData>
  <mergeCells count="2">
    <mergeCell ref="A1:B1"/>
    <mergeCell ref="A2:B2"/>
  </mergeCells>
  <pageMargins left="0.511811024" right="0.511811024" top="0.78740157499999996" bottom="0.78740157499999996" header="0.31496062000000002" footer="0.31496062000000002"/>
  <pageSetup paperSize="9" fitToHeight="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Dados de Entrada</vt:lpstr>
      <vt:lpstr>Rotas</vt:lpstr>
      <vt:lpstr>Lotes</vt:lpstr>
      <vt:lpstr>Micro-Ônibus</vt:lpstr>
      <vt:lpstr>Ônibus</vt:lpstr>
      <vt:lpstr>Van</vt:lpstr>
      <vt:lpstr>Depreciação e Infração</vt:lpstr>
      <vt:lpstr>Manutenção</vt:lpstr>
      <vt:lpstr>Encargos Sociais</vt:lpstr>
      <vt:lpstr>BDI</vt:lpstr>
      <vt:lpstr>Lotes!Area_de_impressao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Fábio</dc:creator>
  <cp:lastModifiedBy>Eduardo Silva</cp:lastModifiedBy>
  <cp:lastPrinted>2026-04-28T16:22:33Z</cp:lastPrinted>
  <dcterms:modified xsi:type="dcterms:W3CDTF">2026-08-07T14:42:19Z</dcterms:modified>
</cp:coreProperties>
</file>