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asta Compartilhada\2023\2025\Termo de Referência\PMC\QUADRA - SITIO BASTIÕES\ORÇAMENTO\"/>
    </mc:Choice>
  </mc:AlternateContent>
  <xr:revisionPtr revIDLastSave="0" documentId="13_ncr:1_{60053A08-49CB-48CB-960C-68384AE8345E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RESUMO" sheetId="9" r:id="rId1"/>
    <sheet name="Orçamento Sintético" sheetId="1" r:id="rId2"/>
    <sheet name="MC" sheetId="3" r:id="rId3"/>
    <sheet name="CFF " sheetId="10" r:id="rId4"/>
    <sheet name="BDI 01" sheetId="5" r:id="rId5"/>
    <sheet name="BDI 02" sheetId="6" r:id="rId6"/>
    <sheet name="COMPOSIÇÕES" sheetId="7" r:id="rId7"/>
    <sheet name="COTAÇÃO" sheetId="8" r:id="rId8"/>
  </sheets>
  <externalReferences>
    <externalReference r:id="rId9"/>
    <externalReference r:id="rId10"/>
  </externalReferences>
  <definedNames>
    <definedName name="_xlnm.Print_Area" localSheetId="3">'CFF '!$A$1:$L$48</definedName>
    <definedName name="_xlnm.Print_Area" localSheetId="6">COMPOSIÇÕES!$A$1:$H$210</definedName>
    <definedName name="_xlnm.Print_Area" localSheetId="7">COTAÇÃO!$A$1:$D$41</definedName>
    <definedName name="_xlnm.Print_Area" localSheetId="2">MC!$A$1:$I$1856</definedName>
    <definedName name="_xlnm.Print_Area" localSheetId="1">'Orçamento Sintético'!$A$1:$I$390</definedName>
    <definedName name="_xlnm.Print_Area" localSheetId="0">RESUMO!$A$1:$I$51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7" l="1"/>
  <c r="G373" i="1"/>
  <c r="G377" i="1"/>
  <c r="G376" i="1"/>
  <c r="G375" i="1"/>
  <c r="H803" i="3"/>
  <c r="B6" i="6"/>
  <c r="H1303" i="3"/>
  <c r="H1310" i="3"/>
  <c r="H1316" i="3"/>
  <c r="H1325" i="3"/>
  <c r="H1365" i="3"/>
  <c r="H1372" i="3"/>
  <c r="H1379" i="3"/>
  <c r="H1393" i="3"/>
  <c r="H1412" i="3"/>
  <c r="H1421" i="3"/>
  <c r="H1430" i="3"/>
  <c r="H1439" i="3"/>
  <c r="B41" i="10"/>
  <c r="A41" i="10"/>
  <c r="L42" i="10"/>
  <c r="B39" i="10"/>
  <c r="A39" i="10"/>
  <c r="L40" i="10"/>
  <c r="E1599" i="3"/>
  <c r="E1606" i="3"/>
  <c r="F1607" i="3"/>
  <c r="H1607" i="3" s="1"/>
  <c r="F1606" i="3"/>
  <c r="G1600" i="3"/>
  <c r="F1600" i="3"/>
  <c r="H1600" i="3" s="1"/>
  <c r="G1282" i="3"/>
  <c r="G1070" i="3"/>
  <c r="C1102" i="3"/>
  <c r="D50" i="9"/>
  <c r="A50" i="9"/>
  <c r="D49" i="9"/>
  <c r="A49" i="9"/>
  <c r="D48" i="9"/>
  <c r="A48" i="9"/>
  <c r="D47" i="9"/>
  <c r="A47" i="9"/>
  <c r="D46" i="9"/>
  <c r="A46" i="9"/>
  <c r="H1606" i="3" l="1"/>
  <c r="B1788" i="3"/>
  <c r="A1788" i="3"/>
  <c r="B1783" i="3"/>
  <c r="A1783" i="3"/>
  <c r="B1778" i="3"/>
  <c r="A1778" i="3"/>
  <c r="B1777" i="3"/>
  <c r="A1777" i="3"/>
  <c r="B1771" i="3"/>
  <c r="A1771" i="3"/>
  <c r="B1765" i="3"/>
  <c r="A1765" i="3"/>
  <c r="B1760" i="3"/>
  <c r="A1760" i="3"/>
  <c r="B1753" i="3"/>
  <c r="A1753" i="3"/>
  <c r="B1752" i="3"/>
  <c r="A1752" i="3"/>
  <c r="B1747" i="3"/>
  <c r="A1747" i="3"/>
  <c r="B1746" i="3"/>
  <c r="A1746" i="3"/>
  <c r="B1741" i="3"/>
  <c r="A1741" i="3"/>
  <c r="B1734" i="3"/>
  <c r="A1734" i="3"/>
  <c r="B1733" i="3"/>
  <c r="A1733" i="3"/>
  <c r="B1726" i="3"/>
  <c r="A1726" i="3"/>
  <c r="B1725" i="3"/>
  <c r="A1725" i="3"/>
  <c r="B1719" i="3"/>
  <c r="A1719" i="3"/>
  <c r="B1718" i="3"/>
  <c r="A1718" i="3"/>
  <c r="B1712" i="3"/>
  <c r="A1712" i="3"/>
  <c r="B1707" i="3"/>
  <c r="A1707" i="3"/>
  <c r="B1702" i="3"/>
  <c r="A1702" i="3"/>
  <c r="B1697" i="3"/>
  <c r="A1697" i="3"/>
  <c r="B1692" i="3"/>
  <c r="A1692" i="3"/>
  <c r="B1691" i="3"/>
  <c r="A1691" i="3"/>
  <c r="B1685" i="3"/>
  <c r="A1685" i="3"/>
  <c r="B1679" i="3"/>
  <c r="A1679" i="3"/>
  <c r="B1673" i="3"/>
  <c r="A1673" i="3"/>
  <c r="B1667" i="3"/>
  <c r="A1667" i="3"/>
  <c r="B1661" i="3"/>
  <c r="A1661" i="3"/>
  <c r="B1660" i="3"/>
  <c r="A1660" i="3"/>
  <c r="B1651" i="3"/>
  <c r="A1651" i="3"/>
  <c r="B1645" i="3"/>
  <c r="A1645" i="3"/>
  <c r="B1640" i="3"/>
  <c r="A1640" i="3"/>
  <c r="B1635" i="3"/>
  <c r="A1635" i="3"/>
  <c r="B1630" i="3"/>
  <c r="A1630" i="3"/>
  <c r="B1625" i="3"/>
  <c r="A1625" i="3"/>
  <c r="B1620" i="3"/>
  <c r="A1620" i="3"/>
  <c r="B1615" i="3"/>
  <c r="A1615" i="3"/>
  <c r="B1610" i="3"/>
  <c r="A1610" i="3"/>
  <c r="B1603" i="3"/>
  <c r="A1603" i="3"/>
  <c r="B1596" i="3"/>
  <c r="A1596" i="3"/>
  <c r="B1595" i="3"/>
  <c r="A1595" i="3"/>
  <c r="B1586" i="3"/>
  <c r="A1586" i="3"/>
  <c r="B1578" i="3"/>
  <c r="A1578" i="3"/>
  <c r="B1573" i="3"/>
  <c r="A1573" i="3"/>
  <c r="B1568" i="3"/>
  <c r="A1568" i="3"/>
  <c r="B1563" i="3"/>
  <c r="A1563" i="3"/>
  <c r="B1558" i="3"/>
  <c r="A1558" i="3"/>
  <c r="B1553" i="3"/>
  <c r="A1553" i="3"/>
  <c r="B1545" i="3"/>
  <c r="A1545" i="3"/>
  <c r="B1537" i="3"/>
  <c r="A1537" i="3"/>
  <c r="B1536" i="3"/>
  <c r="A1536" i="3"/>
  <c r="B1535" i="3"/>
  <c r="A1535" i="3"/>
  <c r="B1530" i="3"/>
  <c r="A1530" i="3"/>
  <c r="B1525" i="3"/>
  <c r="A1525" i="3"/>
  <c r="B1511" i="3"/>
  <c r="A1511" i="3"/>
  <c r="B1510" i="3"/>
  <c r="A1510" i="3"/>
  <c r="B1505" i="3"/>
  <c r="A1505" i="3"/>
  <c r="B1489" i="3"/>
  <c r="A1489" i="3"/>
  <c r="B1488" i="3"/>
  <c r="A1488" i="3"/>
  <c r="B1475" i="3"/>
  <c r="A1475" i="3"/>
  <c r="B1465" i="3"/>
  <c r="A1465" i="3"/>
  <c r="B1464" i="3"/>
  <c r="A1464" i="3"/>
  <c r="B1458" i="3"/>
  <c r="A1458" i="3"/>
  <c r="B1453" i="3"/>
  <c r="A1453" i="3"/>
  <c r="B1448" i="3"/>
  <c r="A1448" i="3"/>
  <c r="B1443" i="3"/>
  <c r="A1443" i="3"/>
  <c r="B1442" i="3"/>
  <c r="A1442" i="3"/>
  <c r="B1433" i="3"/>
  <c r="A1433" i="3"/>
  <c r="B1424" i="3"/>
  <c r="A1424" i="3"/>
  <c r="B1415" i="3"/>
  <c r="A1415" i="3"/>
  <c r="B1406" i="3"/>
  <c r="A1406" i="3"/>
  <c r="B1405" i="3"/>
  <c r="A1405" i="3"/>
  <c r="B1396" i="3"/>
  <c r="A1396" i="3"/>
  <c r="B1387" i="3"/>
  <c r="A1387" i="3"/>
  <c r="B1382" i="3"/>
  <c r="A1382" i="3"/>
  <c r="B1375" i="3"/>
  <c r="A1375" i="3"/>
  <c r="B1368" i="3"/>
  <c r="A1368" i="3"/>
  <c r="B1361" i="3"/>
  <c r="A1361" i="3"/>
  <c r="B1356" i="3"/>
  <c r="A1356" i="3"/>
  <c r="B1347" i="3"/>
  <c r="A1347" i="3"/>
  <c r="B1338" i="3"/>
  <c r="A1338" i="3"/>
  <c r="B1337" i="3"/>
  <c r="A1337" i="3"/>
  <c r="B1328" i="3"/>
  <c r="A1328" i="3"/>
  <c r="B1319" i="3"/>
  <c r="A1319" i="3"/>
  <c r="B1313" i="3"/>
  <c r="A1313" i="3"/>
  <c r="B1306" i="3"/>
  <c r="A1306" i="3"/>
  <c r="B1299" i="3"/>
  <c r="A1299" i="3"/>
  <c r="B1294" i="3"/>
  <c r="A1294" i="3"/>
  <c r="B1285" i="3"/>
  <c r="A1285" i="3"/>
  <c r="B1276" i="3"/>
  <c r="A1276" i="3"/>
  <c r="B1275" i="3"/>
  <c r="A1275" i="3"/>
  <c r="B1274" i="3"/>
  <c r="A1274" i="3"/>
  <c r="H1791" i="3"/>
  <c r="E1790" i="3"/>
  <c r="H1790" i="3" s="1"/>
  <c r="H1792" i="3" s="1"/>
  <c r="F373" i="1" s="1"/>
  <c r="H1786" i="3"/>
  <c r="E1785" i="3"/>
  <c r="H1785" i="3" s="1"/>
  <c r="H1787" i="3" s="1"/>
  <c r="F372" i="1" s="1"/>
  <c r="H1781" i="3"/>
  <c r="H1780" i="3"/>
  <c r="H1782" i="3" s="1"/>
  <c r="F371" i="1" s="1"/>
  <c r="H1775" i="3"/>
  <c r="H1769" i="3"/>
  <c r="D1768" i="3"/>
  <c r="H1768" i="3" s="1"/>
  <c r="H1763" i="3"/>
  <c r="E1757" i="3"/>
  <c r="H1757" i="3" s="1"/>
  <c r="E1756" i="3"/>
  <c r="H1756" i="3" s="1"/>
  <c r="H1750" i="3"/>
  <c r="H1749" i="3"/>
  <c r="H1751" i="3" s="1"/>
  <c r="F364" i="1" s="1"/>
  <c r="H1744" i="3"/>
  <c r="H1739" i="3"/>
  <c r="E1738" i="3"/>
  <c r="H1738" i="3" s="1"/>
  <c r="E1737" i="3"/>
  <c r="H1737" i="3" s="1"/>
  <c r="H1731" i="3"/>
  <c r="E1730" i="3"/>
  <c r="H1730" i="3" s="1"/>
  <c r="E1729" i="3"/>
  <c r="H1729" i="3" s="1"/>
  <c r="H1723" i="3"/>
  <c r="H1722" i="3"/>
  <c r="H1715" i="3"/>
  <c r="H1710" i="3"/>
  <c r="H1709" i="3"/>
  <c r="H1711" i="3" s="1"/>
  <c r="F354" i="1" s="1"/>
  <c r="H1705" i="3"/>
  <c r="H1704" i="3"/>
  <c r="H1700" i="3"/>
  <c r="H1699" i="3"/>
  <c r="H1694" i="3"/>
  <c r="H1689" i="3"/>
  <c r="H1688" i="3"/>
  <c r="H1683" i="3"/>
  <c r="H1682" i="3"/>
  <c r="H1684" i="3" s="1"/>
  <c r="F348" i="1" s="1"/>
  <c r="H1677" i="3"/>
  <c r="H1676" i="3"/>
  <c r="H1671" i="3"/>
  <c r="H1670" i="3"/>
  <c r="H1665" i="3"/>
  <c r="H1664" i="3"/>
  <c r="H1658" i="3"/>
  <c r="H1648" i="3"/>
  <c r="H1643" i="3"/>
  <c r="H1642" i="3"/>
  <c r="H1644" i="3" s="1"/>
  <c r="F341" i="1" s="1"/>
  <c r="H1638" i="3"/>
  <c r="H1637" i="3"/>
  <c r="H1639" i="3" s="1"/>
  <c r="F340" i="1" s="1"/>
  <c r="H1633" i="3"/>
  <c r="H1632" i="3"/>
  <c r="H1627" i="3"/>
  <c r="H1623" i="3"/>
  <c r="H1622" i="3"/>
  <c r="H1617" i="3"/>
  <c r="H1613" i="3"/>
  <c r="H1608" i="3"/>
  <c r="H1601" i="3"/>
  <c r="G1599" i="3"/>
  <c r="F1599" i="3"/>
  <c r="H1593" i="3"/>
  <c r="H1592" i="3"/>
  <c r="H1591" i="3"/>
  <c r="H1584" i="3"/>
  <c r="G1583" i="3"/>
  <c r="H1583" i="3" s="1"/>
  <c r="G1582" i="3"/>
  <c r="H1582" i="3" s="1"/>
  <c r="G1581" i="3"/>
  <c r="H1581" i="3" s="1"/>
  <c r="H1575" i="3"/>
  <c r="H1571" i="3"/>
  <c r="H1570" i="3"/>
  <c r="H1572" i="3" s="1"/>
  <c r="F328" i="1" s="1"/>
  <c r="H1565" i="3"/>
  <c r="H1560" i="3"/>
  <c r="H1556" i="3"/>
  <c r="H1551" i="3"/>
  <c r="F1550" i="3"/>
  <c r="E1550" i="3"/>
  <c r="F1549" i="3"/>
  <c r="E1549" i="3"/>
  <c r="F1548" i="3"/>
  <c r="E1548" i="3"/>
  <c r="H1543" i="3"/>
  <c r="G1542" i="3"/>
  <c r="F1542" i="3"/>
  <c r="E1542" i="3"/>
  <c r="G1541" i="3"/>
  <c r="F1541" i="3"/>
  <c r="E1541" i="3"/>
  <c r="G1540" i="3"/>
  <c r="F1540" i="3"/>
  <c r="E1540" i="3"/>
  <c r="H1533" i="3"/>
  <c r="H1528" i="3"/>
  <c r="H1523" i="3"/>
  <c r="E1522" i="3"/>
  <c r="H1522" i="3" s="1"/>
  <c r="H1519" i="3"/>
  <c r="D1518" i="3"/>
  <c r="H1518" i="3" s="1"/>
  <c r="H1517" i="3"/>
  <c r="D1516" i="3"/>
  <c r="H1516" i="3" s="1"/>
  <c r="H1515" i="3"/>
  <c r="D1514" i="3"/>
  <c r="H1514" i="3" s="1"/>
  <c r="H1508" i="3"/>
  <c r="H1503" i="3"/>
  <c r="E1502" i="3"/>
  <c r="H1502" i="3" s="1"/>
  <c r="H1499" i="3"/>
  <c r="D1498" i="3"/>
  <c r="H1498" i="3" s="1"/>
  <c r="H1497" i="3"/>
  <c r="D1496" i="3"/>
  <c r="H1496" i="3" s="1"/>
  <c r="H1495" i="3"/>
  <c r="D1494" i="3"/>
  <c r="H1494" i="3" s="1"/>
  <c r="H1486" i="3"/>
  <c r="H1482" i="3"/>
  <c r="H1481" i="3"/>
  <c r="H1480" i="3"/>
  <c r="H1473" i="3"/>
  <c r="H1472" i="3"/>
  <c r="H1471" i="3"/>
  <c r="H1470" i="3"/>
  <c r="H1468" i="3"/>
  <c r="H1462" i="3"/>
  <c r="D1461" i="3"/>
  <c r="H1461" i="3" s="1"/>
  <c r="H1456" i="3"/>
  <c r="H1455" i="3"/>
  <c r="H1451" i="3"/>
  <c r="H1450" i="3"/>
  <c r="H1446" i="3"/>
  <c r="D1445" i="3"/>
  <c r="H1445" i="3" s="1"/>
  <c r="H1440" i="3"/>
  <c r="H1436" i="3"/>
  <c r="H1431" i="3"/>
  <c r="H1427" i="3"/>
  <c r="H1422" i="3"/>
  <c r="H1418" i="3"/>
  <c r="H1413" i="3"/>
  <c r="H1409" i="3"/>
  <c r="H1403" i="3"/>
  <c r="H1390" i="3"/>
  <c r="H1385" i="3"/>
  <c r="H1384" i="3"/>
  <c r="H1380" i="3"/>
  <c r="H1377" i="3"/>
  <c r="H1373" i="3"/>
  <c r="H1370" i="3"/>
  <c r="H1366" i="3"/>
  <c r="H1363" i="3"/>
  <c r="H1359" i="3"/>
  <c r="H1354" i="3"/>
  <c r="F1353" i="3"/>
  <c r="E1353" i="3"/>
  <c r="F1350" i="3"/>
  <c r="E1350" i="3"/>
  <c r="H1345" i="3"/>
  <c r="G1344" i="3"/>
  <c r="F1344" i="3"/>
  <c r="E1344" i="3"/>
  <c r="H1344" i="3" s="1"/>
  <c r="G1341" i="3"/>
  <c r="F1341" i="3"/>
  <c r="E1341" i="3"/>
  <c r="H1335" i="3"/>
  <c r="H1334" i="3"/>
  <c r="H1333" i="3"/>
  <c r="H1326" i="3"/>
  <c r="H1322" i="3"/>
  <c r="H1317" i="3"/>
  <c r="H1315" i="3"/>
  <c r="H1311" i="3"/>
  <c r="H1308" i="3"/>
  <c r="H1304" i="3"/>
  <c r="H1301" i="3"/>
  <c r="H1297" i="3"/>
  <c r="H1292" i="3"/>
  <c r="F1291" i="3"/>
  <c r="E1291" i="3"/>
  <c r="H1291" i="3" s="1"/>
  <c r="F1288" i="3"/>
  <c r="E1288" i="3"/>
  <c r="H1283" i="3"/>
  <c r="F1282" i="3"/>
  <c r="E1282" i="3"/>
  <c r="H1282" i="3" s="1"/>
  <c r="G1279" i="3"/>
  <c r="F1279" i="3"/>
  <c r="E1279" i="3"/>
  <c r="H373" i="1"/>
  <c r="G369" i="1"/>
  <c r="H369" i="1" s="1"/>
  <c r="G367" i="1"/>
  <c r="H367" i="1" s="1"/>
  <c r="G366" i="1"/>
  <c r="H366" i="1" s="1"/>
  <c r="G362" i="1"/>
  <c r="H362" i="1" s="1"/>
  <c r="G361" i="1"/>
  <c r="H361" i="1" s="1"/>
  <c r="G359" i="1"/>
  <c r="H359" i="1" s="1"/>
  <c r="G357" i="1"/>
  <c r="H357" i="1" s="1"/>
  <c r="G355" i="1"/>
  <c r="H355" i="1" s="1"/>
  <c r="G354" i="1"/>
  <c r="H354" i="1" s="1"/>
  <c r="G353" i="1"/>
  <c r="H353" i="1" s="1"/>
  <c r="G352" i="1"/>
  <c r="H352" i="1" s="1"/>
  <c r="G351" i="1"/>
  <c r="H351" i="1" s="1"/>
  <c r="G349" i="1"/>
  <c r="H349" i="1" s="1"/>
  <c r="G348" i="1"/>
  <c r="H348" i="1" s="1"/>
  <c r="G347" i="1"/>
  <c r="H347" i="1" s="1"/>
  <c r="G346" i="1"/>
  <c r="H346" i="1" s="1"/>
  <c r="G345" i="1"/>
  <c r="H345" i="1" s="1"/>
  <c r="G343" i="1"/>
  <c r="H343" i="1" s="1"/>
  <c r="G342" i="1"/>
  <c r="H342" i="1" s="1"/>
  <c r="G341" i="1"/>
  <c r="H341" i="1" s="1"/>
  <c r="G340" i="1"/>
  <c r="H340" i="1" s="1"/>
  <c r="G339" i="1"/>
  <c r="H339" i="1" s="1"/>
  <c r="G338" i="1"/>
  <c r="H338" i="1" s="1"/>
  <c r="G337" i="1"/>
  <c r="H337" i="1" s="1"/>
  <c r="G336" i="1"/>
  <c r="H336" i="1" s="1"/>
  <c r="G335" i="1"/>
  <c r="H335" i="1" s="1"/>
  <c r="G334" i="1"/>
  <c r="H334" i="1" s="1"/>
  <c r="G333" i="1"/>
  <c r="H333" i="1" s="1"/>
  <c r="G331" i="1"/>
  <c r="H331" i="1" s="1"/>
  <c r="G330" i="1"/>
  <c r="H330" i="1" s="1"/>
  <c r="G329" i="1"/>
  <c r="H329" i="1" s="1"/>
  <c r="G328" i="1"/>
  <c r="H328" i="1" s="1"/>
  <c r="G327" i="1"/>
  <c r="H327" i="1" s="1"/>
  <c r="G326" i="1"/>
  <c r="H326" i="1" s="1"/>
  <c r="G325" i="1"/>
  <c r="H325" i="1" s="1"/>
  <c r="G324" i="1"/>
  <c r="H324" i="1" s="1"/>
  <c r="G323" i="1"/>
  <c r="H323" i="1" s="1"/>
  <c r="G320" i="1"/>
  <c r="H320" i="1" s="1"/>
  <c r="G319" i="1"/>
  <c r="H319" i="1" s="1"/>
  <c r="G318" i="1"/>
  <c r="H318" i="1" s="1"/>
  <c r="G316" i="1"/>
  <c r="H316" i="1" s="1"/>
  <c r="G315" i="1"/>
  <c r="H315" i="1" s="1"/>
  <c r="G313" i="1"/>
  <c r="H313" i="1" s="1"/>
  <c r="G310" i="1"/>
  <c r="H310" i="1" s="1"/>
  <c r="G309" i="1"/>
  <c r="H309" i="1" s="1"/>
  <c r="G308" i="1"/>
  <c r="H308" i="1" s="1"/>
  <c r="G307" i="1"/>
  <c r="H307" i="1" s="1"/>
  <c r="G305" i="1"/>
  <c r="H305" i="1" s="1"/>
  <c r="G304" i="1"/>
  <c r="H304" i="1" s="1"/>
  <c r="G303" i="1"/>
  <c r="H303" i="1" s="1"/>
  <c r="G302" i="1"/>
  <c r="H302" i="1" s="1"/>
  <c r="G300" i="1"/>
  <c r="H300" i="1" s="1"/>
  <c r="G299" i="1"/>
  <c r="H299" i="1" s="1"/>
  <c r="G298" i="1"/>
  <c r="H298" i="1" s="1"/>
  <c r="G297" i="1"/>
  <c r="H297" i="1" s="1"/>
  <c r="G296" i="1"/>
  <c r="H296" i="1" s="1"/>
  <c r="G295" i="1"/>
  <c r="H295" i="1" s="1"/>
  <c r="G294" i="1"/>
  <c r="H294" i="1" s="1"/>
  <c r="G293" i="1"/>
  <c r="H293" i="1" s="1"/>
  <c r="G292" i="1"/>
  <c r="H292" i="1" s="1"/>
  <c r="G290" i="1"/>
  <c r="H290" i="1" s="1"/>
  <c r="G289" i="1"/>
  <c r="H289" i="1" s="1"/>
  <c r="G288" i="1"/>
  <c r="H288" i="1" s="1"/>
  <c r="G287" i="1"/>
  <c r="H287" i="1" s="1"/>
  <c r="G286" i="1"/>
  <c r="H286" i="1" s="1"/>
  <c r="G285" i="1"/>
  <c r="H285" i="1" s="1"/>
  <c r="G284" i="1"/>
  <c r="H284" i="1" s="1"/>
  <c r="G283" i="1"/>
  <c r="H283" i="1" s="1"/>
  <c r="B43" i="10"/>
  <c r="A43" i="10"/>
  <c r="L44" i="10"/>
  <c r="B1809" i="3"/>
  <c r="A1809" i="3"/>
  <c r="B1804" i="3"/>
  <c r="A1804" i="3"/>
  <c r="B1799" i="3"/>
  <c r="A1799" i="3"/>
  <c r="H1812" i="3"/>
  <c r="H1811" i="3"/>
  <c r="H1813" i="3" s="1"/>
  <c r="F378" i="1" s="1"/>
  <c r="H1807" i="3"/>
  <c r="H1806" i="3"/>
  <c r="H1808" i="3" s="1"/>
  <c r="F377" i="1" s="1"/>
  <c r="H1802" i="3"/>
  <c r="H1801" i="3"/>
  <c r="H1803" i="3" s="1"/>
  <c r="F376" i="1" s="1"/>
  <c r="B1794" i="3"/>
  <c r="A1794" i="3"/>
  <c r="B1793" i="3"/>
  <c r="A1793" i="3"/>
  <c r="H1797" i="3"/>
  <c r="H1796" i="3"/>
  <c r="H1798" i="3" s="1"/>
  <c r="F375" i="1" s="1"/>
  <c r="H377" i="1"/>
  <c r="H376" i="1"/>
  <c r="H375" i="1"/>
  <c r="G378" i="1"/>
  <c r="H378" i="1" s="1"/>
  <c r="E1485" i="3" l="1"/>
  <c r="H1485" i="3" s="1"/>
  <c r="H1353" i="3"/>
  <c r="H1550" i="3"/>
  <c r="H1386" i="3"/>
  <c r="F298" i="1" s="1"/>
  <c r="H1619" i="3"/>
  <c r="F336" i="1" s="1"/>
  <c r="H1350" i="3"/>
  <c r="H1577" i="3"/>
  <c r="F329" i="1" s="1"/>
  <c r="I329" i="1" s="1"/>
  <c r="H1770" i="3"/>
  <c r="H1452" i="3"/>
  <c r="F308" i="1" s="1"/>
  <c r="I308" i="1" s="1"/>
  <c r="H1548" i="3"/>
  <c r="H1701" i="3"/>
  <c r="F352" i="1" s="1"/>
  <c r="H1678" i="3"/>
  <c r="F347" i="1" s="1"/>
  <c r="H1423" i="3"/>
  <c r="F303" i="1" s="1"/>
  <c r="I303" i="1" s="1"/>
  <c r="H1549" i="3"/>
  <c r="H1562" i="3"/>
  <c r="F326" i="1" s="1"/>
  <c r="H1634" i="3"/>
  <c r="F339" i="1" s="1"/>
  <c r="H1724" i="3"/>
  <c r="F357" i="1" s="1"/>
  <c r="H1542" i="3"/>
  <c r="H1690" i="3"/>
  <c r="F349" i="1" s="1"/>
  <c r="H1540" i="3"/>
  <c r="H1666" i="3"/>
  <c r="F345" i="1" s="1"/>
  <c r="I345" i="1" s="1"/>
  <c r="H1650" i="3"/>
  <c r="H1706" i="3"/>
  <c r="F353" i="1" s="1"/>
  <c r="I353" i="1" s="1"/>
  <c r="H1672" i="3"/>
  <c r="F346" i="1" s="1"/>
  <c r="H1381" i="3"/>
  <c r="F297" i="1" s="1"/>
  <c r="H1288" i="3"/>
  <c r="H1279" i="3"/>
  <c r="H1567" i="3"/>
  <c r="F327" i="1" s="1"/>
  <c r="H1599" i="3"/>
  <c r="H1395" i="3"/>
  <c r="H1585" i="3"/>
  <c r="H1305" i="3"/>
  <c r="F286" i="1" s="1"/>
  <c r="I286" i="1" s="1"/>
  <c r="H1629" i="3"/>
  <c r="F338" i="1" s="1"/>
  <c r="H1696" i="3"/>
  <c r="F351" i="1" s="1"/>
  <c r="I351" i="1" s="1"/>
  <c r="H1717" i="3"/>
  <c r="F355" i="1" s="1"/>
  <c r="I355" i="1" s="1"/>
  <c r="H1624" i="3"/>
  <c r="F337" i="1" s="1"/>
  <c r="I337" i="1" s="1"/>
  <c r="H1541" i="3"/>
  <c r="H1441" i="3"/>
  <c r="F305" i="1" s="1"/>
  <c r="I305" i="1" s="1"/>
  <c r="H1341" i="3"/>
  <c r="H1432" i="3"/>
  <c r="F304" i="1" s="1"/>
  <c r="H1474" i="3"/>
  <c r="F312" i="1" s="1"/>
  <c r="H1318" i="3"/>
  <c r="F288" i="1" s="1"/>
  <c r="I288" i="1" s="1"/>
  <c r="H1463" i="3"/>
  <c r="F310" i="1" s="1"/>
  <c r="H1327" i="3"/>
  <c r="H1312" i="3"/>
  <c r="F287" i="1" s="1"/>
  <c r="I287" i="1" s="1"/>
  <c r="H1414" i="3"/>
  <c r="F302" i="1" s="1"/>
  <c r="H1374" i="3"/>
  <c r="F296" i="1" s="1"/>
  <c r="I296" i="1" s="1"/>
  <c r="H1367" i="3"/>
  <c r="F295" i="1" s="1"/>
  <c r="I295" i="1" s="1"/>
  <c r="H1457" i="3"/>
  <c r="F309" i="1" s="1"/>
  <c r="I309" i="1" s="1"/>
  <c r="H1447" i="3"/>
  <c r="F307" i="1" s="1"/>
  <c r="I307" i="1" s="1"/>
  <c r="I373" i="1"/>
  <c r="I341" i="1"/>
  <c r="I336" i="1"/>
  <c r="I354" i="1"/>
  <c r="I376" i="1"/>
  <c r="I375" i="1"/>
  <c r="I377" i="1"/>
  <c r="I378" i="1"/>
  <c r="C1657" i="3" l="1"/>
  <c r="H1657" i="3" s="1"/>
  <c r="F342" i="1"/>
  <c r="C1590" i="3"/>
  <c r="H1590" i="3" s="1"/>
  <c r="F330" i="1"/>
  <c r="I330" i="1" s="1"/>
  <c r="D1774" i="3"/>
  <c r="H1774" i="3" s="1"/>
  <c r="F368" i="1"/>
  <c r="C1402" i="3"/>
  <c r="H1402" i="3" s="1"/>
  <c r="F299" i="1"/>
  <c r="I299" i="1" s="1"/>
  <c r="C1332" i="3"/>
  <c r="H1332" i="3" s="1"/>
  <c r="F289" i="1"/>
  <c r="H1740" i="3"/>
  <c r="H1759" i="3"/>
  <c r="H1487" i="3"/>
  <c r="F313" i="1" s="1"/>
  <c r="I313" i="1" s="1"/>
  <c r="H1732" i="3"/>
  <c r="F359" i="1" s="1"/>
  <c r="I359" i="1" s="1"/>
  <c r="I358" i="1" s="1"/>
  <c r="H1524" i="3"/>
  <c r="H1544" i="3"/>
  <c r="H1504" i="3"/>
  <c r="H1284" i="3"/>
  <c r="H1552" i="3"/>
  <c r="H1602" i="3"/>
  <c r="H1609" i="3"/>
  <c r="H1293" i="3"/>
  <c r="H1346" i="3"/>
  <c r="H1355" i="3"/>
  <c r="I374" i="1"/>
  <c r="I49" i="9" s="1"/>
  <c r="L46" i="10"/>
  <c r="B45" i="10"/>
  <c r="A45" i="10"/>
  <c r="L38" i="10"/>
  <c r="B37" i="10"/>
  <c r="A37" i="10"/>
  <c r="L36" i="10"/>
  <c r="B35" i="10"/>
  <c r="A35" i="10"/>
  <c r="L34" i="10"/>
  <c r="B33" i="10"/>
  <c r="A33" i="10"/>
  <c r="L32" i="10"/>
  <c r="B31" i="10"/>
  <c r="A31" i="10"/>
  <c r="L30" i="10"/>
  <c r="B29" i="10"/>
  <c r="A29" i="10"/>
  <c r="L28" i="10"/>
  <c r="B27" i="10"/>
  <c r="A27" i="10"/>
  <c r="L26" i="10"/>
  <c r="B25" i="10"/>
  <c r="A25" i="10"/>
  <c r="L24" i="10"/>
  <c r="B23" i="10"/>
  <c r="A23" i="10"/>
  <c r="L22" i="10"/>
  <c r="B21" i="10"/>
  <c r="A21" i="10"/>
  <c r="L20" i="10"/>
  <c r="B19" i="10"/>
  <c r="A19" i="10"/>
  <c r="L18" i="10"/>
  <c r="B17" i="10"/>
  <c r="A17" i="10"/>
  <c r="L16" i="10"/>
  <c r="B15" i="10"/>
  <c r="A15" i="10"/>
  <c r="L14" i="10"/>
  <c r="B13" i="10"/>
  <c r="A13" i="10"/>
  <c r="L12" i="10"/>
  <c r="B11" i="10"/>
  <c r="A11" i="10"/>
  <c r="K10" i="10"/>
  <c r="J10" i="10"/>
  <c r="I10" i="10"/>
  <c r="H10" i="10"/>
  <c r="G10" i="10"/>
  <c r="F10" i="10"/>
  <c r="E10" i="10"/>
  <c r="D10" i="10"/>
  <c r="B9" i="10"/>
  <c r="A9" i="10"/>
  <c r="B6" i="10"/>
  <c r="A6" i="10"/>
  <c r="B5" i="10"/>
  <c r="B672" i="3"/>
  <c r="A672" i="3"/>
  <c r="H675" i="3"/>
  <c r="H674" i="3"/>
  <c r="H676" i="3" s="1"/>
  <c r="F155" i="1" s="1"/>
  <c r="G155" i="1"/>
  <c r="H155" i="1" s="1"/>
  <c r="B596" i="3"/>
  <c r="B601" i="3"/>
  <c r="B606" i="3"/>
  <c r="B611" i="3"/>
  <c r="B616" i="3"/>
  <c r="B621" i="3"/>
  <c r="B626" i="3"/>
  <c r="B631" i="3"/>
  <c r="B636" i="3"/>
  <c r="B641" i="3"/>
  <c r="B646" i="3"/>
  <c r="B651" i="3"/>
  <c r="B656" i="3"/>
  <c r="B661" i="3"/>
  <c r="B666" i="3"/>
  <c r="I357" i="1"/>
  <c r="I356" i="1" s="1"/>
  <c r="D1261" i="3"/>
  <c r="C1261" i="3"/>
  <c r="E1260" i="3"/>
  <c r="H1260" i="3" s="1"/>
  <c r="D1259" i="3"/>
  <c r="C1259" i="3"/>
  <c r="E1258" i="3"/>
  <c r="H1258" i="3" s="1"/>
  <c r="E1257" i="3"/>
  <c r="H1257" i="3" s="1"/>
  <c r="E1256" i="3"/>
  <c r="H1256" i="3" s="1"/>
  <c r="E1255" i="3"/>
  <c r="H1255" i="3" s="1"/>
  <c r="E1254" i="3"/>
  <c r="H1254" i="3" s="1"/>
  <c r="E1253" i="3"/>
  <c r="H1253" i="3" s="1"/>
  <c r="F202" i="7"/>
  <c r="F201" i="7"/>
  <c r="D1555" i="3" l="1"/>
  <c r="H1555" i="3" s="1"/>
  <c r="H1557" i="3" s="1"/>
  <c r="F324" i="1"/>
  <c r="I324" i="1" s="1"/>
  <c r="C1588" i="3"/>
  <c r="H1588" i="3" s="1"/>
  <c r="F323" i="1"/>
  <c r="I323" i="1" s="1"/>
  <c r="D1743" i="3"/>
  <c r="H1743" i="3" s="1"/>
  <c r="H1745" i="3" s="1"/>
  <c r="F362" i="1" s="1"/>
  <c r="I362" i="1" s="1"/>
  <c r="F361" i="1"/>
  <c r="I361" i="1" s="1"/>
  <c r="D1773" i="3"/>
  <c r="H1773" i="3" s="1"/>
  <c r="H1776" i="3" s="1"/>
  <c r="F369" i="1" s="1"/>
  <c r="I369" i="1" s="1"/>
  <c r="F366" i="1"/>
  <c r="I366" i="1" s="1"/>
  <c r="D1612" i="3"/>
  <c r="H1612" i="3" s="1"/>
  <c r="H1614" i="3" s="1"/>
  <c r="F334" i="1"/>
  <c r="I334" i="1" s="1"/>
  <c r="C1655" i="3"/>
  <c r="H1655" i="3" s="1"/>
  <c r="F333" i="1"/>
  <c r="I333" i="1" s="1"/>
  <c r="C1330" i="3"/>
  <c r="H1330" i="3" s="1"/>
  <c r="F283" i="1"/>
  <c r="I283" i="1" s="1"/>
  <c r="D1507" i="3"/>
  <c r="H1507" i="3" s="1"/>
  <c r="H1509" i="3" s="1"/>
  <c r="F316" i="1" s="1"/>
  <c r="F315" i="1"/>
  <c r="D1532" i="3"/>
  <c r="H1532" i="3" s="1"/>
  <c r="H1534" i="3" s="1"/>
  <c r="F320" i="1" s="1"/>
  <c r="I320" i="1" s="1"/>
  <c r="F318" i="1"/>
  <c r="I318" i="1" s="1"/>
  <c r="D1296" i="3"/>
  <c r="H1296" i="3" s="1"/>
  <c r="H1298" i="3" s="1"/>
  <c r="F284" i="1"/>
  <c r="I284" i="1" s="1"/>
  <c r="D1358" i="3"/>
  <c r="H1358" i="3" s="1"/>
  <c r="H1360" i="3" s="1"/>
  <c r="F293" i="1"/>
  <c r="C1400" i="3"/>
  <c r="H1400" i="3" s="1"/>
  <c r="F292" i="1"/>
  <c r="I292" i="1" s="1"/>
  <c r="D1762" i="3"/>
  <c r="H1762" i="3" s="1"/>
  <c r="H1764" i="3" s="1"/>
  <c r="F367" i="1" s="1"/>
  <c r="I367" i="1" s="1"/>
  <c r="D1527" i="3"/>
  <c r="H1527" i="3" s="1"/>
  <c r="H1529" i="3" s="1"/>
  <c r="F319" i="1" s="1"/>
  <c r="I319" i="1" s="1"/>
  <c r="L43" i="10"/>
  <c r="L10" i="10"/>
  <c r="H1259" i="3"/>
  <c r="H1261" i="3"/>
  <c r="H207" i="7"/>
  <c r="H208" i="7" s="1"/>
  <c r="H202" i="7"/>
  <c r="H201" i="7"/>
  <c r="H203" i="7" s="1"/>
  <c r="I360" i="1" l="1"/>
  <c r="C1656" i="3"/>
  <c r="H1656" i="3" s="1"/>
  <c r="H1659" i="3" s="1"/>
  <c r="F343" i="1" s="1"/>
  <c r="I343" i="1" s="1"/>
  <c r="F335" i="1"/>
  <c r="C1589" i="3"/>
  <c r="H1589" i="3" s="1"/>
  <c r="H1594" i="3" s="1"/>
  <c r="F331" i="1" s="1"/>
  <c r="I331" i="1" s="1"/>
  <c r="F325" i="1"/>
  <c r="C1331" i="3"/>
  <c r="H1331" i="3" s="1"/>
  <c r="H1336" i="3" s="1"/>
  <c r="F290" i="1" s="1"/>
  <c r="F285" i="1"/>
  <c r="I285" i="1" s="1"/>
  <c r="I317" i="1"/>
  <c r="C1401" i="3"/>
  <c r="H1401" i="3" s="1"/>
  <c r="H1404" i="3" s="1"/>
  <c r="F300" i="1" s="1"/>
  <c r="I300" i="1" s="1"/>
  <c r="F294" i="1"/>
  <c r="I294" i="1" s="1"/>
  <c r="K43" i="10"/>
  <c r="D43" i="10"/>
  <c r="I43" i="10"/>
  <c r="E43" i="10"/>
  <c r="J43" i="10"/>
  <c r="H43" i="10"/>
  <c r="G43" i="10"/>
  <c r="F43" i="10"/>
  <c r="H1263" i="3"/>
  <c r="D1271" i="3" s="1"/>
  <c r="H209" i="7"/>
  <c r="H210" i="7" l="1"/>
  <c r="G368" i="1"/>
  <c r="H368" i="1" s="1"/>
  <c r="I368" i="1" s="1"/>
  <c r="I365" i="1" s="1"/>
  <c r="D1266" i="3"/>
  <c r="H1266" i="3" s="1"/>
  <c r="B987" i="3" l="1"/>
  <c r="A987" i="3"/>
  <c r="H990" i="3"/>
  <c r="H989" i="3"/>
  <c r="H991" i="3" s="1"/>
  <c r="F222" i="1" s="1"/>
  <c r="B903" i="3"/>
  <c r="A903" i="3"/>
  <c r="H906" i="3"/>
  <c r="H905" i="3"/>
  <c r="H907" i="3" s="1"/>
  <c r="F205" i="1" s="1"/>
  <c r="B883" i="3"/>
  <c r="A883" i="3"/>
  <c r="H886" i="3"/>
  <c r="H885" i="3"/>
  <c r="H887" i="3" s="1"/>
  <c r="F201" i="1" s="1"/>
  <c r="G222" i="1"/>
  <c r="H222" i="1" s="1"/>
  <c r="G205" i="1"/>
  <c r="H205" i="1" s="1"/>
  <c r="G201" i="1"/>
  <c r="H201" i="1" s="1"/>
  <c r="B267" i="3" l="1"/>
  <c r="A267" i="3"/>
  <c r="B247" i="3"/>
  <c r="A247" i="3"/>
  <c r="B262" i="3"/>
  <c r="A262" i="3"/>
  <c r="H265" i="3"/>
  <c r="G62" i="1"/>
  <c r="H62" i="1" s="1"/>
  <c r="B279" i="3" l="1"/>
  <c r="A279" i="3"/>
  <c r="H282" i="3"/>
  <c r="B268" i="3"/>
  <c r="A268" i="3"/>
  <c r="H277" i="3"/>
  <c r="H276" i="3"/>
  <c r="H275" i="3"/>
  <c r="H274" i="3"/>
  <c r="E270" i="3"/>
  <c r="H270" i="3" s="1"/>
  <c r="G65" i="1"/>
  <c r="H65" i="1" s="1"/>
  <c r="G64" i="1"/>
  <c r="H64" i="1" s="1"/>
  <c r="E24" i="3"/>
  <c r="B345" i="3"/>
  <c r="A345" i="3"/>
  <c r="H348" i="3"/>
  <c r="H347" i="3"/>
  <c r="H349" i="3" s="1"/>
  <c r="F80" i="1" s="1"/>
  <c r="H80" i="1"/>
  <c r="H278" i="3" l="1"/>
  <c r="F64" i="1" s="1"/>
  <c r="I80" i="1"/>
  <c r="B53" i="3"/>
  <c r="A53" i="3"/>
  <c r="H56" i="3"/>
  <c r="H55" i="3"/>
  <c r="H57" i="3" s="1"/>
  <c r="F19" i="1" s="1"/>
  <c r="G19" i="1"/>
  <c r="H19" i="1" s="1"/>
  <c r="D281" i="3" l="1"/>
  <c r="H281" i="3" s="1"/>
  <c r="H283" i="3" s="1"/>
  <c r="I64" i="1"/>
  <c r="I19" i="1"/>
  <c r="F65" i="1" l="1"/>
  <c r="I65" i="1" s="1"/>
  <c r="I63" i="1" s="1"/>
  <c r="G20" i="1"/>
  <c r="H20" i="1" s="1"/>
  <c r="B52" i="3" l="1"/>
  <c r="A52" i="3"/>
  <c r="B16" i="3"/>
  <c r="A16" i="3"/>
  <c r="I297" i="1"/>
  <c r="I289" i="1"/>
  <c r="I347" i="1"/>
  <c r="F190" i="7" l="1"/>
  <c r="H190" i="7" s="1"/>
  <c r="H191" i="7" s="1"/>
  <c r="F185" i="7"/>
  <c r="H185" i="7" s="1"/>
  <c r="F184" i="7"/>
  <c r="H184" i="7" s="1"/>
  <c r="F168" i="7"/>
  <c r="F156" i="7"/>
  <c r="F153" i="7"/>
  <c r="F152" i="7"/>
  <c r="F149" i="7"/>
  <c r="F148" i="7"/>
  <c r="F137" i="7"/>
  <c r="F136" i="7"/>
  <c r="F135" i="7"/>
  <c r="F134" i="7"/>
  <c r="F129" i="7"/>
  <c r="F128" i="7"/>
  <c r="F113" i="7"/>
  <c r="F102" i="7"/>
  <c r="F101" i="7"/>
  <c r="F96" i="7"/>
  <c r="F80" i="7"/>
  <c r="F79" i="7"/>
  <c r="F68" i="7"/>
  <c r="F67" i="7"/>
  <c r="F66" i="7"/>
  <c r="F65" i="7"/>
  <c r="F62" i="7"/>
  <c r="F61" i="7"/>
  <c r="F60" i="7"/>
  <c r="F59" i="7"/>
  <c r="F56" i="7"/>
  <c r="F55" i="7"/>
  <c r="F54" i="7"/>
  <c r="F43" i="7"/>
  <c r="F40" i="7"/>
  <c r="F37" i="7"/>
  <c r="F36" i="7"/>
  <c r="F25" i="7"/>
  <c r="F24" i="7"/>
  <c r="F23" i="7"/>
  <c r="F22" i="7"/>
  <c r="F21" i="7"/>
  <c r="F20" i="7"/>
  <c r="F17" i="7"/>
  <c r="F16" i="7"/>
  <c r="F15" i="7"/>
  <c r="F14" i="7"/>
  <c r="F13" i="7"/>
  <c r="F12" i="7"/>
  <c r="F8" i="7"/>
  <c r="F7" i="7"/>
  <c r="G389" i="1"/>
  <c r="H389" i="1" s="1"/>
  <c r="G388" i="1"/>
  <c r="H388" i="1" s="1"/>
  <c r="G387" i="1"/>
  <c r="H387" i="1" s="1"/>
  <c r="G386" i="1"/>
  <c r="H386" i="1" s="1"/>
  <c r="G385" i="1"/>
  <c r="H385" i="1" s="1"/>
  <c r="G383" i="1"/>
  <c r="H383" i="1" s="1"/>
  <c r="G382" i="1"/>
  <c r="H382" i="1" s="1"/>
  <c r="G381" i="1"/>
  <c r="H381" i="1" s="1"/>
  <c r="G280" i="1"/>
  <c r="H280" i="1" s="1"/>
  <c r="G279" i="1"/>
  <c r="H279" i="1" s="1"/>
  <c r="G278" i="1"/>
  <c r="H278" i="1" s="1"/>
  <c r="G276" i="1"/>
  <c r="H276" i="1" s="1"/>
  <c r="G275" i="1"/>
  <c r="H275" i="1" s="1"/>
  <c r="G273" i="1"/>
  <c r="H273" i="1" s="1"/>
  <c r="G272" i="1"/>
  <c r="H272" i="1" s="1"/>
  <c r="G271" i="1"/>
  <c r="H271" i="1" s="1"/>
  <c r="G269" i="1"/>
  <c r="H269" i="1" s="1"/>
  <c r="G267" i="1"/>
  <c r="H267" i="1" s="1"/>
  <c r="G266" i="1"/>
  <c r="H266" i="1" s="1"/>
  <c r="G265" i="1"/>
  <c r="H265" i="1" s="1"/>
  <c r="G264" i="1"/>
  <c r="H264" i="1" s="1"/>
  <c r="G262" i="1"/>
  <c r="H262" i="1" s="1"/>
  <c r="G261" i="1"/>
  <c r="H261" i="1" s="1"/>
  <c r="G260" i="1"/>
  <c r="H260" i="1" s="1"/>
  <c r="G259" i="1"/>
  <c r="H259" i="1" s="1"/>
  <c r="G257" i="1"/>
  <c r="H257" i="1" s="1"/>
  <c r="G256" i="1"/>
  <c r="H256" i="1" s="1"/>
  <c r="G255" i="1"/>
  <c r="H255" i="1" s="1"/>
  <c r="G254" i="1"/>
  <c r="H254" i="1" s="1"/>
  <c r="G253" i="1"/>
  <c r="H253" i="1" s="1"/>
  <c r="G252" i="1"/>
  <c r="H252" i="1" s="1"/>
  <c r="G251" i="1"/>
  <c r="H251" i="1" s="1"/>
  <c r="G249" i="1"/>
  <c r="H249" i="1" s="1"/>
  <c r="G248" i="1"/>
  <c r="H248" i="1" s="1"/>
  <c r="G247" i="1"/>
  <c r="H247" i="1" s="1"/>
  <c r="G246" i="1"/>
  <c r="H246" i="1" s="1"/>
  <c r="G245" i="1"/>
  <c r="H245" i="1" s="1"/>
  <c r="G244" i="1"/>
  <c r="H244" i="1" s="1"/>
  <c r="G243" i="1"/>
  <c r="H243" i="1" s="1"/>
  <c r="G242" i="1"/>
  <c r="H242" i="1" s="1"/>
  <c r="G239" i="1"/>
  <c r="H239" i="1" s="1"/>
  <c r="G238" i="1"/>
  <c r="H238" i="1" s="1"/>
  <c r="G237" i="1"/>
  <c r="H237" i="1" s="1"/>
  <c r="G236" i="1"/>
  <c r="H236" i="1" s="1"/>
  <c r="G235" i="1"/>
  <c r="H235" i="1" s="1"/>
  <c r="G234" i="1"/>
  <c r="H234" i="1" s="1"/>
  <c r="G231" i="1"/>
  <c r="H231" i="1" s="1"/>
  <c r="G230" i="1"/>
  <c r="H230" i="1" s="1"/>
  <c r="G229" i="1"/>
  <c r="H229" i="1" s="1"/>
  <c r="G226" i="1"/>
  <c r="H226" i="1" s="1"/>
  <c r="G225" i="1"/>
  <c r="H225" i="1" s="1"/>
  <c r="G223" i="1"/>
  <c r="H223" i="1" s="1"/>
  <c r="G221" i="1"/>
  <c r="H221" i="1" s="1"/>
  <c r="G219" i="1"/>
  <c r="H219" i="1" s="1"/>
  <c r="G218" i="1"/>
  <c r="H218" i="1" s="1"/>
  <c r="G217" i="1"/>
  <c r="H217" i="1" s="1"/>
  <c r="G215" i="1"/>
  <c r="H215" i="1" s="1"/>
  <c r="G214" i="1"/>
  <c r="H214" i="1" s="1"/>
  <c r="G213" i="1"/>
  <c r="H213" i="1" s="1"/>
  <c r="G211" i="1"/>
  <c r="H211" i="1" s="1"/>
  <c r="G210" i="1"/>
  <c r="H210" i="1" s="1"/>
  <c r="G209" i="1"/>
  <c r="H209" i="1" s="1"/>
  <c r="G208" i="1"/>
  <c r="H208" i="1" s="1"/>
  <c r="G206" i="1"/>
  <c r="H206" i="1" s="1"/>
  <c r="G204" i="1"/>
  <c r="H204" i="1" s="1"/>
  <c r="G203" i="1"/>
  <c r="H203" i="1" s="1"/>
  <c r="G202" i="1"/>
  <c r="H202" i="1" s="1"/>
  <c r="G200" i="1"/>
  <c r="H200" i="1" s="1"/>
  <c r="G199" i="1"/>
  <c r="H199" i="1" s="1"/>
  <c r="G198" i="1"/>
  <c r="H198" i="1" s="1"/>
  <c r="G195" i="1"/>
  <c r="H195" i="1" s="1"/>
  <c r="G194" i="1"/>
  <c r="H194" i="1" s="1"/>
  <c r="G193" i="1"/>
  <c r="H193" i="1" s="1"/>
  <c r="G192" i="1"/>
  <c r="H192" i="1" s="1"/>
  <c r="G191" i="1"/>
  <c r="H191" i="1" s="1"/>
  <c r="G190" i="1"/>
  <c r="H190" i="1" s="1"/>
  <c r="G189" i="1"/>
  <c r="H189" i="1" s="1"/>
  <c r="G188" i="1"/>
  <c r="H188" i="1" s="1"/>
  <c r="G187" i="1"/>
  <c r="H187" i="1" s="1"/>
  <c r="G186" i="1"/>
  <c r="H186" i="1" s="1"/>
  <c r="G185" i="1"/>
  <c r="H185" i="1" s="1"/>
  <c r="G184" i="1"/>
  <c r="H184" i="1" s="1"/>
  <c r="G183" i="1"/>
  <c r="H183" i="1" s="1"/>
  <c r="G181" i="1"/>
  <c r="H181" i="1" s="1"/>
  <c r="G180" i="1"/>
  <c r="H180" i="1" s="1"/>
  <c r="G178" i="1"/>
  <c r="H178" i="1" s="1"/>
  <c r="G176" i="1"/>
  <c r="H176" i="1" s="1"/>
  <c r="G174" i="1"/>
  <c r="H174" i="1" s="1"/>
  <c r="G173" i="1"/>
  <c r="H173" i="1" s="1"/>
  <c r="G172" i="1"/>
  <c r="H172" i="1" s="1"/>
  <c r="G171" i="1"/>
  <c r="H171" i="1" s="1"/>
  <c r="G170" i="1"/>
  <c r="H170" i="1" s="1"/>
  <c r="G169" i="1"/>
  <c r="H169" i="1" s="1"/>
  <c r="G168" i="1"/>
  <c r="H168" i="1" s="1"/>
  <c r="G167" i="1"/>
  <c r="H167" i="1" s="1"/>
  <c r="G166" i="1"/>
  <c r="H166" i="1" s="1"/>
  <c r="G165" i="1"/>
  <c r="H165" i="1" s="1"/>
  <c r="G164" i="1"/>
  <c r="H164" i="1" s="1"/>
  <c r="G163" i="1"/>
  <c r="H163" i="1" s="1"/>
  <c r="G162" i="1"/>
  <c r="H162" i="1" s="1"/>
  <c r="G161" i="1"/>
  <c r="H161" i="1" s="1"/>
  <c r="G160" i="1"/>
  <c r="H160" i="1" s="1"/>
  <c r="G159" i="1"/>
  <c r="H159" i="1" s="1"/>
  <c r="G158" i="1"/>
  <c r="H158" i="1" s="1"/>
  <c r="G156" i="1"/>
  <c r="H156" i="1" s="1"/>
  <c r="G153" i="1"/>
  <c r="H153" i="1" s="1"/>
  <c r="G152" i="1"/>
  <c r="H152" i="1" s="1"/>
  <c r="G151" i="1"/>
  <c r="H151" i="1" s="1"/>
  <c r="G150" i="1"/>
  <c r="H150" i="1" s="1"/>
  <c r="G149" i="1"/>
  <c r="H149" i="1" s="1"/>
  <c r="G148" i="1"/>
  <c r="H148" i="1" s="1"/>
  <c r="G147" i="1"/>
  <c r="H147" i="1" s="1"/>
  <c r="G146" i="1"/>
  <c r="H146" i="1" s="1"/>
  <c r="G145" i="1"/>
  <c r="H145" i="1" s="1"/>
  <c r="G144" i="1"/>
  <c r="H144" i="1" s="1"/>
  <c r="G143" i="1"/>
  <c r="H143" i="1" s="1"/>
  <c r="G142" i="1"/>
  <c r="H142" i="1" s="1"/>
  <c r="G141" i="1"/>
  <c r="H141" i="1" s="1"/>
  <c r="G140" i="1"/>
  <c r="H140" i="1" s="1"/>
  <c r="G139" i="1"/>
  <c r="H139" i="1" s="1"/>
  <c r="G138" i="1"/>
  <c r="H138" i="1" s="1"/>
  <c r="G135" i="1"/>
  <c r="H135" i="1" s="1"/>
  <c r="G134" i="1"/>
  <c r="H134" i="1" s="1"/>
  <c r="G133" i="1"/>
  <c r="H133" i="1" s="1"/>
  <c r="G131" i="1"/>
  <c r="H131" i="1" s="1"/>
  <c r="G130" i="1"/>
  <c r="H130" i="1" s="1"/>
  <c r="G129" i="1"/>
  <c r="H129" i="1" s="1"/>
  <c r="G127" i="1"/>
  <c r="H127" i="1" s="1"/>
  <c r="G124" i="1"/>
  <c r="H124" i="1" s="1"/>
  <c r="G122" i="1"/>
  <c r="H122" i="1" s="1"/>
  <c r="G120" i="1"/>
  <c r="H120" i="1" s="1"/>
  <c r="G119" i="1"/>
  <c r="H119" i="1" s="1"/>
  <c r="G116" i="1"/>
  <c r="H116" i="1" s="1"/>
  <c r="G114" i="1"/>
  <c r="H114" i="1" s="1"/>
  <c r="G112" i="1"/>
  <c r="H112" i="1" s="1"/>
  <c r="G111" i="1"/>
  <c r="H111" i="1" s="1"/>
  <c r="G110" i="1"/>
  <c r="H110" i="1" s="1"/>
  <c r="G109" i="1"/>
  <c r="H109" i="1" s="1"/>
  <c r="G104" i="1"/>
  <c r="H104" i="1" s="1"/>
  <c r="G103" i="1"/>
  <c r="H103" i="1" s="1"/>
  <c r="G101" i="1"/>
  <c r="H101" i="1" s="1"/>
  <c r="G100" i="1"/>
  <c r="H100" i="1" s="1"/>
  <c r="G96" i="1"/>
  <c r="H96" i="1" s="1"/>
  <c r="G95" i="1"/>
  <c r="H95" i="1" s="1"/>
  <c r="G94" i="1"/>
  <c r="H94" i="1" s="1"/>
  <c r="G93" i="1"/>
  <c r="H93" i="1" s="1"/>
  <c r="G92" i="1"/>
  <c r="H92" i="1" s="1"/>
  <c r="G91" i="1"/>
  <c r="H91" i="1" s="1"/>
  <c r="G90" i="1"/>
  <c r="H90" i="1" s="1"/>
  <c r="G89" i="1"/>
  <c r="H89" i="1" s="1"/>
  <c r="G88" i="1"/>
  <c r="H88" i="1" s="1"/>
  <c r="G85" i="1"/>
  <c r="H85" i="1" s="1"/>
  <c r="G84" i="1"/>
  <c r="H84" i="1" s="1"/>
  <c r="G83" i="1"/>
  <c r="H83" i="1" s="1"/>
  <c r="G82" i="1"/>
  <c r="H82" i="1" s="1"/>
  <c r="G79" i="1"/>
  <c r="H79" i="1" s="1"/>
  <c r="G78" i="1"/>
  <c r="H78" i="1" s="1"/>
  <c r="G77" i="1"/>
  <c r="H77" i="1" s="1"/>
  <c r="G75" i="1"/>
  <c r="H75" i="1" s="1"/>
  <c r="G74" i="1"/>
  <c r="H74" i="1" s="1"/>
  <c r="G72" i="1"/>
  <c r="H72" i="1" s="1"/>
  <c r="G71" i="1"/>
  <c r="H71" i="1" s="1"/>
  <c r="G70" i="1"/>
  <c r="H70" i="1" s="1"/>
  <c r="G69" i="1"/>
  <c r="H69" i="1" s="1"/>
  <c r="G68" i="1"/>
  <c r="H68" i="1" s="1"/>
  <c r="G61" i="1"/>
  <c r="H61" i="1" s="1"/>
  <c r="G58" i="1"/>
  <c r="H58" i="1" s="1"/>
  <c r="G57" i="1"/>
  <c r="H57" i="1" s="1"/>
  <c r="G56" i="1"/>
  <c r="H56" i="1" s="1"/>
  <c r="G54" i="1"/>
  <c r="H54" i="1" s="1"/>
  <c r="G52" i="1"/>
  <c r="H52" i="1" s="1"/>
  <c r="G51" i="1"/>
  <c r="H51" i="1" s="1"/>
  <c r="G50" i="1"/>
  <c r="H50" i="1" s="1"/>
  <c r="G49" i="1"/>
  <c r="H49" i="1" s="1"/>
  <c r="G48" i="1"/>
  <c r="H48" i="1" s="1"/>
  <c r="G46" i="1"/>
  <c r="H46" i="1" s="1"/>
  <c r="G45" i="1"/>
  <c r="H45" i="1" s="1"/>
  <c r="G44" i="1"/>
  <c r="H44" i="1" s="1"/>
  <c r="G43" i="1"/>
  <c r="H43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E1031" i="3"/>
  <c r="H1031" i="3" s="1"/>
  <c r="H1033" i="3" s="1"/>
  <c r="F232" i="1" s="1"/>
  <c r="B1029" i="3"/>
  <c r="A1029" i="3"/>
  <c r="H1032" i="3"/>
  <c r="H186" i="7" l="1"/>
  <c r="H192" i="7" s="1"/>
  <c r="H193" i="7" l="1"/>
  <c r="G232" i="1"/>
  <c r="H168" i="7"/>
  <c r="H169" i="7" s="1"/>
  <c r="H232" i="1" l="1"/>
  <c r="I232" i="1" s="1"/>
  <c r="D32" i="8" l="1"/>
  <c r="D34" i="8"/>
  <c r="D30" i="8" s="1"/>
  <c r="F173" i="7" s="1"/>
  <c r="H173" i="7" s="1"/>
  <c r="H174" i="7" s="1"/>
  <c r="H175" i="7" s="1"/>
  <c r="D33" i="8"/>
  <c r="D27" i="8"/>
  <c r="D26" i="8"/>
  <c r="D25" i="8"/>
  <c r="G364" i="1" l="1"/>
  <c r="H364" i="1" s="1"/>
  <c r="I364" i="1" s="1"/>
  <c r="I363" i="1" s="1"/>
  <c r="H176" i="7"/>
  <c r="H157" i="7"/>
  <c r="H156" i="7"/>
  <c r="H158" i="7" s="1"/>
  <c r="E153" i="7"/>
  <c r="H153" i="7" s="1"/>
  <c r="E152" i="7"/>
  <c r="H152" i="7" s="1"/>
  <c r="H149" i="7"/>
  <c r="H148" i="7"/>
  <c r="H154" i="7" l="1"/>
  <c r="H150" i="7"/>
  <c r="H159" i="7" s="1"/>
  <c r="G372" i="1" s="1"/>
  <c r="H372" i="1" s="1"/>
  <c r="I372" i="1" s="1"/>
  <c r="I352" i="1"/>
  <c r="I350" i="1" s="1"/>
  <c r="I302" i="1"/>
  <c r="H1143" i="3"/>
  <c r="I328" i="1"/>
  <c r="I293" i="1" l="1"/>
  <c r="I304" i="1"/>
  <c r="I301" i="1" s="1"/>
  <c r="H1145" i="3"/>
  <c r="H160" i="7"/>
  <c r="I335" i="1"/>
  <c r="H1168" i="3"/>
  <c r="I298" i="1"/>
  <c r="H1162" i="3"/>
  <c r="H1156" i="3"/>
  <c r="I291" i="1" l="1"/>
  <c r="I342" i="1"/>
  <c r="I327" i="1" l="1"/>
  <c r="A407" i="3"/>
  <c r="B407" i="3"/>
  <c r="H410" i="3"/>
  <c r="H409" i="3"/>
  <c r="H411" i="3" s="1"/>
  <c r="F93" i="1" s="1"/>
  <c r="E397" i="3"/>
  <c r="H397" i="3" s="1"/>
  <c r="E396" i="3"/>
  <c r="H396" i="3" s="1"/>
  <c r="E399" i="3"/>
  <c r="H399" i="3" s="1"/>
  <c r="B412" i="3"/>
  <c r="A412" i="3"/>
  <c r="B402" i="3"/>
  <c r="A402" i="3"/>
  <c r="B394" i="3"/>
  <c r="A394" i="3"/>
  <c r="H415" i="3"/>
  <c r="H414" i="3"/>
  <c r="H416" i="3" s="1"/>
  <c r="F94" i="1" s="1"/>
  <c r="H405" i="3"/>
  <c r="H404" i="3"/>
  <c r="H406" i="3" s="1"/>
  <c r="F92" i="1" s="1"/>
  <c r="H400" i="3"/>
  <c r="E422" i="3"/>
  <c r="H422" i="3" s="1"/>
  <c r="H420" i="3"/>
  <c r="H419" i="3"/>
  <c r="F386" i="3"/>
  <c r="E386" i="3"/>
  <c r="F384" i="3"/>
  <c r="E384" i="3"/>
  <c r="F383" i="3"/>
  <c r="E383" i="3"/>
  <c r="G376" i="3"/>
  <c r="E378" i="3"/>
  <c r="F376" i="3"/>
  <c r="E376" i="3"/>
  <c r="G375" i="3"/>
  <c r="F375" i="3"/>
  <c r="E375" i="3"/>
  <c r="H137" i="7"/>
  <c r="H136" i="7"/>
  <c r="H135" i="7"/>
  <c r="H134" i="7"/>
  <c r="H129" i="7"/>
  <c r="H128" i="7"/>
  <c r="H384" i="3" l="1"/>
  <c r="H386" i="3"/>
  <c r="H401" i="3"/>
  <c r="F91" i="1" s="1"/>
  <c r="I93" i="1"/>
  <c r="H424" i="3"/>
  <c r="F95" i="1" s="1"/>
  <c r="H383" i="3"/>
  <c r="H138" i="7"/>
  <c r="H130" i="7"/>
  <c r="H139" i="7" s="1"/>
  <c r="C442" i="3"/>
  <c r="C441" i="3"/>
  <c r="E308" i="3"/>
  <c r="H140" i="7" l="1"/>
  <c r="G371" i="1"/>
  <c r="H371" i="1" s="1"/>
  <c r="I371" i="1" s="1"/>
  <c r="I370" i="1" s="1"/>
  <c r="K365" i="1" s="1"/>
  <c r="H388" i="3"/>
  <c r="F89" i="1" s="1"/>
  <c r="I94" i="1" l="1"/>
  <c r="I91" i="1"/>
  <c r="I92" i="1"/>
  <c r="D1190" i="3"/>
  <c r="H1190" i="3" s="1"/>
  <c r="D1185" i="3"/>
  <c r="H1185" i="3" s="1"/>
  <c r="I339" i="1" s="1"/>
  <c r="D1196" i="3"/>
  <c r="D1180" i="3"/>
  <c r="H1180" i="3" s="1"/>
  <c r="I338" i="1" s="1"/>
  <c r="B1188" i="3"/>
  <c r="A1188" i="3"/>
  <c r="B1183" i="3"/>
  <c r="A1183" i="3"/>
  <c r="B1178" i="3"/>
  <c r="A1178" i="3"/>
  <c r="H1191" i="3"/>
  <c r="H1186" i="3"/>
  <c r="I340" i="1" s="1"/>
  <c r="H1181" i="3"/>
  <c r="H1174" i="3"/>
  <c r="B1165" i="3"/>
  <c r="A1165" i="3"/>
  <c r="B1159" i="3"/>
  <c r="A1159" i="3"/>
  <c r="B1153" i="3"/>
  <c r="A1153" i="3"/>
  <c r="H1169" i="3"/>
  <c r="H1167" i="3"/>
  <c r="H1170" i="3" s="1"/>
  <c r="H1163" i="3"/>
  <c r="H1161" i="3"/>
  <c r="H1164" i="3" s="1"/>
  <c r="H1157" i="3"/>
  <c r="H1155" i="3"/>
  <c r="H1158" i="3" s="1"/>
  <c r="F1123" i="3"/>
  <c r="H1149" i="3"/>
  <c r="B1141" i="3"/>
  <c r="A1141" i="3"/>
  <c r="B1136" i="3"/>
  <c r="A1136" i="3"/>
  <c r="B1131" i="3"/>
  <c r="A1131" i="3"/>
  <c r="H1144" i="3"/>
  <c r="H1139" i="3"/>
  <c r="I290" i="1" s="1"/>
  <c r="I282" i="1" s="1"/>
  <c r="H1138" i="3"/>
  <c r="H1140" i="3" s="1"/>
  <c r="I326" i="1" s="1"/>
  <c r="H1134" i="3"/>
  <c r="H1133" i="3"/>
  <c r="H1135" i="3" s="1"/>
  <c r="I325" i="1" s="1"/>
  <c r="I322" i="1" s="1"/>
  <c r="B1094" i="3"/>
  <c r="A1094" i="3"/>
  <c r="B1089" i="3"/>
  <c r="A1089" i="3"/>
  <c r="B1084" i="3"/>
  <c r="A1084" i="3"/>
  <c r="H1097" i="3"/>
  <c r="H1096" i="3"/>
  <c r="H1098" i="3" s="1"/>
  <c r="H1092" i="3"/>
  <c r="H1091" i="3"/>
  <c r="H1093" i="3" s="1"/>
  <c r="H1087" i="3"/>
  <c r="H1086" i="3"/>
  <c r="H1088" i="3" s="1"/>
  <c r="H212" i="3"/>
  <c r="B205" i="3"/>
  <c r="A205" i="3"/>
  <c r="H208" i="3"/>
  <c r="H207" i="3"/>
  <c r="H209" i="3" s="1"/>
  <c r="F51" i="1" s="1"/>
  <c r="B200" i="3"/>
  <c r="A200" i="3"/>
  <c r="B195" i="3"/>
  <c r="A195" i="3"/>
  <c r="B190" i="3"/>
  <c r="A190" i="3"/>
  <c r="H203" i="3"/>
  <c r="H202" i="3"/>
  <c r="H204" i="3" s="1"/>
  <c r="F50" i="1" s="1"/>
  <c r="H198" i="3"/>
  <c r="H197" i="3"/>
  <c r="H199" i="3" s="1"/>
  <c r="F49" i="1" s="1"/>
  <c r="H193" i="3"/>
  <c r="H192" i="3"/>
  <c r="H194" i="3" s="1"/>
  <c r="F48" i="1" s="1"/>
  <c r="H186" i="3"/>
  <c r="H188" i="3" s="1"/>
  <c r="B179" i="3"/>
  <c r="A179" i="3"/>
  <c r="B174" i="3"/>
  <c r="A174" i="3"/>
  <c r="B169" i="3"/>
  <c r="A169" i="3"/>
  <c r="H182" i="3"/>
  <c r="H181" i="3"/>
  <c r="H183" i="3" s="1"/>
  <c r="F45" i="1" s="1"/>
  <c r="H177" i="3"/>
  <c r="H176" i="3"/>
  <c r="H178" i="3" s="1"/>
  <c r="F44" i="1" s="1"/>
  <c r="H172" i="3"/>
  <c r="H171" i="3"/>
  <c r="H173" i="3" s="1"/>
  <c r="F43" i="1" s="1"/>
  <c r="H147" i="3"/>
  <c r="H149" i="3" s="1"/>
  <c r="F37" i="1" s="1"/>
  <c r="B150" i="3"/>
  <c r="A150" i="3"/>
  <c r="H153" i="3"/>
  <c r="H152" i="3"/>
  <c r="H154" i="3" s="1"/>
  <c r="F38" i="1" s="1"/>
  <c r="B145" i="3"/>
  <c r="A145" i="3"/>
  <c r="B140" i="3"/>
  <c r="A140" i="3"/>
  <c r="B135" i="3"/>
  <c r="A135" i="3"/>
  <c r="H148" i="3"/>
  <c r="H143" i="3"/>
  <c r="H142" i="3"/>
  <c r="H144" i="3" s="1"/>
  <c r="F36" i="1" s="1"/>
  <c r="H138" i="3"/>
  <c r="H137" i="3"/>
  <c r="H139" i="3" s="1"/>
  <c r="F35" i="1" s="1"/>
  <c r="B96" i="3"/>
  <c r="A96" i="3"/>
  <c r="B91" i="3"/>
  <c r="A91" i="3"/>
  <c r="B86" i="3"/>
  <c r="A86" i="3"/>
  <c r="H99" i="3"/>
  <c r="H94" i="3"/>
  <c r="H89" i="3"/>
  <c r="I332" i="1" l="1"/>
  <c r="H1192" i="3"/>
  <c r="F266" i="1" s="1"/>
  <c r="I266" i="1" s="1"/>
  <c r="H1187" i="3"/>
  <c r="F265" i="1" s="1"/>
  <c r="I265" i="1" s="1"/>
  <c r="H1182" i="3"/>
  <c r="F264" i="1" s="1"/>
  <c r="I264" i="1" s="1"/>
  <c r="F256" i="1"/>
  <c r="I256" i="1" s="1"/>
  <c r="F254" i="1"/>
  <c r="I254" i="1" s="1"/>
  <c r="F255" i="1"/>
  <c r="I255" i="1" s="1"/>
  <c r="F261" i="1"/>
  <c r="I261" i="1" s="1"/>
  <c r="F260" i="1"/>
  <c r="I260" i="1" s="1"/>
  <c r="F259" i="1"/>
  <c r="I259" i="1" s="1"/>
  <c r="F247" i="1"/>
  <c r="I247" i="1" s="1"/>
  <c r="F246" i="1"/>
  <c r="I246" i="1" s="1"/>
  <c r="F245" i="1"/>
  <c r="I245" i="1" s="1"/>
  <c r="H12" i="3"/>
  <c r="E569" i="3"/>
  <c r="B330" i="3"/>
  <c r="A330" i="3"/>
  <c r="H333" i="3"/>
  <c r="H332" i="3"/>
  <c r="H334" i="3" s="1"/>
  <c r="F77" i="1" s="1"/>
  <c r="E253" i="3" l="1"/>
  <c r="E243" i="3"/>
  <c r="E238" i="3"/>
  <c r="E236" i="3"/>
  <c r="H113" i="7"/>
  <c r="B42" i="3"/>
  <c r="A42" i="3"/>
  <c r="H45" i="3"/>
  <c r="H44" i="3"/>
  <c r="H46" i="3" s="1"/>
  <c r="F16" i="1" s="1"/>
  <c r="I48" i="1" l="1"/>
  <c r="I37" i="1"/>
  <c r="I50" i="1"/>
  <c r="I36" i="1"/>
  <c r="I49" i="1"/>
  <c r="I44" i="1"/>
  <c r="I51" i="1"/>
  <c r="H114" i="7"/>
  <c r="H119" i="7" s="1"/>
  <c r="I43" i="1"/>
  <c r="I45" i="1"/>
  <c r="I35" i="1"/>
  <c r="I38" i="1"/>
  <c r="I16" i="1"/>
  <c r="H120" i="7" l="1"/>
  <c r="G8" i="1"/>
  <c r="H8" i="1" s="1"/>
  <c r="H62" i="7" l="1"/>
  <c r="H61" i="7"/>
  <c r="B992" i="3" l="1"/>
  <c r="A992" i="3"/>
  <c r="H995" i="3"/>
  <c r="I222" i="1" s="1"/>
  <c r="H994" i="3"/>
  <c r="H996" i="3" s="1"/>
  <c r="F223" i="1" s="1"/>
  <c r="I223" i="1" l="1"/>
  <c r="B1024" i="3"/>
  <c r="A1024" i="3"/>
  <c r="B1019" i="3"/>
  <c r="A1019" i="3"/>
  <c r="H1027" i="3"/>
  <c r="H1026" i="3"/>
  <c r="H1028" i="3" s="1"/>
  <c r="F231" i="1" s="1"/>
  <c r="H1022" i="3"/>
  <c r="H1021" i="3"/>
  <c r="H1023" i="3" s="1"/>
  <c r="F230" i="1" s="1"/>
  <c r="B960" i="3"/>
  <c r="A960" i="3"/>
  <c r="H963" i="3"/>
  <c r="H962" i="3"/>
  <c r="H964" i="3" s="1"/>
  <c r="F215" i="1" s="1"/>
  <c r="B868" i="3"/>
  <c r="A868" i="3"/>
  <c r="H871" i="3"/>
  <c r="H870" i="3"/>
  <c r="H872" i="3" s="1"/>
  <c r="F198" i="1" s="1"/>
  <c r="I198" i="1" l="1"/>
  <c r="I215" i="1" l="1"/>
  <c r="I230" i="1"/>
  <c r="H102" i="7" l="1"/>
  <c r="H101" i="7"/>
  <c r="H96" i="7"/>
  <c r="H97" i="7" s="1"/>
  <c r="H85" i="7"/>
  <c r="H86" i="7" s="1"/>
  <c r="H80" i="7"/>
  <c r="H79" i="7"/>
  <c r="H68" i="7"/>
  <c r="H67" i="7"/>
  <c r="H66" i="7"/>
  <c r="H65" i="7"/>
  <c r="H60" i="7"/>
  <c r="H59" i="7"/>
  <c r="H56" i="7"/>
  <c r="H55" i="7"/>
  <c r="H54" i="7"/>
  <c r="B340" i="3"/>
  <c r="A340" i="3"/>
  <c r="H343" i="3"/>
  <c r="H342" i="3"/>
  <c r="H344" i="3" s="1"/>
  <c r="F79" i="1" s="1"/>
  <c r="H81" i="7" l="1"/>
  <c r="H87" i="7" s="1"/>
  <c r="H57" i="7"/>
  <c r="H63" i="7"/>
  <c r="H103" i="7"/>
  <c r="H104" i="7" s="1"/>
  <c r="H69" i="7"/>
  <c r="I231" i="1"/>
  <c r="I79" i="1"/>
  <c r="H105" i="7" l="1"/>
  <c r="G182" i="1"/>
  <c r="H182" i="1" s="1"/>
  <c r="H88" i="7"/>
  <c r="G228" i="1"/>
  <c r="H228" i="1" s="1"/>
  <c r="H70" i="7"/>
  <c r="G98" i="1" s="1"/>
  <c r="H98" i="1" s="1"/>
  <c r="H1176" i="3"/>
  <c r="F106" i="3"/>
  <c r="E106" i="3"/>
  <c r="F105" i="3"/>
  <c r="E105" i="3"/>
  <c r="H104" i="3"/>
  <c r="G70" i="3"/>
  <c r="G68" i="3"/>
  <c r="G69" i="3"/>
  <c r="F78" i="3"/>
  <c r="E78" i="3"/>
  <c r="F77" i="3"/>
  <c r="E77" i="3"/>
  <c r="F76" i="3"/>
  <c r="E76" i="3"/>
  <c r="F69" i="3"/>
  <c r="E69" i="3"/>
  <c r="H43" i="7"/>
  <c r="H44" i="7" s="1"/>
  <c r="H40" i="7"/>
  <c r="H41" i="7" s="1"/>
  <c r="H37" i="7"/>
  <c r="H36" i="7"/>
  <c r="H71" i="7" l="1"/>
  <c r="H38" i="7"/>
  <c r="H45" i="7" s="1"/>
  <c r="G312" i="1" s="1"/>
  <c r="H312" i="1" s="1"/>
  <c r="I312" i="1" s="1"/>
  <c r="I311" i="1" s="1"/>
  <c r="H105" i="3"/>
  <c r="H76" i="3"/>
  <c r="H106" i="3"/>
  <c r="H77" i="3"/>
  <c r="H78" i="3"/>
  <c r="H69" i="3"/>
  <c r="H46" i="7" l="1"/>
  <c r="H80" i="3"/>
  <c r="H108" i="3"/>
  <c r="B481" i="3" l="1"/>
  <c r="A481" i="3"/>
  <c r="H484" i="3"/>
  <c r="H483" i="3"/>
  <c r="H485" i="3" s="1"/>
  <c r="F111" i="1" s="1"/>
  <c r="I111" i="1" l="1"/>
  <c r="G574" i="3"/>
  <c r="G568" i="3"/>
  <c r="D326" i="3"/>
  <c r="D318" i="3"/>
  <c r="E224" i="3"/>
  <c r="B17" i="3"/>
  <c r="A17" i="3"/>
  <c r="H20" i="3"/>
  <c r="H19" i="3"/>
  <c r="H21" i="3" s="1"/>
  <c r="F11" i="1" s="1"/>
  <c r="I11" i="1" l="1"/>
  <c r="H777" i="3" l="1"/>
  <c r="H779" i="3" s="1"/>
  <c r="F178" i="1" s="1"/>
  <c r="H771" i="3"/>
  <c r="H773" i="3" s="1"/>
  <c r="F176" i="1" s="1"/>
  <c r="B775" i="3"/>
  <c r="A775" i="3"/>
  <c r="B774" i="3"/>
  <c r="A774" i="3"/>
  <c r="H778" i="3"/>
  <c r="B769" i="3"/>
  <c r="A769" i="3"/>
  <c r="B768" i="3"/>
  <c r="A768" i="3"/>
  <c r="H772" i="3"/>
  <c r="G567" i="3"/>
  <c r="H538" i="3"/>
  <c r="E534" i="3"/>
  <c r="H534" i="3" s="1"/>
  <c r="E533" i="3"/>
  <c r="H533" i="3" s="1"/>
  <c r="B531" i="3"/>
  <c r="A531" i="3"/>
  <c r="B530" i="3"/>
  <c r="A530" i="3"/>
  <c r="H539" i="3"/>
  <c r="B1050" i="3"/>
  <c r="A1050" i="3"/>
  <c r="H1053" i="3"/>
  <c r="H1052" i="3"/>
  <c r="H1054" i="3" s="1"/>
  <c r="F237" i="1" s="1"/>
  <c r="B463" i="3"/>
  <c r="A463" i="3"/>
  <c r="B462" i="3"/>
  <c r="A462" i="3"/>
  <c r="H466" i="3"/>
  <c r="H465" i="3"/>
  <c r="H467" i="3" s="1"/>
  <c r="F106" i="1" s="1"/>
  <c r="B1852" i="3"/>
  <c r="A1852" i="3"/>
  <c r="H1855" i="3"/>
  <c r="H1854" i="3"/>
  <c r="H1856" i="3" s="1"/>
  <c r="F389" i="1" s="1"/>
  <c r="B1847" i="3"/>
  <c r="A1847" i="3"/>
  <c r="H1850" i="3"/>
  <c r="H1849" i="3"/>
  <c r="B1842" i="3"/>
  <c r="A1842" i="3"/>
  <c r="H1845" i="3"/>
  <c r="H1844" i="3"/>
  <c r="B1837" i="3"/>
  <c r="A1837" i="3"/>
  <c r="H1840" i="3"/>
  <c r="H1839" i="3"/>
  <c r="B1832" i="3"/>
  <c r="A1832" i="3"/>
  <c r="B1831" i="3"/>
  <c r="A1831" i="3"/>
  <c r="B1815" i="3"/>
  <c r="A1815" i="3"/>
  <c r="B671" i="3"/>
  <c r="A671" i="3"/>
  <c r="A677" i="3"/>
  <c r="B677" i="3"/>
  <c r="H680" i="3"/>
  <c r="I155" i="1" s="1"/>
  <c r="H679" i="3"/>
  <c r="H681" i="3" s="1"/>
  <c r="F156" i="1" s="1"/>
  <c r="B1055" i="3"/>
  <c r="A1055" i="3"/>
  <c r="H1058" i="3"/>
  <c r="H1057" i="3"/>
  <c r="H1059" i="3" s="1"/>
  <c r="F238" i="1" s="1"/>
  <c r="B1040" i="3"/>
  <c r="A1040" i="3"/>
  <c r="H1043" i="3"/>
  <c r="H1042" i="3"/>
  <c r="H1044" i="3" s="1"/>
  <c r="F235" i="1" s="1"/>
  <c r="H1846" i="3" l="1"/>
  <c r="F387" i="1" s="1"/>
  <c r="H1851" i="3"/>
  <c r="F388" i="1" s="1"/>
  <c r="H1841" i="3"/>
  <c r="F386" i="1" s="1"/>
  <c r="H540" i="3"/>
  <c r="F124" i="1" s="1"/>
  <c r="I124" i="1" s="1"/>
  <c r="I123" i="1" s="1"/>
  <c r="I176" i="1"/>
  <c r="I175" i="1" s="1"/>
  <c r="I34" i="9" s="1"/>
  <c r="I237" i="1"/>
  <c r="I156" i="1"/>
  <c r="I154" i="1" s="1"/>
  <c r="I238" i="1"/>
  <c r="I32" i="9" l="1"/>
  <c r="B1060" i="3"/>
  <c r="A1060" i="3"/>
  <c r="H1063" i="3"/>
  <c r="H1062" i="3"/>
  <c r="H1064" i="3" s="1"/>
  <c r="F239" i="1" s="1"/>
  <c r="B1045" i="3"/>
  <c r="A1045" i="3"/>
  <c r="B1035" i="3"/>
  <c r="A1035" i="3"/>
  <c r="B1034" i="3"/>
  <c r="A1034" i="3"/>
  <c r="H1048" i="3"/>
  <c r="H1047" i="3"/>
  <c r="H1049" i="3" s="1"/>
  <c r="F236" i="1" s="1"/>
  <c r="H1038" i="3"/>
  <c r="H1037" i="3"/>
  <c r="H1039" i="3" s="1"/>
  <c r="F234" i="1" s="1"/>
  <c r="I388" i="1" l="1"/>
  <c r="I389" i="1"/>
  <c r="I234" i="1"/>
  <c r="I239" i="1"/>
  <c r="I236" i="1"/>
  <c r="H25" i="7" l="1"/>
  <c r="H24" i="7"/>
  <c r="H23" i="7"/>
  <c r="H22" i="7"/>
  <c r="H21" i="7"/>
  <c r="H20" i="7"/>
  <c r="H17" i="7"/>
  <c r="H16" i="7"/>
  <c r="H15" i="7"/>
  <c r="H14" i="7"/>
  <c r="H13" i="7"/>
  <c r="H12" i="7"/>
  <c r="H9" i="7"/>
  <c r="H8" i="7"/>
  <c r="H7" i="7"/>
  <c r="H26" i="7" l="1"/>
  <c r="H18" i="7"/>
  <c r="H10" i="7"/>
  <c r="H1835" i="3"/>
  <c r="I387" i="1" s="1"/>
  <c r="H1834" i="3"/>
  <c r="H1836" i="3" s="1"/>
  <c r="F385" i="1" s="1"/>
  <c r="H27" i="7" l="1"/>
  <c r="E121" i="3"/>
  <c r="F70" i="3"/>
  <c r="E70" i="3"/>
  <c r="H802" i="3"/>
  <c r="H801" i="3"/>
  <c r="H800" i="3"/>
  <c r="H28" i="7" l="1"/>
  <c r="G106" i="1"/>
  <c r="H106" i="1" s="1"/>
  <c r="E127" i="3"/>
  <c r="H70" i="3"/>
  <c r="H570" i="3"/>
  <c r="H569" i="3"/>
  <c r="H326" i="3"/>
  <c r="H325" i="3"/>
  <c r="H324" i="3"/>
  <c r="H323" i="3"/>
  <c r="I106" i="1" l="1"/>
  <c r="I105" i="1" s="1"/>
  <c r="I22" i="9" s="1"/>
  <c r="H328" i="3"/>
  <c r="D500" i="3" s="1"/>
  <c r="D507" i="3" l="1"/>
  <c r="D551" i="3"/>
  <c r="H823" i="3"/>
  <c r="H825" i="3" s="1"/>
  <c r="F187" i="1" s="1"/>
  <c r="B821" i="3"/>
  <c r="A821" i="3"/>
  <c r="H824" i="3"/>
  <c r="I187" i="1" l="1"/>
  <c r="H576" i="3"/>
  <c r="H575" i="3"/>
  <c r="H574" i="3"/>
  <c r="E568" i="3"/>
  <c r="H527" i="3"/>
  <c r="H526" i="3"/>
  <c r="H258" i="3"/>
  <c r="H259" i="3"/>
  <c r="H257" i="3"/>
  <c r="H231" i="3"/>
  <c r="H230" i="3"/>
  <c r="H229" i="3"/>
  <c r="D16" i="8"/>
  <c r="D14" i="6" l="1"/>
  <c r="D19" i="6" s="1"/>
  <c r="A6" i="6"/>
  <c r="A5" i="6"/>
  <c r="D14" i="5"/>
  <c r="D19" i="5" s="1"/>
  <c r="A6" i="5"/>
  <c r="A5" i="5"/>
  <c r="E798" i="3" l="1"/>
  <c r="H798" i="3" s="1"/>
  <c r="H805" i="3" s="1"/>
  <c r="B796" i="3"/>
  <c r="A796" i="3"/>
  <c r="H804" i="3"/>
  <c r="F378" i="3"/>
  <c r="H442" i="3"/>
  <c r="H454" i="3"/>
  <c r="H1005" i="3"/>
  <c r="H1000" i="3"/>
  <c r="H978" i="3"/>
  <c r="H973" i="3"/>
  <c r="H946" i="3"/>
  <c r="H945" i="3"/>
  <c r="H944" i="3"/>
  <c r="H937" i="3"/>
  <c r="H936" i="3"/>
  <c r="H929" i="3"/>
  <c r="H928" i="3"/>
  <c r="H927" i="3"/>
  <c r="H920" i="3"/>
  <c r="H919" i="3"/>
  <c r="H1828" i="3"/>
  <c r="H1823" i="3"/>
  <c r="H1818" i="3"/>
  <c r="F183" i="1" l="1"/>
  <c r="I183" i="1" s="1"/>
  <c r="H378" i="3"/>
  <c r="H376" i="3"/>
  <c r="H939" i="3"/>
  <c r="F210" i="1" s="1"/>
  <c r="H948" i="3"/>
  <c r="F211" i="1" s="1"/>
  <c r="H931" i="3"/>
  <c r="F209" i="1" s="1"/>
  <c r="D1241" i="3"/>
  <c r="C1241" i="3"/>
  <c r="E1240" i="3"/>
  <c r="H1240" i="3" s="1"/>
  <c r="D1239" i="3"/>
  <c r="C1239" i="3"/>
  <c r="E1234" i="3"/>
  <c r="H1234" i="3" s="1"/>
  <c r="E1235" i="3"/>
  <c r="H1235" i="3" s="1"/>
  <c r="E1236" i="3"/>
  <c r="H1236" i="3" s="1"/>
  <c r="E1237" i="3"/>
  <c r="H1237" i="3" s="1"/>
  <c r="E1238" i="3"/>
  <c r="H1238" i="3" s="1"/>
  <c r="E1233" i="3"/>
  <c r="H1233" i="3" s="1"/>
  <c r="I349" i="1" s="1"/>
  <c r="C1226" i="3"/>
  <c r="H1226" i="3" s="1"/>
  <c r="G1220" i="3"/>
  <c r="C1220" i="3"/>
  <c r="C1214" i="3"/>
  <c r="E1214" i="3"/>
  <c r="H1221" i="3"/>
  <c r="E1213" i="3"/>
  <c r="G1213" i="3"/>
  <c r="G1212" i="3"/>
  <c r="E1212" i="3"/>
  <c r="E1211" i="3"/>
  <c r="H1211" i="3" s="1"/>
  <c r="I346" i="1" s="1"/>
  <c r="E1210" i="3"/>
  <c r="H1210" i="3" s="1"/>
  <c r="H1241" i="3" l="1"/>
  <c r="H1239" i="3"/>
  <c r="H1220" i="3"/>
  <c r="H1214" i="3"/>
  <c r="H1213" i="3"/>
  <c r="H1212" i="3"/>
  <c r="E1123" i="3"/>
  <c r="E1117" i="3"/>
  <c r="G1117" i="3"/>
  <c r="F1117" i="3"/>
  <c r="H1222" i="3" l="1"/>
  <c r="I348" i="1"/>
  <c r="I344" i="1" s="1"/>
  <c r="K322" i="1" s="1"/>
  <c r="H1243" i="3"/>
  <c r="H1216" i="3"/>
  <c r="H1196" i="3"/>
  <c r="H1151" i="3"/>
  <c r="H1123" i="3"/>
  <c r="H1125" i="3" s="1"/>
  <c r="C1110" i="3"/>
  <c r="H1110" i="3" s="1"/>
  <c r="G1102" i="3"/>
  <c r="F1102" i="3"/>
  <c r="E1102" i="3"/>
  <c r="F1076" i="3"/>
  <c r="E1076" i="3"/>
  <c r="C1076" i="3"/>
  <c r="C1070" i="3"/>
  <c r="F1070" i="3"/>
  <c r="E1070" i="3"/>
  <c r="D1128" i="3" l="1"/>
  <c r="H1128" i="3" s="1"/>
  <c r="F262" i="1"/>
  <c r="D1246" i="3"/>
  <c r="H1117" i="3"/>
  <c r="H1076" i="3"/>
  <c r="H1102" i="3"/>
  <c r="H1070" i="3"/>
  <c r="B846" i="3"/>
  <c r="A846" i="3"/>
  <c r="H849" i="3"/>
  <c r="H848" i="3"/>
  <c r="H850" i="3" s="1"/>
  <c r="F192" i="1" s="1"/>
  <c r="E793" i="3" l="1"/>
  <c r="E788" i="3"/>
  <c r="H783" i="3"/>
  <c r="I178" i="1" s="1"/>
  <c r="I177" i="1" s="1"/>
  <c r="I35" i="9" s="1"/>
  <c r="H598" i="3"/>
  <c r="H568" i="3"/>
  <c r="E567" i="3"/>
  <c r="H567" i="3" s="1"/>
  <c r="H522" i="3"/>
  <c r="H521" i="3"/>
  <c r="H520" i="3"/>
  <c r="H514" i="3"/>
  <c r="H513" i="3"/>
  <c r="E512" i="3"/>
  <c r="H512" i="3" s="1"/>
  <c r="H473" i="3"/>
  <c r="B470" i="3"/>
  <c r="A470" i="3"/>
  <c r="H474" i="3"/>
  <c r="H472" i="3"/>
  <c r="E363" i="3"/>
  <c r="I235" i="1" l="1"/>
  <c r="H475" i="3"/>
  <c r="F109" i="1" s="1"/>
  <c r="H578" i="3"/>
  <c r="H529" i="3"/>
  <c r="H375" i="3"/>
  <c r="H318" i="3"/>
  <c r="H317" i="3"/>
  <c r="H315" i="3"/>
  <c r="H309" i="3"/>
  <c r="I233" i="1" l="1"/>
  <c r="I45" i="9" s="1"/>
  <c r="H380" i="3"/>
  <c r="D586" i="3"/>
  <c r="D581" i="3"/>
  <c r="C429" i="3"/>
  <c r="H429" i="3" s="1"/>
  <c r="D391" i="3"/>
  <c r="H251" i="3"/>
  <c r="H250" i="3"/>
  <c r="H252" i="3"/>
  <c r="H243" i="3"/>
  <c r="H238" i="3"/>
  <c r="H236" i="3"/>
  <c r="H237" i="3"/>
  <c r="C427" i="3" l="1"/>
  <c r="F88" i="1"/>
  <c r="H240" i="3"/>
  <c r="H225" i="3" l="1"/>
  <c r="F127" i="3" l="1"/>
  <c r="H157" i="3" l="1"/>
  <c r="G121" i="3"/>
  <c r="F121" i="3"/>
  <c r="H114" i="3"/>
  <c r="F68" i="3" l="1"/>
  <c r="E68" i="3"/>
  <c r="H49" i="3"/>
  <c r="H39" i="3"/>
  <c r="D83" i="3" l="1"/>
  <c r="F24" i="1"/>
  <c r="I24" i="1" s="1"/>
  <c r="B1826" i="3"/>
  <c r="A1826" i="3"/>
  <c r="B1821" i="3"/>
  <c r="A1821" i="3"/>
  <c r="B1816" i="3"/>
  <c r="A1816" i="3"/>
  <c r="B1814" i="3"/>
  <c r="A1814" i="3"/>
  <c r="B1269" i="3"/>
  <c r="A1269" i="3"/>
  <c r="B1264" i="3"/>
  <c r="A1264" i="3"/>
  <c r="B1250" i="3"/>
  <c r="A1250" i="3"/>
  <c r="B1249" i="3"/>
  <c r="A1249" i="3"/>
  <c r="B1244" i="3"/>
  <c r="A1244" i="3"/>
  <c r="B1230" i="3"/>
  <c r="A1230" i="3"/>
  <c r="B1229" i="3"/>
  <c r="A1229" i="3"/>
  <c r="B1223" i="3"/>
  <c r="A1223" i="3"/>
  <c r="B1217" i="3"/>
  <c r="A1217" i="3"/>
  <c r="B1207" i="3"/>
  <c r="A1207" i="3"/>
  <c r="B1206" i="3"/>
  <c r="A1206" i="3"/>
  <c r="B1200" i="3"/>
  <c r="A1200" i="3"/>
  <c r="B1199" i="3"/>
  <c r="A1199" i="3"/>
  <c r="B1193" i="3"/>
  <c r="A1193" i="3"/>
  <c r="B1177" i="3"/>
  <c r="A1177" i="3"/>
  <c r="B1171" i="3"/>
  <c r="A1171" i="3"/>
  <c r="B1152" i="3"/>
  <c r="A1152" i="3"/>
  <c r="B1146" i="3"/>
  <c r="A1146" i="3"/>
  <c r="B1126" i="3"/>
  <c r="A1126" i="3"/>
  <c r="B1120" i="3"/>
  <c r="A1120" i="3"/>
  <c r="B1114" i="3"/>
  <c r="A1114" i="3"/>
  <c r="B1113" i="3"/>
  <c r="A1113" i="3"/>
  <c r="B1105" i="3"/>
  <c r="A1105" i="3"/>
  <c r="B1099" i="3"/>
  <c r="A1099" i="3"/>
  <c r="B1079" i="3"/>
  <c r="A1079" i="3"/>
  <c r="B1073" i="3"/>
  <c r="A1073" i="3"/>
  <c r="B1067" i="3"/>
  <c r="A1067" i="3"/>
  <c r="B1066" i="3"/>
  <c r="A1066" i="3"/>
  <c r="B1065" i="3"/>
  <c r="A1065" i="3"/>
  <c r="B1014" i="3"/>
  <c r="A1014" i="3"/>
  <c r="B1009" i="3"/>
  <c r="A1009" i="3"/>
  <c r="B1008" i="3"/>
  <c r="A1008" i="3"/>
  <c r="B1003" i="3"/>
  <c r="A1003" i="3"/>
  <c r="H1006" i="3"/>
  <c r="H1007" i="3"/>
  <c r="B998" i="3"/>
  <c r="A998" i="3"/>
  <c r="B997" i="3"/>
  <c r="A997" i="3"/>
  <c r="B982" i="3"/>
  <c r="A982" i="3"/>
  <c r="B981" i="3"/>
  <c r="A981" i="3"/>
  <c r="B976" i="3"/>
  <c r="A976" i="3"/>
  <c r="B971" i="3"/>
  <c r="A971" i="3"/>
  <c r="B966" i="3"/>
  <c r="A966" i="3"/>
  <c r="B965" i="3"/>
  <c r="A965" i="3"/>
  <c r="B955" i="3"/>
  <c r="A955" i="3"/>
  <c r="B950" i="3"/>
  <c r="A950" i="3"/>
  <c r="B949" i="3"/>
  <c r="A949" i="3"/>
  <c r="B940" i="3"/>
  <c r="A940" i="3"/>
  <c r="B932" i="3"/>
  <c r="A932" i="3"/>
  <c r="B923" i="3"/>
  <c r="A923" i="3"/>
  <c r="B914" i="3"/>
  <c r="A914" i="3"/>
  <c r="B913" i="3"/>
  <c r="A913" i="3"/>
  <c r="B908" i="3"/>
  <c r="A908" i="3"/>
  <c r="B898" i="3"/>
  <c r="A898" i="3"/>
  <c r="B893" i="3"/>
  <c r="A893" i="3"/>
  <c r="B888" i="3"/>
  <c r="A888" i="3"/>
  <c r="B878" i="3"/>
  <c r="A878" i="3"/>
  <c r="B873" i="3"/>
  <c r="A873" i="3"/>
  <c r="B867" i="3"/>
  <c r="A867" i="3"/>
  <c r="B866" i="3"/>
  <c r="A866" i="3"/>
  <c r="H1829" i="3"/>
  <c r="I386" i="1" s="1"/>
  <c r="H1830" i="3"/>
  <c r="F383" i="1" s="1"/>
  <c r="I383" i="1" s="1"/>
  <c r="H1824" i="3"/>
  <c r="I385" i="1" s="1"/>
  <c r="H1825" i="3"/>
  <c r="F382" i="1" s="1"/>
  <c r="I382" i="1" s="1"/>
  <c r="H1819" i="3"/>
  <c r="H1820" i="3"/>
  <c r="H1272" i="3"/>
  <c r="H1271" i="3"/>
  <c r="H1267" i="3"/>
  <c r="H1268" i="3" s="1"/>
  <c r="I321" i="1" s="1"/>
  <c r="H1262" i="3"/>
  <c r="F278" i="1"/>
  <c r="I278" i="1" s="1"/>
  <c r="H1247" i="3"/>
  <c r="H1246" i="3"/>
  <c r="H1242" i="3"/>
  <c r="F275" i="1"/>
  <c r="I275" i="1" s="1"/>
  <c r="H1227" i="3"/>
  <c r="H1228" i="3"/>
  <c r="I310" i="1" s="1"/>
  <c r="I306" i="1" s="1"/>
  <c r="F272" i="1"/>
  <c r="I272" i="1" s="1"/>
  <c r="H1215" i="3"/>
  <c r="F271" i="1"/>
  <c r="I271" i="1" s="1"/>
  <c r="H1204" i="3"/>
  <c r="H1203" i="3"/>
  <c r="H1205" i="3" s="1"/>
  <c r="H1197" i="3"/>
  <c r="H1198" i="3" s="1"/>
  <c r="F267" i="1" s="1"/>
  <c r="I267" i="1" s="1"/>
  <c r="I263" i="1" s="1"/>
  <c r="H1175" i="3"/>
  <c r="I262" i="1"/>
  <c r="I258" i="1" s="1"/>
  <c r="F257" i="1"/>
  <c r="I257" i="1" s="1"/>
  <c r="H1129" i="3"/>
  <c r="H1130" i="3" s="1"/>
  <c r="H1124" i="3"/>
  <c r="F252" i="1"/>
  <c r="I252" i="1" s="1"/>
  <c r="H1118" i="3"/>
  <c r="H1119" i="3" s="1"/>
  <c r="H1111" i="3"/>
  <c r="H1103" i="3"/>
  <c r="H1104" i="3" s="1"/>
  <c r="H1082" i="3"/>
  <c r="H1077" i="3"/>
  <c r="H1078" i="3" s="1"/>
  <c r="D1081" i="3" s="1"/>
  <c r="H1071" i="3"/>
  <c r="H1072" i="3" s="1"/>
  <c r="C1107" i="3" s="1"/>
  <c r="H1107" i="3" s="1"/>
  <c r="H1017" i="3"/>
  <c r="H1016" i="3"/>
  <c r="H1018" i="3" s="1"/>
  <c r="H1012" i="3"/>
  <c r="H1011" i="3"/>
  <c r="H1013" i="3" s="1"/>
  <c r="H1001" i="3"/>
  <c r="H1002" i="3"/>
  <c r="H985" i="3"/>
  <c r="H984" i="3"/>
  <c r="H986" i="3" s="1"/>
  <c r="H979" i="3"/>
  <c r="H980" i="3"/>
  <c r="H974" i="3"/>
  <c r="H975" i="3"/>
  <c r="H969" i="3"/>
  <c r="H968" i="3"/>
  <c r="H970" i="3" s="1"/>
  <c r="H958" i="3"/>
  <c r="H957" i="3"/>
  <c r="H959" i="3" s="1"/>
  <c r="H953" i="3"/>
  <c r="H952" i="3"/>
  <c r="H954" i="3" s="1"/>
  <c r="H947" i="3"/>
  <c r="I211" i="1"/>
  <c r="H938" i="3"/>
  <c r="I210" i="1"/>
  <c r="H930" i="3"/>
  <c r="I209" i="1"/>
  <c r="H921" i="3"/>
  <c r="H918" i="3"/>
  <c r="H911" i="3"/>
  <c r="I205" i="1" s="1"/>
  <c r="H910" i="3"/>
  <c r="H912" i="3" s="1"/>
  <c r="H901" i="3"/>
  <c r="H900" i="3"/>
  <c r="H902" i="3" s="1"/>
  <c r="H896" i="3"/>
  <c r="H895" i="3"/>
  <c r="H897" i="3" s="1"/>
  <c r="H891" i="3"/>
  <c r="I201" i="1" s="1"/>
  <c r="H890" i="3"/>
  <c r="H892" i="3" s="1"/>
  <c r="H881" i="3"/>
  <c r="H880" i="3"/>
  <c r="H882" i="3" s="1"/>
  <c r="H876" i="3"/>
  <c r="H875" i="3"/>
  <c r="H877" i="3" s="1"/>
  <c r="B861" i="3"/>
  <c r="A861" i="3"/>
  <c r="B856" i="3"/>
  <c r="A856" i="3"/>
  <c r="B851" i="3"/>
  <c r="A851" i="3"/>
  <c r="H864" i="3"/>
  <c r="H863" i="3"/>
  <c r="H865" i="3" s="1"/>
  <c r="F195" i="1" s="1"/>
  <c r="I195" i="1" s="1"/>
  <c r="H859" i="3"/>
  <c r="H858" i="3"/>
  <c r="H860" i="3" s="1"/>
  <c r="F194" i="1" s="1"/>
  <c r="I194" i="1" s="1"/>
  <c r="H854" i="3"/>
  <c r="I192" i="1" s="1"/>
  <c r="H853" i="3"/>
  <c r="H855" i="3" s="1"/>
  <c r="F193" i="1" s="1"/>
  <c r="I193" i="1" s="1"/>
  <c r="B841" i="3"/>
  <c r="A841" i="3"/>
  <c r="B836" i="3"/>
  <c r="A836" i="3"/>
  <c r="B831" i="3"/>
  <c r="A831" i="3"/>
  <c r="B826" i="3"/>
  <c r="A826" i="3"/>
  <c r="B816" i="3"/>
  <c r="A816" i="3"/>
  <c r="B811" i="3"/>
  <c r="A811" i="3"/>
  <c r="B806" i="3"/>
  <c r="A806" i="3"/>
  <c r="H844" i="3"/>
  <c r="H843" i="3"/>
  <c r="H845" i="3" s="1"/>
  <c r="F191" i="1" s="1"/>
  <c r="I191" i="1" s="1"/>
  <c r="H839" i="3"/>
  <c r="H838" i="3"/>
  <c r="H840" i="3" s="1"/>
  <c r="F190" i="1" s="1"/>
  <c r="I190" i="1" s="1"/>
  <c r="H834" i="3"/>
  <c r="H833" i="3"/>
  <c r="H835" i="3" s="1"/>
  <c r="F189" i="1" s="1"/>
  <c r="I189" i="1" s="1"/>
  <c r="H829" i="3"/>
  <c r="H828" i="3"/>
  <c r="H830" i="3" s="1"/>
  <c r="F188" i="1" s="1"/>
  <c r="I188" i="1" s="1"/>
  <c r="H819" i="3"/>
  <c r="H814" i="3"/>
  <c r="H813" i="3"/>
  <c r="H815" i="3" s="1"/>
  <c r="H809" i="3"/>
  <c r="H808" i="3"/>
  <c r="H810" i="3" s="1"/>
  <c r="F184" i="1" s="1"/>
  <c r="I184" i="1" s="1"/>
  <c r="B791" i="3"/>
  <c r="A791" i="3"/>
  <c r="B786" i="3"/>
  <c r="A786" i="3"/>
  <c r="B781" i="3"/>
  <c r="A781" i="3"/>
  <c r="B780" i="3"/>
  <c r="A780" i="3"/>
  <c r="B763" i="3"/>
  <c r="A763" i="3"/>
  <c r="B758" i="3"/>
  <c r="A758" i="3"/>
  <c r="B753" i="3"/>
  <c r="A753" i="3"/>
  <c r="B748" i="3"/>
  <c r="A748" i="3"/>
  <c r="B743" i="3"/>
  <c r="A743" i="3"/>
  <c r="B738" i="3"/>
  <c r="A738" i="3"/>
  <c r="B733" i="3"/>
  <c r="A733" i="3"/>
  <c r="B728" i="3"/>
  <c r="A728" i="3"/>
  <c r="B723" i="3"/>
  <c r="A723" i="3"/>
  <c r="B718" i="3"/>
  <c r="A718" i="3"/>
  <c r="B713" i="3"/>
  <c r="A713" i="3"/>
  <c r="B708" i="3"/>
  <c r="A708" i="3"/>
  <c r="B703" i="3"/>
  <c r="A703" i="3"/>
  <c r="B698" i="3"/>
  <c r="A698" i="3"/>
  <c r="H766" i="3"/>
  <c r="H765" i="3"/>
  <c r="H767" i="3" s="1"/>
  <c r="F174" i="1" s="1"/>
  <c r="I174" i="1" s="1"/>
  <c r="H761" i="3"/>
  <c r="H760" i="3"/>
  <c r="H762" i="3" s="1"/>
  <c r="F173" i="1" s="1"/>
  <c r="H756" i="3"/>
  <c r="H755" i="3"/>
  <c r="H757" i="3" s="1"/>
  <c r="F172" i="1" s="1"/>
  <c r="I172" i="1" s="1"/>
  <c r="H751" i="3"/>
  <c r="H750" i="3"/>
  <c r="H752" i="3" s="1"/>
  <c r="F171" i="1" s="1"/>
  <c r="I171" i="1" s="1"/>
  <c r="H746" i="3"/>
  <c r="H745" i="3"/>
  <c r="H747" i="3" s="1"/>
  <c r="F170" i="1" s="1"/>
  <c r="I170" i="1" s="1"/>
  <c r="H741" i="3"/>
  <c r="H740" i="3"/>
  <c r="H742" i="3" s="1"/>
  <c r="F169" i="1" s="1"/>
  <c r="I169" i="1" s="1"/>
  <c r="H736" i="3"/>
  <c r="H735" i="3"/>
  <c r="H737" i="3" s="1"/>
  <c r="F168" i="1" s="1"/>
  <c r="I168" i="1" s="1"/>
  <c r="H731" i="3"/>
  <c r="H730" i="3"/>
  <c r="H732" i="3" s="1"/>
  <c r="F167" i="1" s="1"/>
  <c r="I167" i="1" s="1"/>
  <c r="H726" i="3"/>
  <c r="H725" i="3"/>
  <c r="H727" i="3" s="1"/>
  <c r="F166" i="1" s="1"/>
  <c r="I166" i="1" s="1"/>
  <c r="H721" i="3"/>
  <c r="H720" i="3"/>
  <c r="H722" i="3" s="1"/>
  <c r="F165" i="1" s="1"/>
  <c r="I165" i="1" s="1"/>
  <c r="H716" i="3"/>
  <c r="H715" i="3"/>
  <c r="H717" i="3" s="1"/>
  <c r="F164" i="1" s="1"/>
  <c r="I164" i="1" s="1"/>
  <c r="H711" i="3"/>
  <c r="H710" i="3"/>
  <c r="H712" i="3" s="1"/>
  <c r="F163" i="1" s="1"/>
  <c r="I163" i="1" s="1"/>
  <c r="H706" i="3"/>
  <c r="H705" i="3"/>
  <c r="H707" i="3" s="1"/>
  <c r="F162" i="1" s="1"/>
  <c r="I162" i="1" s="1"/>
  <c r="H701" i="3"/>
  <c r="H700" i="3"/>
  <c r="H702" i="3" s="1"/>
  <c r="F161" i="1" s="1"/>
  <c r="I161" i="1" s="1"/>
  <c r="B693" i="3"/>
  <c r="A693" i="3"/>
  <c r="B688" i="3"/>
  <c r="A688" i="3"/>
  <c r="B683" i="3"/>
  <c r="A683" i="3"/>
  <c r="B682" i="3"/>
  <c r="A682" i="3"/>
  <c r="A666" i="3"/>
  <c r="H669" i="3"/>
  <c r="H668" i="3"/>
  <c r="H670" i="3" s="1"/>
  <c r="F153" i="1" s="1"/>
  <c r="I153" i="1" s="1"/>
  <c r="A661" i="3"/>
  <c r="A656" i="3"/>
  <c r="H664" i="3"/>
  <c r="H663" i="3"/>
  <c r="H665" i="3" s="1"/>
  <c r="F152" i="1" s="1"/>
  <c r="I152" i="1" s="1"/>
  <c r="H659" i="3"/>
  <c r="H658" i="3"/>
  <c r="H660" i="3" s="1"/>
  <c r="F151" i="1" s="1"/>
  <c r="I151" i="1" s="1"/>
  <c r="A651" i="3"/>
  <c r="A646" i="3"/>
  <c r="A641" i="3"/>
  <c r="A636" i="3"/>
  <c r="H654" i="3"/>
  <c r="H653" i="3"/>
  <c r="H655" i="3" s="1"/>
  <c r="F150" i="1" s="1"/>
  <c r="I150" i="1" s="1"/>
  <c r="H649" i="3"/>
  <c r="H648" i="3"/>
  <c r="H650" i="3" s="1"/>
  <c r="F149" i="1" s="1"/>
  <c r="I149" i="1" s="1"/>
  <c r="H644" i="3"/>
  <c r="H643" i="3"/>
  <c r="H645" i="3" s="1"/>
  <c r="F148" i="1" s="1"/>
  <c r="I148" i="1" s="1"/>
  <c r="H639" i="3"/>
  <c r="H638" i="3"/>
  <c r="H640" i="3" s="1"/>
  <c r="F147" i="1" s="1"/>
  <c r="I147" i="1" s="1"/>
  <c r="A631" i="3"/>
  <c r="A626" i="3"/>
  <c r="A621" i="3"/>
  <c r="A616" i="3"/>
  <c r="A611" i="3"/>
  <c r="A606" i="3"/>
  <c r="H634" i="3"/>
  <c r="H633" i="3"/>
  <c r="H635" i="3" s="1"/>
  <c r="F146" i="1" s="1"/>
  <c r="I146" i="1" s="1"/>
  <c r="H629" i="3"/>
  <c r="H628" i="3"/>
  <c r="H630" i="3" s="1"/>
  <c r="F145" i="1" s="1"/>
  <c r="I145" i="1" s="1"/>
  <c r="H624" i="3"/>
  <c r="H623" i="3"/>
  <c r="H625" i="3" s="1"/>
  <c r="F144" i="1" s="1"/>
  <c r="I144" i="1" s="1"/>
  <c r="H619" i="3"/>
  <c r="H618" i="3"/>
  <c r="H620" i="3" s="1"/>
  <c r="F143" i="1" s="1"/>
  <c r="I143" i="1" s="1"/>
  <c r="H614" i="3"/>
  <c r="H613" i="3"/>
  <c r="H615" i="3" s="1"/>
  <c r="F142" i="1" s="1"/>
  <c r="I142" i="1" s="1"/>
  <c r="H609" i="3"/>
  <c r="H608" i="3"/>
  <c r="H610" i="3" s="1"/>
  <c r="F141" i="1" s="1"/>
  <c r="I141" i="1" s="1"/>
  <c r="A601" i="3"/>
  <c r="H604" i="3"/>
  <c r="H603" i="3"/>
  <c r="H605" i="3" s="1"/>
  <c r="F140" i="1" s="1"/>
  <c r="I140" i="1" s="1"/>
  <c r="A596" i="3"/>
  <c r="H599" i="3"/>
  <c r="H600" i="3"/>
  <c r="F139" i="1" s="1"/>
  <c r="I139" i="1" s="1"/>
  <c r="B591" i="3"/>
  <c r="A591" i="3"/>
  <c r="B590" i="3"/>
  <c r="A590" i="3"/>
  <c r="B589" i="3"/>
  <c r="A589" i="3"/>
  <c r="H794" i="3"/>
  <c r="H793" i="3"/>
  <c r="H795" i="3" s="1"/>
  <c r="F182" i="1" s="1"/>
  <c r="I182" i="1" s="1"/>
  <c r="H789" i="3"/>
  <c r="H788" i="3"/>
  <c r="H790" i="3" s="1"/>
  <c r="F181" i="1" s="1"/>
  <c r="I181" i="1" s="1"/>
  <c r="H784" i="3"/>
  <c r="H785" i="3"/>
  <c r="F180" i="1" s="1"/>
  <c r="I180" i="1" s="1"/>
  <c r="H696" i="3"/>
  <c r="H695" i="3"/>
  <c r="H697" i="3" s="1"/>
  <c r="F160" i="1" s="1"/>
  <c r="I160" i="1" s="1"/>
  <c r="H691" i="3"/>
  <c r="H690" i="3"/>
  <c r="H692" i="3" s="1"/>
  <c r="F159" i="1" s="1"/>
  <c r="I159" i="1" s="1"/>
  <c r="H686" i="3"/>
  <c r="H685" i="3"/>
  <c r="H687" i="3" s="1"/>
  <c r="F158" i="1" s="1"/>
  <c r="I158" i="1" s="1"/>
  <c r="H594" i="3"/>
  <c r="H593" i="3"/>
  <c r="H595" i="3" s="1"/>
  <c r="F138" i="1" s="1"/>
  <c r="I138" i="1" s="1"/>
  <c r="B584" i="3"/>
  <c r="A584" i="3"/>
  <c r="B579" i="3"/>
  <c r="A579" i="3"/>
  <c r="B565" i="3"/>
  <c r="A565" i="3"/>
  <c r="B564" i="3"/>
  <c r="A564" i="3"/>
  <c r="H587" i="3"/>
  <c r="H586" i="3"/>
  <c r="H588" i="3" s="1"/>
  <c r="F135" i="1" s="1"/>
  <c r="I135" i="1" s="1"/>
  <c r="H582" i="3"/>
  <c r="H581" i="3"/>
  <c r="H583" i="3" s="1"/>
  <c r="F134" i="1" s="1"/>
  <c r="I134" i="1" s="1"/>
  <c r="H577" i="3"/>
  <c r="F133" i="1"/>
  <c r="I133" i="1" s="1"/>
  <c r="B559" i="3"/>
  <c r="A559" i="3"/>
  <c r="B554" i="3"/>
  <c r="A554" i="3"/>
  <c r="H562" i="3"/>
  <c r="H557" i="3"/>
  <c r="B549" i="3"/>
  <c r="A549" i="3"/>
  <c r="B548" i="3"/>
  <c r="A548" i="3"/>
  <c r="B543" i="3"/>
  <c r="A543" i="3"/>
  <c r="B542" i="3"/>
  <c r="A542" i="3"/>
  <c r="B541" i="3"/>
  <c r="A541" i="3"/>
  <c r="H552" i="3"/>
  <c r="H546" i="3"/>
  <c r="H545" i="3"/>
  <c r="H547" i="3" s="1"/>
  <c r="F127" i="1" s="1"/>
  <c r="I127" i="1" s="1"/>
  <c r="I126" i="1" s="1"/>
  <c r="I27" i="9" s="1"/>
  <c r="B518" i="3"/>
  <c r="A518" i="3"/>
  <c r="H528" i="3"/>
  <c r="F122" i="1"/>
  <c r="I122" i="1" s="1"/>
  <c r="I121" i="1" s="1"/>
  <c r="B517" i="3"/>
  <c r="A517" i="3"/>
  <c r="B510" i="3"/>
  <c r="A510" i="3"/>
  <c r="B505" i="3"/>
  <c r="A505" i="3"/>
  <c r="H515" i="3"/>
  <c r="H508" i="3"/>
  <c r="B504" i="3"/>
  <c r="A504" i="3"/>
  <c r="B503" i="3"/>
  <c r="A503" i="3"/>
  <c r="B498" i="3"/>
  <c r="A498" i="3"/>
  <c r="B497" i="3"/>
  <c r="A497" i="3"/>
  <c r="B492" i="3"/>
  <c r="A492" i="3"/>
  <c r="B491" i="3"/>
  <c r="A491" i="3"/>
  <c r="H501" i="3"/>
  <c r="H495" i="3"/>
  <c r="H494" i="3"/>
  <c r="H496" i="3" s="1"/>
  <c r="F114" i="1" s="1"/>
  <c r="I114" i="1" s="1"/>
  <c r="I113" i="1" s="1"/>
  <c r="B486" i="3"/>
  <c r="A486" i="3"/>
  <c r="B476" i="3"/>
  <c r="A476" i="3"/>
  <c r="B469" i="3"/>
  <c r="A469" i="3"/>
  <c r="B468" i="3"/>
  <c r="A468" i="3"/>
  <c r="H489" i="3"/>
  <c r="H488" i="3"/>
  <c r="H490" i="3" s="1"/>
  <c r="F112" i="1" s="1"/>
  <c r="I112" i="1" s="1"/>
  <c r="H479" i="3"/>
  <c r="I109" i="1" s="1"/>
  <c r="H478" i="3"/>
  <c r="H480" i="3" s="1"/>
  <c r="F110" i="1" s="1"/>
  <c r="I110" i="1" s="1"/>
  <c r="B457" i="3"/>
  <c r="A457" i="3"/>
  <c r="H460" i="3"/>
  <c r="H459" i="3"/>
  <c r="H461" i="3" s="1"/>
  <c r="F104" i="1" s="1"/>
  <c r="I104" i="1" s="1"/>
  <c r="B451" i="3"/>
  <c r="A451" i="3"/>
  <c r="B450" i="3"/>
  <c r="A450" i="3"/>
  <c r="B445" i="3"/>
  <c r="A445" i="3"/>
  <c r="B439" i="3"/>
  <c r="A439" i="3"/>
  <c r="H455" i="3"/>
  <c r="H453" i="3"/>
  <c r="H448" i="3"/>
  <c r="H447" i="3"/>
  <c r="H449" i="3" s="1"/>
  <c r="F101" i="1" s="1"/>
  <c r="I101" i="1" s="1"/>
  <c r="H443" i="3"/>
  <c r="H441" i="3"/>
  <c r="B438" i="3"/>
  <c r="A438" i="3"/>
  <c r="B433" i="3"/>
  <c r="A433" i="3"/>
  <c r="H436" i="3"/>
  <c r="H435" i="3"/>
  <c r="H437" i="3" s="1"/>
  <c r="F98" i="1" s="1"/>
  <c r="B432" i="3"/>
  <c r="A432" i="3"/>
  <c r="B425" i="3"/>
  <c r="A425" i="3"/>
  <c r="B417" i="3"/>
  <c r="A417" i="3"/>
  <c r="H430" i="3"/>
  <c r="H423" i="3"/>
  <c r="I95" i="1"/>
  <c r="B389" i="3"/>
  <c r="A389" i="3"/>
  <c r="B381" i="3"/>
  <c r="A381" i="3"/>
  <c r="B373" i="3"/>
  <c r="A373" i="3"/>
  <c r="H392" i="3"/>
  <c r="H391" i="3"/>
  <c r="H393" i="3" s="1"/>
  <c r="F90" i="1" s="1"/>
  <c r="H387" i="3"/>
  <c r="H427" i="3" s="1"/>
  <c r="I89" i="1"/>
  <c r="H379" i="3"/>
  <c r="I88" i="1"/>
  <c r="B372" i="3"/>
  <c r="A372" i="3"/>
  <c r="B371" i="3"/>
  <c r="A371" i="3"/>
  <c r="B366" i="3"/>
  <c r="A366" i="3"/>
  <c r="B361" i="3"/>
  <c r="A361" i="3"/>
  <c r="B356" i="3"/>
  <c r="A356" i="3"/>
  <c r="H369" i="3"/>
  <c r="H368" i="3"/>
  <c r="H370" i="3" s="1"/>
  <c r="F85" i="1" s="1"/>
  <c r="I85" i="1" s="1"/>
  <c r="H364" i="3"/>
  <c r="H363" i="3"/>
  <c r="H365" i="3" s="1"/>
  <c r="F84" i="1" s="1"/>
  <c r="I84" i="1" s="1"/>
  <c r="H359" i="3"/>
  <c r="B351" i="3"/>
  <c r="A351" i="3"/>
  <c r="H354" i="3"/>
  <c r="H353" i="3"/>
  <c r="H355" i="3" s="1"/>
  <c r="B350" i="3"/>
  <c r="A350" i="3"/>
  <c r="B335" i="3"/>
  <c r="A335" i="3"/>
  <c r="B329" i="3"/>
  <c r="A329" i="3"/>
  <c r="B321" i="3"/>
  <c r="A321" i="3"/>
  <c r="B313" i="3"/>
  <c r="A313" i="3"/>
  <c r="B312" i="3"/>
  <c r="A312" i="3"/>
  <c r="H338" i="3"/>
  <c r="H337" i="3"/>
  <c r="H339" i="3" s="1"/>
  <c r="F78" i="1" s="1"/>
  <c r="I78" i="1" s="1"/>
  <c r="H327" i="3"/>
  <c r="B306" i="3"/>
  <c r="A306" i="3"/>
  <c r="B301" i="3"/>
  <c r="A301" i="3"/>
  <c r="B296" i="3"/>
  <c r="A296" i="3"/>
  <c r="H319" i="3"/>
  <c r="H316" i="3"/>
  <c r="H310" i="3"/>
  <c r="H308" i="3"/>
  <c r="H304" i="3"/>
  <c r="H299" i="3"/>
  <c r="B291" i="3"/>
  <c r="A291" i="3"/>
  <c r="B286" i="3"/>
  <c r="A286" i="3"/>
  <c r="H294" i="3"/>
  <c r="H289" i="3"/>
  <c r="H288" i="3"/>
  <c r="H290" i="3" s="1"/>
  <c r="I48" i="9" l="1"/>
  <c r="L41" i="10"/>
  <c r="I315" i="1"/>
  <c r="H1273" i="3"/>
  <c r="F280" i="1" s="1"/>
  <c r="I280" i="1" s="1"/>
  <c r="H1248" i="3"/>
  <c r="F269" i="1"/>
  <c r="I269" i="1" s="1"/>
  <c r="I268" i="1" s="1"/>
  <c r="F279" i="1"/>
  <c r="I279" i="1" s="1"/>
  <c r="I98" i="1"/>
  <c r="I97" i="1" s="1"/>
  <c r="I19" i="9" s="1"/>
  <c r="F202" i="1"/>
  <c r="I202" i="1" s="1"/>
  <c r="F221" i="1"/>
  <c r="I221" i="1" s="1"/>
  <c r="F204" i="1"/>
  <c r="I204" i="1" s="1"/>
  <c r="F229" i="1"/>
  <c r="I229" i="1" s="1"/>
  <c r="F213" i="1"/>
  <c r="I213" i="1" s="1"/>
  <c r="F226" i="1"/>
  <c r="I226" i="1" s="1"/>
  <c r="F214" i="1"/>
  <c r="I214" i="1" s="1"/>
  <c r="F200" i="1"/>
  <c r="I200" i="1" s="1"/>
  <c r="F203" i="1"/>
  <c r="I203" i="1" s="1"/>
  <c r="F206" i="1"/>
  <c r="I206" i="1" s="1"/>
  <c r="F225" i="1"/>
  <c r="I225" i="1" s="1"/>
  <c r="F199" i="1"/>
  <c r="I199" i="1" s="1"/>
  <c r="F217" i="1"/>
  <c r="I217" i="1" s="1"/>
  <c r="F228" i="1"/>
  <c r="I228" i="1" s="1"/>
  <c r="F218" i="1"/>
  <c r="I218" i="1" s="1"/>
  <c r="F219" i="1"/>
  <c r="I219" i="1" s="1"/>
  <c r="F251" i="1"/>
  <c r="I251" i="1" s="1"/>
  <c r="F242" i="1"/>
  <c r="I242" i="1" s="1"/>
  <c r="I384" i="1"/>
  <c r="H444" i="3"/>
  <c r="F100" i="1" s="1"/>
  <c r="I100" i="1" s="1"/>
  <c r="I99" i="1" s="1"/>
  <c r="I20" i="9" s="1"/>
  <c r="I108" i="1"/>
  <c r="I107" i="1" s="1"/>
  <c r="L25" i="10" s="1"/>
  <c r="H456" i="3"/>
  <c r="F103" i="1" s="1"/>
  <c r="I103" i="1" s="1"/>
  <c r="I102" i="1" s="1"/>
  <c r="I21" i="9" s="1"/>
  <c r="H922" i="3"/>
  <c r="F381" i="1"/>
  <c r="I381" i="1" s="1"/>
  <c r="I380" i="1" s="1"/>
  <c r="F273" i="1"/>
  <c r="I273" i="1" s="1"/>
  <c r="I270" i="1" s="1"/>
  <c r="F253" i="1"/>
  <c r="I253" i="1" s="1"/>
  <c r="F243" i="1"/>
  <c r="I243" i="1" s="1"/>
  <c r="H1081" i="3"/>
  <c r="H1083" i="3" s="1"/>
  <c r="F248" i="1"/>
  <c r="I248" i="1" s="1"/>
  <c r="C1109" i="3"/>
  <c r="H1109" i="3" s="1"/>
  <c r="F185" i="1"/>
  <c r="I185" i="1" s="1"/>
  <c r="C818" i="3"/>
  <c r="H818" i="3" s="1"/>
  <c r="I90" i="1"/>
  <c r="C428" i="3"/>
  <c r="H428" i="3" s="1"/>
  <c r="H431" i="3" s="1"/>
  <c r="H320" i="3"/>
  <c r="F82" i="1"/>
  <c r="I82" i="1" s="1"/>
  <c r="D358" i="3"/>
  <c r="H358" i="3" s="1"/>
  <c r="H360" i="3" s="1"/>
  <c r="F83" i="1" s="1"/>
  <c r="I83" i="1" s="1"/>
  <c r="H311" i="3"/>
  <c r="F72" i="1" s="1"/>
  <c r="I72" i="1" s="1"/>
  <c r="F68" i="1"/>
  <c r="I68" i="1" s="1"/>
  <c r="D293" i="3"/>
  <c r="H293" i="3" s="1"/>
  <c r="H295" i="3" s="1"/>
  <c r="F69" i="1" s="1"/>
  <c r="I69" i="1" s="1"/>
  <c r="I132" i="1"/>
  <c r="I29" i="9" s="1"/>
  <c r="I137" i="1"/>
  <c r="I31" i="9" s="1"/>
  <c r="I173" i="1"/>
  <c r="B285" i="3"/>
  <c r="A285" i="3"/>
  <c r="B284" i="3"/>
  <c r="A284" i="3"/>
  <c r="B248" i="3"/>
  <c r="A248" i="3"/>
  <c r="B246" i="3"/>
  <c r="A246" i="3"/>
  <c r="B241" i="3"/>
  <c r="A241" i="3"/>
  <c r="B234" i="3"/>
  <c r="A234" i="3"/>
  <c r="H260" i="3"/>
  <c r="H253" i="3"/>
  <c r="H244" i="3"/>
  <c r="H245" i="3"/>
  <c r="F58" i="1" s="1"/>
  <c r="I58" i="1" s="1"/>
  <c r="H239" i="3"/>
  <c r="F57" i="1"/>
  <c r="I57" i="1" s="1"/>
  <c r="B222" i="3"/>
  <c r="A222" i="3"/>
  <c r="B221" i="3"/>
  <c r="A221" i="3"/>
  <c r="H232" i="3"/>
  <c r="H224" i="3"/>
  <c r="B216" i="3"/>
  <c r="A216" i="3"/>
  <c r="B215" i="3"/>
  <c r="A215" i="3"/>
  <c r="H219" i="3"/>
  <c r="H218" i="3"/>
  <c r="H220" i="3" s="1"/>
  <c r="F54" i="1" s="1"/>
  <c r="I54" i="1" s="1"/>
  <c r="I53" i="1" s="1"/>
  <c r="B210" i="3"/>
  <c r="A210" i="3"/>
  <c r="H213" i="3"/>
  <c r="H214" i="3" s="1"/>
  <c r="B189" i="3"/>
  <c r="A189" i="3"/>
  <c r="B184" i="3"/>
  <c r="A184" i="3"/>
  <c r="B168" i="3"/>
  <c r="A168" i="3"/>
  <c r="B167" i="3"/>
  <c r="A167" i="3"/>
  <c r="B160" i="3"/>
  <c r="A160" i="3"/>
  <c r="B155" i="3"/>
  <c r="A155" i="3"/>
  <c r="B130" i="3"/>
  <c r="A130" i="3"/>
  <c r="B124" i="3"/>
  <c r="A124" i="3"/>
  <c r="H187" i="3"/>
  <c r="F46" i="1"/>
  <c r="I46" i="1" s="1"/>
  <c r="I42" i="1" s="1"/>
  <c r="H165" i="3"/>
  <c r="H158" i="3"/>
  <c r="H159" i="3" s="1"/>
  <c r="H133" i="3"/>
  <c r="H128" i="3"/>
  <c r="H127" i="3"/>
  <c r="H129" i="3" s="1"/>
  <c r="B118" i="3"/>
  <c r="A118" i="3"/>
  <c r="B117" i="3"/>
  <c r="A117" i="3"/>
  <c r="B109" i="3"/>
  <c r="A109" i="3"/>
  <c r="B101" i="3"/>
  <c r="A101" i="3"/>
  <c r="H122" i="3"/>
  <c r="H121" i="3"/>
  <c r="H115" i="3"/>
  <c r="H107" i="3"/>
  <c r="B81" i="3"/>
  <c r="A81" i="3"/>
  <c r="B73" i="3"/>
  <c r="A73" i="3"/>
  <c r="B65" i="3"/>
  <c r="A65" i="3"/>
  <c r="B64" i="3"/>
  <c r="A64" i="3"/>
  <c r="B63" i="3"/>
  <c r="A63" i="3"/>
  <c r="B58" i="3"/>
  <c r="A58" i="3"/>
  <c r="B47" i="3"/>
  <c r="A47" i="3"/>
  <c r="B37" i="3"/>
  <c r="A37" i="3"/>
  <c r="B32" i="3"/>
  <c r="A32" i="3"/>
  <c r="B27" i="3"/>
  <c r="A27" i="3"/>
  <c r="B22" i="3"/>
  <c r="A22" i="3"/>
  <c r="H84" i="3"/>
  <c r="H83" i="3"/>
  <c r="H85" i="3" s="1"/>
  <c r="H88" i="3" s="1"/>
  <c r="H90" i="3" s="1"/>
  <c r="H79" i="3"/>
  <c r="H71" i="3"/>
  <c r="H68" i="3"/>
  <c r="H72" i="3" s="1"/>
  <c r="H61" i="3"/>
  <c r="H60" i="3"/>
  <c r="H62" i="3" s="1"/>
  <c r="H50" i="3"/>
  <c r="H51" i="3"/>
  <c r="F17" i="1" s="1"/>
  <c r="I17" i="1" s="1"/>
  <c r="H40" i="3"/>
  <c r="H41" i="3"/>
  <c r="F15" i="1" s="1"/>
  <c r="I15" i="1" s="1"/>
  <c r="H35" i="3"/>
  <c r="H34" i="3"/>
  <c r="H36" i="3" s="1"/>
  <c r="F14" i="1" s="1"/>
  <c r="I14" i="1" s="1"/>
  <c r="H30" i="3"/>
  <c r="H29" i="3"/>
  <c r="H31" i="3" s="1"/>
  <c r="F13" i="1" s="1"/>
  <c r="I13" i="1" s="1"/>
  <c r="H25" i="3"/>
  <c r="H24" i="3"/>
  <c r="H26" i="3" s="1"/>
  <c r="F12" i="1" s="1"/>
  <c r="I12" i="1" s="1"/>
  <c r="B15" i="3"/>
  <c r="A15" i="3"/>
  <c r="B10" i="3"/>
  <c r="A10" i="3"/>
  <c r="B9" i="3"/>
  <c r="A9" i="3"/>
  <c r="H13" i="3"/>
  <c r="H14" i="3"/>
  <c r="F8" i="1" s="1"/>
  <c r="K41" i="10" l="1"/>
  <c r="I41" i="10"/>
  <c r="H41" i="10"/>
  <c r="G41" i="10"/>
  <c r="F41" i="10"/>
  <c r="E41" i="10"/>
  <c r="D41" i="10"/>
  <c r="J41" i="10"/>
  <c r="I316" i="1"/>
  <c r="I314" i="1" s="1"/>
  <c r="I281" i="1" s="1"/>
  <c r="I379" i="1"/>
  <c r="I50" i="9" s="1"/>
  <c r="G25" i="10"/>
  <c r="D25" i="10"/>
  <c r="I25" i="10"/>
  <c r="J25" i="10"/>
  <c r="F25" i="10"/>
  <c r="K25" i="10"/>
  <c r="H25" i="10"/>
  <c r="E25" i="10"/>
  <c r="I277" i="1"/>
  <c r="F276" i="1"/>
  <c r="I276" i="1" s="1"/>
  <c r="I274" i="1" s="1"/>
  <c r="I227" i="1"/>
  <c r="I44" i="9" s="1"/>
  <c r="F20" i="1"/>
  <c r="I20" i="1" s="1"/>
  <c r="I18" i="1" s="1"/>
  <c r="I10" i="1"/>
  <c r="F96" i="1"/>
  <c r="I96" i="1" s="1"/>
  <c r="I87" i="1" s="1"/>
  <c r="I23" i="9"/>
  <c r="H93" i="3"/>
  <c r="H95" i="3" s="1"/>
  <c r="F26" i="1"/>
  <c r="I26" i="1" s="1"/>
  <c r="I224" i="1"/>
  <c r="I43" i="9" s="1"/>
  <c r="I197" i="1"/>
  <c r="I38" i="9" s="1"/>
  <c r="I220" i="1"/>
  <c r="I42" i="9" s="1"/>
  <c r="I212" i="1"/>
  <c r="I40" i="9" s="1"/>
  <c r="I216" i="1"/>
  <c r="I41" i="9" s="1"/>
  <c r="F208" i="1"/>
  <c r="I208" i="1" s="1"/>
  <c r="I207" i="1" s="1"/>
  <c r="I39" i="9" s="1"/>
  <c r="H261" i="3"/>
  <c r="F52" i="1"/>
  <c r="I52" i="1" s="1"/>
  <c r="I47" i="1" s="1"/>
  <c r="H123" i="3"/>
  <c r="C162" i="3" s="1"/>
  <c r="H162" i="3" s="1"/>
  <c r="H233" i="3"/>
  <c r="F56" i="1" s="1"/>
  <c r="I56" i="1" s="1"/>
  <c r="I55" i="1" s="1"/>
  <c r="I8" i="1"/>
  <c r="I7" i="1" s="1"/>
  <c r="H820" i="3"/>
  <c r="F186" i="1" s="1"/>
  <c r="I186" i="1" s="1"/>
  <c r="I250" i="1"/>
  <c r="F244" i="1"/>
  <c r="I244" i="1" s="1"/>
  <c r="C1108" i="3"/>
  <c r="H1108" i="3" s="1"/>
  <c r="H1112" i="3" s="1"/>
  <c r="F75" i="1"/>
  <c r="I75" i="1" s="1"/>
  <c r="H507" i="3"/>
  <c r="H509" i="3" s="1"/>
  <c r="F119" i="1" s="1"/>
  <c r="I119" i="1" s="1"/>
  <c r="H500" i="3"/>
  <c r="H502" i="3" s="1"/>
  <c r="I81" i="1"/>
  <c r="L21" i="10" s="1"/>
  <c r="F74" i="1"/>
  <c r="I74" i="1" s="1"/>
  <c r="H298" i="3"/>
  <c r="H300" i="3" s="1"/>
  <c r="F70" i="1" s="1"/>
  <c r="I70" i="1" s="1"/>
  <c r="I157" i="1"/>
  <c r="I33" i="9" s="1"/>
  <c r="C112" i="3"/>
  <c r="H112" i="3" s="1"/>
  <c r="F25" i="1"/>
  <c r="I25" i="1" s="1"/>
  <c r="C113" i="3"/>
  <c r="H113" i="3" s="1"/>
  <c r="F29" i="1"/>
  <c r="I29" i="1" s="1"/>
  <c r="C164" i="3"/>
  <c r="H164" i="3" s="1"/>
  <c r="F39" i="1"/>
  <c r="I39" i="1" s="1"/>
  <c r="D132" i="3"/>
  <c r="H132" i="3" s="1"/>
  <c r="H134" i="3" s="1"/>
  <c r="F33" i="1"/>
  <c r="I33" i="1" s="1"/>
  <c r="C111" i="3"/>
  <c r="H111" i="3" s="1"/>
  <c r="F23" i="1"/>
  <c r="I23" i="1" s="1"/>
  <c r="I47" i="9" l="1"/>
  <c r="L39" i="10"/>
  <c r="L9" i="10"/>
  <c r="I9" i="10" s="1"/>
  <c r="L45" i="10"/>
  <c r="G21" i="10"/>
  <c r="I21" i="10"/>
  <c r="K21" i="10"/>
  <c r="H21" i="10"/>
  <c r="E21" i="10"/>
  <c r="F21" i="10"/>
  <c r="D21" i="10"/>
  <c r="J21" i="10"/>
  <c r="D264" i="3"/>
  <c r="H264" i="3" s="1"/>
  <c r="H266" i="3" s="1"/>
  <c r="F62" i="1" s="1"/>
  <c r="F61" i="1"/>
  <c r="I61" i="1" s="1"/>
  <c r="I9" i="1"/>
  <c r="L11" i="10" s="1"/>
  <c r="I7" i="9"/>
  <c r="I37" i="9"/>
  <c r="I16" i="9"/>
  <c r="I86" i="1"/>
  <c r="L23" i="10" s="1"/>
  <c r="I18" i="9"/>
  <c r="H98" i="3"/>
  <c r="H100" i="3" s="1"/>
  <c r="F28" i="1" s="1"/>
  <c r="I28" i="1" s="1"/>
  <c r="F27" i="1"/>
  <c r="I27" i="1" s="1"/>
  <c r="I196" i="1"/>
  <c r="L35" i="10" s="1"/>
  <c r="F32" i="1"/>
  <c r="I32" i="1" s="1"/>
  <c r="H116" i="3"/>
  <c r="F30" i="1" s="1"/>
  <c r="I30" i="1" s="1"/>
  <c r="I179" i="1"/>
  <c r="I36" i="9" s="1"/>
  <c r="I41" i="1"/>
  <c r="L15" i="10" s="1"/>
  <c r="F249" i="1"/>
  <c r="I249" i="1" s="1"/>
  <c r="I241" i="1" s="1"/>
  <c r="F116" i="1"/>
  <c r="I116" i="1" s="1"/>
  <c r="I115" i="1" s="1"/>
  <c r="L27" i="10" s="1"/>
  <c r="H551" i="3"/>
  <c r="H553" i="3" s="1"/>
  <c r="I73" i="1"/>
  <c r="I14" i="9" s="1"/>
  <c r="D303" i="3"/>
  <c r="H303" i="3" s="1"/>
  <c r="C163" i="3"/>
  <c r="H163" i="3" s="1"/>
  <c r="H166" i="3" s="1"/>
  <c r="F40" i="1" s="1"/>
  <c r="I40" i="1" s="1"/>
  <c r="F34" i="1"/>
  <c r="I34" i="1" s="1"/>
  <c r="K39" i="10" l="1"/>
  <c r="F39" i="10"/>
  <c r="G39" i="10"/>
  <c r="H39" i="10"/>
  <c r="D39" i="10"/>
  <c r="E39" i="10"/>
  <c r="I39" i="10"/>
  <c r="J39" i="10"/>
  <c r="I240" i="1"/>
  <c r="F9" i="10"/>
  <c r="H9" i="10"/>
  <c r="E9" i="10"/>
  <c r="D9" i="10"/>
  <c r="G9" i="10"/>
  <c r="K9" i="10"/>
  <c r="J9" i="10"/>
  <c r="F45" i="10"/>
  <c r="E45" i="10"/>
  <c r="G45" i="10"/>
  <c r="J45" i="10"/>
  <c r="I45" i="10"/>
  <c r="D45" i="10"/>
  <c r="K45" i="10"/>
  <c r="H45" i="10"/>
  <c r="G23" i="10"/>
  <c r="D23" i="10"/>
  <c r="I23" i="10"/>
  <c r="E23" i="10"/>
  <c r="H23" i="10"/>
  <c r="F23" i="10"/>
  <c r="K23" i="10"/>
  <c r="J23" i="10"/>
  <c r="G27" i="10"/>
  <c r="D27" i="10"/>
  <c r="E27" i="10"/>
  <c r="J27" i="10"/>
  <c r="F27" i="10"/>
  <c r="K27" i="10"/>
  <c r="H27" i="10"/>
  <c r="I27" i="10"/>
  <c r="G11" i="10"/>
  <c r="F11" i="10"/>
  <c r="K11" i="10"/>
  <c r="E11" i="10"/>
  <c r="H11" i="10"/>
  <c r="D11" i="10"/>
  <c r="I11" i="10"/>
  <c r="J11" i="10"/>
  <c r="G15" i="10"/>
  <c r="J15" i="10"/>
  <c r="F15" i="10"/>
  <c r="D15" i="10"/>
  <c r="E15" i="10"/>
  <c r="I15" i="10"/>
  <c r="K15" i="10"/>
  <c r="H15" i="10"/>
  <c r="G35" i="10"/>
  <c r="F35" i="10"/>
  <c r="K35" i="10"/>
  <c r="D35" i="10"/>
  <c r="E35" i="10"/>
  <c r="J35" i="10"/>
  <c r="I35" i="10"/>
  <c r="H35" i="10"/>
  <c r="I62" i="1"/>
  <c r="I60" i="1" s="1"/>
  <c r="I59" i="1" s="1"/>
  <c r="L17" i="10" s="1"/>
  <c r="I136" i="1"/>
  <c r="L33" i="10" s="1"/>
  <c r="I22" i="1"/>
  <c r="I17" i="9"/>
  <c r="I24" i="9"/>
  <c r="I10" i="9"/>
  <c r="H305" i="3"/>
  <c r="F71" i="1" s="1"/>
  <c r="I71" i="1" s="1"/>
  <c r="I67" i="1" s="1"/>
  <c r="I13" i="9" s="1"/>
  <c r="I77" i="1"/>
  <c r="F129" i="1"/>
  <c r="I129" i="1" s="1"/>
  <c r="D561" i="3"/>
  <c r="H561" i="3" s="1"/>
  <c r="H563" i="3" s="1"/>
  <c r="F131" i="1" s="1"/>
  <c r="I131" i="1" s="1"/>
  <c r="D556" i="3"/>
  <c r="H556" i="3" s="1"/>
  <c r="H558" i="3" s="1"/>
  <c r="F130" i="1" s="1"/>
  <c r="I130" i="1" s="1"/>
  <c r="I31" i="1"/>
  <c r="I46" i="9" l="1"/>
  <c r="L37" i="10"/>
  <c r="G33" i="10"/>
  <c r="K33" i="10"/>
  <c r="H33" i="10"/>
  <c r="I33" i="10"/>
  <c r="E33" i="10"/>
  <c r="J33" i="10"/>
  <c r="D33" i="10"/>
  <c r="F33" i="10"/>
  <c r="G17" i="10"/>
  <c r="E17" i="10"/>
  <c r="J17" i="10"/>
  <c r="H17" i="10"/>
  <c r="F17" i="10"/>
  <c r="I17" i="10"/>
  <c r="K17" i="10"/>
  <c r="D17" i="10"/>
  <c r="I76" i="1"/>
  <c r="I15" i="9" s="1"/>
  <c r="I12" i="9" s="1"/>
  <c r="I21" i="1"/>
  <c r="I30" i="9"/>
  <c r="I128" i="1"/>
  <c r="H516" i="3"/>
  <c r="F120" i="1" s="1"/>
  <c r="I120" i="1" s="1"/>
  <c r="I118" i="1" s="1"/>
  <c r="E37" i="10" l="1"/>
  <c r="G37" i="10"/>
  <c r="J37" i="10"/>
  <c r="F37" i="10"/>
  <c r="K37" i="10"/>
  <c r="D37" i="10"/>
  <c r="H37" i="10"/>
  <c r="I37" i="10"/>
  <c r="L13" i="10"/>
  <c r="G13" i="10" s="1"/>
  <c r="I66" i="1"/>
  <c r="L19" i="10" s="1"/>
  <c r="I9" i="9"/>
  <c r="I125" i="1"/>
  <c r="L31" i="10" s="1"/>
  <c r="I28" i="9"/>
  <c r="I117" i="1"/>
  <c r="I390" i="1" l="1"/>
  <c r="H13" i="10"/>
  <c r="I13" i="10"/>
  <c r="D13" i="10"/>
  <c r="E13" i="10"/>
  <c r="K13" i="10"/>
  <c r="F13" i="10"/>
  <c r="J13" i="10"/>
  <c r="G19" i="10"/>
  <c r="E19" i="10"/>
  <c r="H19" i="10"/>
  <c r="K19" i="10"/>
  <c r="D19" i="10"/>
  <c r="I19" i="10"/>
  <c r="J19" i="10"/>
  <c r="F19" i="10"/>
  <c r="G31" i="10"/>
  <c r="K31" i="10"/>
  <c r="H31" i="10"/>
  <c r="E31" i="10"/>
  <c r="F31" i="10"/>
  <c r="J31" i="10"/>
  <c r="D31" i="10"/>
  <c r="I31" i="10"/>
  <c r="I25" i="9"/>
  <c r="L29" i="10"/>
  <c r="I11" i="9"/>
  <c r="I26" i="9"/>
  <c r="M5" i="9" l="1"/>
  <c r="G29" i="10"/>
  <c r="G47" i="10" s="1"/>
  <c r="H29" i="10"/>
  <c r="H47" i="10" s="1"/>
  <c r="J29" i="10"/>
  <c r="J47" i="10" s="1"/>
  <c r="D29" i="10"/>
  <c r="D47" i="10" s="1"/>
  <c r="F29" i="10"/>
  <c r="F47" i="10" s="1"/>
  <c r="I29" i="10"/>
  <c r="I47" i="10" s="1"/>
  <c r="E29" i="10"/>
  <c r="E47" i="10" s="1"/>
  <c r="K29" i="10"/>
  <c r="K47" i="10" s="1"/>
  <c r="I8" i="9"/>
  <c r="I51" i="9" s="1"/>
  <c r="J52" i="9" l="1"/>
  <c r="I53" i="9"/>
  <c r="L47" i="10"/>
  <c r="F48" i="10" s="1"/>
  <c r="J48" i="10" l="1"/>
  <c r="G48" i="10"/>
  <c r="D48" i="10"/>
  <c r="I48" i="10"/>
  <c r="K48" i="10"/>
  <c r="H48" i="10"/>
  <c r="E48" i="10"/>
  <c r="L48" i="10" l="1"/>
</calcChain>
</file>

<file path=xl/sharedStrings.xml><?xml version="1.0" encoding="utf-8"?>
<sst xmlns="http://schemas.openxmlformats.org/spreadsheetml/2006/main" count="5539" uniqueCount="981">
  <si>
    <t>Obra</t>
  </si>
  <si>
    <t>Bancos</t>
  </si>
  <si>
    <t>B.D.I.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</si>
  <si>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</si>
  <si>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</si>
  <si>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</si>
  <si>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</si>
  <si>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</si>
  <si>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</si>
  <si>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</si>
  <si>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</si>
  <si>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</si>
  <si>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ADMINISTRAÇÃO LOCAL</t>
  </si>
  <si>
    <t xml:space="preserve"> 1.1 </t>
  </si>
  <si>
    <t>SINAPI</t>
  </si>
  <si>
    <t>ENCARREGADO GERAL DE OBRAS COM ENCARGOS COMPLEMENTARES</t>
  </si>
  <si>
    <t>INSTALAÇÕES PROVISÓRIAS / SERVIÇOS PRELIMINARES</t>
  </si>
  <si>
    <t>m²</t>
  </si>
  <si>
    <t>LOCAÇÃO CONVENCIONAL DE OBRA, UTILIZANDO GABARITO DE TÁBUAS CORRIDAS PONTALETADAS A CADA 2,00M -  2 UTILIZAÇÕES. AF_03/2024</t>
  </si>
  <si>
    <t>M</t>
  </si>
  <si>
    <t>FORNECIMENTO E INSTALAÇÃO DE PLACA DE OBRA COM CHAPA GALVANIZADA E ESTRUTURA DE MADEIRA. AF_03/2022_PS</t>
  </si>
  <si>
    <t>ORSE</t>
  </si>
  <si>
    <t xml:space="preserve"> 3.1 </t>
  </si>
  <si>
    <t>FUNDAÇÕES</t>
  </si>
  <si>
    <t>m³</t>
  </si>
  <si>
    <t>PREPARO DE FUNDO DE VALA COM LARGURA MENOR QUE 1,5 M (ACERTO DO SOLO NATURAL). AF_08/2020</t>
  </si>
  <si>
    <t>LASTRO DE CONCRETO MAGRO, APLICADO EM BLOCOS DE COROAMENTO OU SAPATAS, ESPESSURA DE 5 CM. AF_01/2024</t>
  </si>
  <si>
    <t>REATERRO MANUAL DE VALAS, COM PLACA VIBRATÓRIA. AF_08/2023</t>
  </si>
  <si>
    <t xml:space="preserve"> 3.2 </t>
  </si>
  <si>
    <t>VIGAS BALDRAMES</t>
  </si>
  <si>
    <t xml:space="preserve"> 3.2.1 </t>
  </si>
  <si>
    <t xml:space="preserve"> 3.2.2 </t>
  </si>
  <si>
    <t xml:space="preserve"> 3.2.3 </t>
  </si>
  <si>
    <t>LASTRO DE CONCRETO MAGRO, APLICADO EM PISOS, LAJES SOBRE SOLO OU RADIERS, ESPESSURA DE 5 CM. AF_01/2024</t>
  </si>
  <si>
    <t xml:space="preserve"> 4.1 </t>
  </si>
  <si>
    <t>PILARES</t>
  </si>
  <si>
    <t xml:space="preserve"> 4.2 </t>
  </si>
  <si>
    <t>VIGAS SUPERIORES</t>
  </si>
  <si>
    <t xml:space="preserve"> 4.3 </t>
  </si>
  <si>
    <t>LAJE</t>
  </si>
  <si>
    <t xml:space="preserve"> 4.3.1 </t>
  </si>
  <si>
    <t xml:space="preserve"> 4.4 </t>
  </si>
  <si>
    <t>ALVENARIA E VEDAÇÕES</t>
  </si>
  <si>
    <t xml:space="preserve"> 4.4.1 </t>
  </si>
  <si>
    <t>ALVENARIA DE VEDAÇÃO DE BLOCOS CERÂMICOS FURADOS NA HORIZONTAL DE 9X19X19 CM (ESPESSURA 9 CM) E ARGAMASSA DE ASSENTAMENTO COM PREPARO EM BETONEIRA. AF_12/2021</t>
  </si>
  <si>
    <t>VERGA PRÉ-MOLDADA COM ATÉ 1,5 M DE VÃO, ESPESSURA DE *20* CM. AF_03/2024</t>
  </si>
  <si>
    <t>CONTRAVERGA PRÉ-MOLDADA, ESPESSURA DE *20* CM. AF_03/2024</t>
  </si>
  <si>
    <t>CHAPISCO APLICADO EM ALVENARIAS E ESTRUTURAS DE CONCRETO INTERNAS, COM COLHER DE PEDREIRO.  ARGAMASSA TRAÇO 1:3 COM PREPARO EM BETONEIRA 400L. AF_10/2022</t>
  </si>
  <si>
    <t>PAVIMENTAÇÃO</t>
  </si>
  <si>
    <t xml:space="preserve"> 6.1 </t>
  </si>
  <si>
    <t>PISO - QUADRA</t>
  </si>
  <si>
    <t xml:space="preserve"> 6.1.1 </t>
  </si>
  <si>
    <t>COMPACTAÇÃO MECÂNICA DE SOLO PARA EXECUÇÃO DE RADIER, PISO DE CONCRETO OU LAJE SOBRE SOLO, COM COMPACTADOR DE SOLOS A PERCUSSÃO. AF_09/2021</t>
  </si>
  <si>
    <t xml:space="preserve"> 6.1.2 </t>
  </si>
  <si>
    <t>LASTRO DE CONCRETO MAGRO, APLICADO EM PISOS, LAJES SOBRE SOLO OU RADIERS. AF_01/2024</t>
  </si>
  <si>
    <t xml:space="preserve"> 6.1.3 </t>
  </si>
  <si>
    <t>EXECUÇÃO DE PISO INDUSTRIAL DE CONCRETO ARMADO, FCK = 20 MPA, ESPESSURA DE 12,0 CM. AF_04/2022</t>
  </si>
  <si>
    <t xml:space="preserve"> 6.1.4 </t>
  </si>
  <si>
    <t>ACABAMENTO POLIDO PARA PISO DE CONCRETO ARMADO OU LAJE SOBRE SOLO DE ALTA RESISTÊNCIA. AF_09/2021</t>
  </si>
  <si>
    <t xml:space="preserve"> 6.1.5 </t>
  </si>
  <si>
    <t>JUNTA PLASTICA DE DILATACAO PARA PISOS, COR CINZA, 17 X 3 MM (ALTURA X ESPESSURA)</t>
  </si>
  <si>
    <t xml:space="preserve"> 6.2 </t>
  </si>
  <si>
    <t>PISO - BANHEIROS</t>
  </si>
  <si>
    <t xml:space="preserve"> 6.2.1 </t>
  </si>
  <si>
    <t xml:space="preserve"> 6.2.2 </t>
  </si>
  <si>
    <t>CONTRAPISO EM ARGAMASSA TRAÇO 1:4 (CIMENTO E AREIA), PREPARO MECÂNICO COM BETONEIRA 400 L, APLICADO EM ÁREAS MOLHADAS SOBRE LAJE, ADERIDO, ACABAMENTO NÃO REFORÇADO, ESPESSURA 3CM. AF_07/2021</t>
  </si>
  <si>
    <t xml:space="preserve"> 6.3 </t>
  </si>
  <si>
    <t>PISO - EXTERNO</t>
  </si>
  <si>
    <t>EXECUÇÃO DE PASSEIO (CALÇADA) OU PISO DE CONCRETO COM CONCRETO MOLDADO IN LOCO, FEITO EM OBRA, ACABAMENTO CONVENCIONAL, ESPESSURA 8 CM, ARMADO. AF_08/2022</t>
  </si>
  <si>
    <t>COBERTA - BANHEIRO</t>
  </si>
  <si>
    <t xml:space="preserve"> 7.1 </t>
  </si>
  <si>
    <t>TRAMA DE AÇO COMPOSTA POR TERÇAS PARA TELHADOS DE ATÉ 2 ÁGUAS PARA TELHA ONDULADA DE FIBROCIMENTO, METÁLICA, PLÁSTICA OU TERMOACÚSTICA, INCLUSO TRANSPORTE VERTICAL. AF_07/2019</t>
  </si>
  <si>
    <t xml:space="preserve"> 7.2 </t>
  </si>
  <si>
    <t xml:space="preserve"> 7.3 </t>
  </si>
  <si>
    <t xml:space="preserve"> 7.4 </t>
  </si>
  <si>
    <t>CALHA EM CHAPA DE AÇO GALVANIZADO NÚMERO 24, DESENVOLVIMENTO DE 50 CM, INCLUSO TRANSPORTE VERTICAL. AF_07/2019</t>
  </si>
  <si>
    <t>ESTRUTURA METÁLICA / COBERTA - QUADRA</t>
  </si>
  <si>
    <t xml:space="preserve"> 8.1 </t>
  </si>
  <si>
    <t>BASE - PILARES METÁLICOS</t>
  </si>
  <si>
    <t>KG</t>
  </si>
  <si>
    <t xml:space="preserve"> 8.2 </t>
  </si>
  <si>
    <t>ESTRUTURA METÁLICA</t>
  </si>
  <si>
    <t xml:space="preserve"> 8.2.1 </t>
  </si>
  <si>
    <t>ESTRUTURA TRELIÇADA DE COBERTURA, TIPO FINK, COM LIGAÇÕES SOLDADAS, INCLUSOS PERFIS METÁLICOS, CHAPAS METÁLICAS, MÃO DE OBRA E TRANSPORTE COM GUINDASTE - FORNECIMENTO E INSTALAÇÃO. (COMPOSIÇÃO da SINAPI 100775 ADAPTADA)</t>
  </si>
  <si>
    <t xml:space="preserve"> 8.3 </t>
  </si>
  <si>
    <t>GRAUTE PARA PROTEÇÃO DE PILAR METÁLICO</t>
  </si>
  <si>
    <t xml:space="preserve"> 8.3.1 </t>
  </si>
  <si>
    <t>MONTAGEM E DESMONTAGEM DE FÔRMA DE PILARES RETANGULARES E ESTRUTURAS SIMILARES, PÉ-DIREITO SIMPLES, EM CHAPA DE MADEIRA COMPENSADA RESINADA, 8 UTILIZAÇÕES. AF_09/2020</t>
  </si>
  <si>
    <t xml:space="preserve"> 8.3.2 </t>
  </si>
  <si>
    <t>GRAUTE FGK=15 MPA; TRAÇO 1:0,04:2,2:2,5 (EM MASSA SECA DE CIMENTO/CAL/AREIA GROSSA/BRITA 0) - PREPARO MECÂNICO COM BETONEIRA 400 L. AF_09/2021</t>
  </si>
  <si>
    <t xml:space="preserve"> 8.4 </t>
  </si>
  <si>
    <t>TELHAMENTO</t>
  </si>
  <si>
    <t xml:space="preserve"> 8.4.1 </t>
  </si>
  <si>
    <t xml:space="preserve"> 8.4.2 </t>
  </si>
  <si>
    <t>PINTURA COM TINTA ALQUÍDICA DE ACABAMENTO (ESMALTE SINTÉTICO BRILHANTE) PULVERIZADA SOBRE PERFIL METÁLICO EXECUTADO EM FÁBRICA  (POR DEMÃO). AF_01/2020_PE</t>
  </si>
  <si>
    <t>RUFO EM CHAPA DE AÇO GALVANIZADO NÚMERO 24, CORTE DE 25 CM, INCLUSO TRANSPORTE VERTICAL. AF_07/2019</t>
  </si>
  <si>
    <t>ESQUADRIAS - BANHEIROS</t>
  </si>
  <si>
    <t xml:space="preserve"> 9.1 </t>
  </si>
  <si>
    <t>PORTAS</t>
  </si>
  <si>
    <t xml:space="preserve"> 9.1.1 </t>
  </si>
  <si>
    <t>KIT DE PORTA-PRONTA DE MADEIRA EM ACABAMENTO MELAMÍNICO BRANCO, FOLHA LEVE OU MÉDIA, 80X210CM, EXCLUSIVE FECHADURA, FIXAÇÃO COM PREENCHIMENTO PARCIAL DE ESPUMA EXPANSIVA - FORNECIMENTO E INSTALAÇÃO. AF_12/2019</t>
  </si>
  <si>
    <t>FECHADURA DE EMBUTIR PARA PORTAS INTERNAS, COMPLETA, ACABAMENTO PADRÃO POPULAR, COM EXECUÇÃO DE FURO - FORNECIMENTO E INSTALAÇÃO. AF_12/2019</t>
  </si>
  <si>
    <t xml:space="preserve"> 9.2 </t>
  </si>
  <si>
    <t>JANELAS</t>
  </si>
  <si>
    <t xml:space="preserve"> 9.2.1 </t>
  </si>
  <si>
    <t>JANELA DE ALUMÍNIO TIPO MAXIM-AR, COM VIDROS, BATENTE E FERRAGENS. EXCLUSIVE ALIZAR, ACABAMENTO E CONTRAMARCO. FORNECIMENTO E INSTALAÇÃO. AF_12/2019</t>
  </si>
  <si>
    <t>FORROS - BANHEIROS</t>
  </si>
  <si>
    <t xml:space="preserve"> 10.1 </t>
  </si>
  <si>
    <t>FORRO EM PLACAS DE GESSO, PARA AMBIENTES COMERCIAIS. AF_08/2023_PS</t>
  </si>
  <si>
    <t>ACABAMENTOS DE PISO E PAREDES - BANHEIROS</t>
  </si>
  <si>
    <t xml:space="preserve"> 11.1 </t>
  </si>
  <si>
    <t>PISO</t>
  </si>
  <si>
    <t xml:space="preserve"> 11.1.1 </t>
  </si>
  <si>
    <t>REVESTIMENTO CERÂMICO PARA PISO COM PLACAS TIPO ESMALTADA EXTRA DE DIMENSÕES 45X45 CM APLICADA EM AMBIENTES DE ÁREA MAIOR QUE 10 M2. AF_02/2023_PE</t>
  </si>
  <si>
    <t xml:space="preserve"> 11.1.2 </t>
  </si>
  <si>
    <t>RODAPÉ CERÂMICO DE 7CM DE ALTURA COM PLACAS TIPO ESMALTADA EXTRA DE DIMENSÕES 45X45CM. AF_02/2023</t>
  </si>
  <si>
    <t xml:space="preserve"> 11.2 </t>
  </si>
  <si>
    <t>PAREDES INTERNAS</t>
  </si>
  <si>
    <t xml:space="preserve"> 11.2.1 </t>
  </si>
  <si>
    <t>REVESTIMENTO CERÂMICO PARA PAREDES INTERNAS COM PLACAS TIPO ESMALTADA EXTRA  DE DIMENSÕES 33X45 CM APLICADAS NA ALTURA INTEIRA DAS PAREDES. AF_02/2023_PE</t>
  </si>
  <si>
    <t xml:space="preserve"> 12.1 </t>
  </si>
  <si>
    <t>PINTURA DE PISO COM TINTA EPÓXI, APLICAÇÃO MANUAL, 2 DEMÃOS, INCLUSO PRIMER EPÓXI. AF_05/2021</t>
  </si>
  <si>
    <t xml:space="preserve"> 12.2 </t>
  </si>
  <si>
    <t>TETO</t>
  </si>
  <si>
    <t xml:space="preserve"> 12.2.1 </t>
  </si>
  <si>
    <t>FUNDO SELADOR ACRÍLICO, APLICAÇÃO MANUAL EM TETO, UMA DEMÃO. AF_04/2023</t>
  </si>
  <si>
    <t xml:space="preserve"> 12.2.2 </t>
  </si>
  <si>
    <t>EMASSAMENTO COM MASSA LÁTEX, APLICAÇÃO EM TETO, DUAS DEMÃOS, LIXAMENTO MANUAL. AF_04/2023</t>
  </si>
  <si>
    <t xml:space="preserve"> 12.2.3 </t>
  </si>
  <si>
    <t>PINTURA LÁTEX ACRÍLICA PREMIUM, APLICAÇÃO MANUAL EM TETO, DUAS DEMÃOS. AF_04/2023</t>
  </si>
  <si>
    <t xml:space="preserve"> 12.3 </t>
  </si>
  <si>
    <t>PAREDES EXTERNAS</t>
  </si>
  <si>
    <t xml:space="preserve"> 12.3.1 </t>
  </si>
  <si>
    <t>APLICAÇÃO MANUAL DE FUNDO SELADOR ACRÍLICO EM PAREDES EXTERNAS DE CASAS. AF_03/2024</t>
  </si>
  <si>
    <t xml:space="preserve"> 12.3.2 </t>
  </si>
  <si>
    <t>APLICAÇÃO MANUAL DE MASSA ACRÍLICA EM PAREDES EXTERNAS DE CASAS, DUAS DEMÃOS. AF_03/2024</t>
  </si>
  <si>
    <t xml:space="preserve"> 12.3.3 </t>
  </si>
  <si>
    <t>APLICAÇÃO MANUAL DE TINTA LÁTEX ACRÍLICA EM PAREDE EXTERNAS DE CASAS, DUAS DEMÃOS. AF_03/2024</t>
  </si>
  <si>
    <t>INSTALAÇÕES HIDROSSANITÁRIAS</t>
  </si>
  <si>
    <t xml:space="preserve"> 13.1 </t>
  </si>
  <si>
    <t>INSTALAÇÕES HIDRÁULICAS</t>
  </si>
  <si>
    <t xml:space="preserve"> 13.1.1 </t>
  </si>
  <si>
    <t>BUCHA DE REDUÇÃO, CURTA, PVC, SOLDÁVEL, DN 32 X 25 MM, INSTALADO EM RAMAL OU SUB-RAMAL DE ÁGUA - FORNECIMENTO E INSTALAÇÃO. AF_06/2022</t>
  </si>
  <si>
    <t xml:space="preserve"> 13.1.2 </t>
  </si>
  <si>
    <t xml:space="preserve"> 13.1.3 </t>
  </si>
  <si>
    <t>JOELHO 90 GRAUS, PVC, SOLDÁVEL, DN 25MM, INSTALADO EM RAMAL OU SUB-RAMAL DE ÁGUA - FORNECIMENTO E INSTALAÇÃO. AF_06/2022</t>
  </si>
  <si>
    <t xml:space="preserve"> 13.1.4 </t>
  </si>
  <si>
    <t>JOELHO 90 GRAUS, PVC, SOLDÁVEL, DN 32MM, INSTALADO EM RAMAL DE DISTRIBUIÇÃO DE ÁGUA - FORNECIMENTO E INSTALAÇÃO. AF_06/2022</t>
  </si>
  <si>
    <t xml:space="preserve"> 13.1.5 </t>
  </si>
  <si>
    <t>JOELHO 90 GRAUS, PVC, SOLDÁVEL, DN 50MM, INSTALADO EM RAMAL DE DISTRIBUIÇÃO DE ÁGUA - FORNECIMENTO E INSTALAÇÃO. AF_06/2022</t>
  </si>
  <si>
    <t xml:space="preserve"> 13.1.6 </t>
  </si>
  <si>
    <t>JOELHO 90 GRAUS COM BUCHA DE LATÃO, PVC, SOLDÁVEL, DN 25MM, X 3/4  INSTALADO EM RAMAL OU SUB-RAMAL DE ÁGUA - FORNECIMENTO E INSTALAÇÃO. AF_06/2022</t>
  </si>
  <si>
    <t xml:space="preserve"> 13.1.7 </t>
  </si>
  <si>
    <t>TE DE REDUÇÃO, 90 GRAUS, PVC, SOLDÁVEL, DN 50 MM X 32 MM, INSTALADO EM RAMAL DE DISTRIBUIÇÃO DE ÁGUA - FORNECIMENTO E INSTALAÇÃO. AF_06/2022</t>
  </si>
  <si>
    <t xml:space="preserve"> 13.1.8 </t>
  </si>
  <si>
    <t>TE, PVC, SOLDÁVEL, DN 25MM, INSTALADO EM RAMAL OU SUB-RAMAL DE ÁGUA - FORNECIMENTO E INSTALAÇÃO. AF_06/2022</t>
  </si>
  <si>
    <t xml:space="preserve"> 13.1.9 </t>
  </si>
  <si>
    <t>TE, PVC, SOLDÁVEL, DN 50MM, INSTALADO EM RAMAL DE DISTRIBUIÇÃO DE ÁGUA - FORNECIMENTO E INSTALAÇÃO. AF_06/2022</t>
  </si>
  <si>
    <t xml:space="preserve"> 13.1.10 </t>
  </si>
  <si>
    <t>TÊ COM BUCHA DE LATÃO NA BOLSA CENTRAL, PVC, SOLDÁVEL, DN 25MM X 3/4 , INSTALADO EM RAMAL OU SUB-RAMAL DE ÁGUA - FORNECIMENTO E INSTALAÇÃO. AF_06/2022</t>
  </si>
  <si>
    <t xml:space="preserve"> 13.1.11 </t>
  </si>
  <si>
    <t>TUBO, PVC, SOLDÁVEL, DN 25MM, INSTALADO EM RAMAL OU SUB-RAMAL DE ÁGUA - FORNECIMENTO E INSTALAÇÃO. AF_06/2022</t>
  </si>
  <si>
    <t xml:space="preserve"> 13.1.12 </t>
  </si>
  <si>
    <t>TUBO, PVC, SOLDÁVEL, DN 32MM, INSTALADO EM RAMAL OU SUB-RAMAL DE ÁGUA - FORNECIMENTO E INSTALAÇÃO. AF_06/2022</t>
  </si>
  <si>
    <t>TUBO, PVC, SOLDÁVEL, DN 50MM, INSTALADO EM RAMAL DE DISTRIBUIÇÃO DE ÁGUA - FORNECIMENTO E INSTALAÇÃO. AF_06/2022</t>
  </si>
  <si>
    <t>TUBO PVC, SÉRIE R, ÁGUA PLUVIAL, DN 100 MM, FORNECIDO E INSTALADO EM RAMAL DE ENCAMINHAMENTO. AF_06/2022</t>
  </si>
  <si>
    <t>REGISTRO DE GAVETA BRUTO, LATÃO, ROSCÁVEL, 1" - FORNECIMENTO E INSTALAÇÃO. AF_08/2021</t>
  </si>
  <si>
    <t>REGISTRO DE ESFERA, PVC, SOLDÁVEL, COM VOLANTE, DN  50 MM - FORNECIMENTO E INSTALAÇÃO. AF_08/2021</t>
  </si>
  <si>
    <t>CAIXA D´ÁGUA EM POLIETILENO, 1000 LITROS - FORNECIMENTO E INSTALAÇÃO. AF_06/2021</t>
  </si>
  <si>
    <t>INSTALAÇÕES SANITÁRIAS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</si>
  <si>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</si>
  <si>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</si>
  <si>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</si>
  <si>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</si>
  <si>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</si>
  <si>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JUNÇÃO SIMPLES, PVC, SERIE NORMAL, ESGOTO PREDIAL, DN 40 MM, JUNTA SOLDÁVEL, FORNECIDO E INSTALADO EM RAMAL DE DESCARGA OU RAMAL DE ESGOTO SANITÁRIO. AF_08/2022</t>
  </si>
  <si>
    <t>JUNÇÃO SIMPLES, PVC, SERIE NORMAL, ESGOTO PREDIAL, DN 100 X 100 MM, JUNTA ELÁSTICA, FORNECIDO E INSTALADO EM PRUMADA DE ESGOTO SANITÁRIO OU VENTILAÇÃO. AF_08/2022</t>
  </si>
  <si>
    <t>LUVA SIMPLES, PVC, SERIE NORMAL, ESGOTO PREDIAL, DN 50 MM, JUNTA ELÁSTICA, FORNECIDO E INSTALADO EM RAMAL DE DESCARGA OU RAMAL DE ESGOTO SANITÁRIO. AF_08/2022</t>
  </si>
  <si>
    <t>LUVA SIMPLES, PVC, SERIE NORMAL, ESGOTO PREDIAL, DN 100 MM, JUNTA ELÁSTICA, FORNECIDO E INSTALADO EM RAMAL DE DESCARGA OU RAMAL DE ESGOTO SANITÁRIO. AF_08/2022</t>
  </si>
  <si>
    <t>TE, PVC, SERIE NORMAL, ESGOTO PREDIAL, DN 50 X 50 MM, JUNTA ELÁSTICA, FORNECIDO E INSTALADO EM PRUMADA DE ESGOTO SANITÁRIO OU VENTILAÇÃO. AF_08/2022</t>
  </si>
  <si>
    <t>TUBO PVC, SERIE NORMAL, ESGOTO PREDIAL, DN 50 MM,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</si>
  <si>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</si>
  <si>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100 MM, FORNECIDO E INSTALADO EM RAMAL DE DESCARGA OU RAMAL DE ESGOTO SANITÁRIO. AF_08/2022</t>
  </si>
  <si>
    <t>CAIXA SIFONADA, PVC, DN 150 X 185 X 75 MM, JUNTA ELÁSTICA, FORNECIDA E INSTALADA EM RAMAL DE DESCARGA OU EM RAMAL DE ESGOTO SANITÁRIO. AF_08/2022</t>
  </si>
  <si>
    <t>PROLONGAMENTO / PROLONGADOR PARA CAIXA SIFONADA, PVC, 150 MM X 200 MM (NBR 5688)</t>
  </si>
  <si>
    <t>ACABAMENTOS</t>
  </si>
  <si>
    <t>m</t>
  </si>
  <si>
    <t>TESTEIRA EM GRANITO VERDE UBATUBA, H=10CM, ESP=2CM, APLICADO COM ARGAMASSA INDUSTRIALIZADA AC-I</t>
  </si>
  <si>
    <t>VASO SANITÁRIO SIFONADO COM CAIXA ACOPLADA LOUÇA BRANCA, INCLUSO ENGATE FLEXÍVEL EM PLÁSTICO BRANCO, 1/2  X 40CM - FORNECIMENTO E INSTALAÇÃO. AF_01/2020</t>
  </si>
  <si>
    <t>VASO SANITARIO SIFONADO CONVENCIONAL PARA PCD SEM FURO FRONTAL COM LOUÇA BRANCA SEM ASSENTO, INCLUSO CONJUNTO DE LIGAÇÃO PARA BACIA SANITÁRIA AJUSTÁVEL - FORNECIMENTO E INSTALAÇÃO. AF_01/2020</t>
  </si>
  <si>
    <t>ASSENTO SANITÁRIO CONVENCIONAL - FORNECIMENTO E INSTALACAO. AF_01/2020</t>
  </si>
  <si>
    <t>TORNEIRA CROMADA DE MESA, 1/2" OU 3/4", PARA LAVATÓRIO, PADRÃO MÉDIO - FORNECIMENTO E INSTALAÇÃO. AF_01/2020</t>
  </si>
  <si>
    <t>CUBA DE EMBUTIR OVAL EM LOUÇA BRANCA, 35 X 50CM OU EQUIVALENTE, INCLUSO VÁLVULA E SIFÃO TIPO GARRAFA EM METAL CROMADO - FORNECIMENTO E INSTALAÇÃO. AF_01/2020</t>
  </si>
  <si>
    <t>SABONETEIRA PLASTICA TIPO DISPENSER PARA SABONETE LIQUIDO COM RESERVATORIO 800 A 1500 ML, INCLUSO FIXAÇÃO. AF_01/2020</t>
  </si>
  <si>
    <t>TOALHEIRO PLASTICO TIPO DISPENSER PARA PAPEL TOALHA INTERFOLHADO</t>
  </si>
  <si>
    <t>BARRA DE APOIO RETA, EM ACO INOX POLIDO, COMPRIMENTO 80 CM,  FIXADA NA PAREDE - FORNECIMENTO E INSTALAÇÃO. AF_01/2020</t>
  </si>
  <si>
    <t>PUXADOR PARA PCD, FIXADO NA PORTA - FORNECIMENTO E INSTALAÇÃO. AF_01/2020</t>
  </si>
  <si>
    <t>ESPELHO CRISTAL E = 4 MM</t>
  </si>
  <si>
    <t>INSTALAÇÕES ELETRICAS</t>
  </si>
  <si>
    <t xml:space="preserve"> 14.1 </t>
  </si>
  <si>
    <t>ACESSÓRIOS P/ ELETRODUTOS</t>
  </si>
  <si>
    <t>CAIXA OCTOGONAL 4" X 4", PVC, INSTALADA EM LAJE - FORNECIMENTO E INSTALAÇÃO. AF_03/2023</t>
  </si>
  <si>
    <t>CAIXA DE PASSAGEM, EM PVC, DE 4" X 2", PARA ELETRODUTO FLEXIVEL CORRUGADO</t>
  </si>
  <si>
    <t>CONDULETE DE PVC, TIPO T, PARA ELETRODUTO DE PVC SOLDÁVEL DN 32 MM (1''), APARENTE - FORNECIMENTO E INSTALAÇÃO. AF_10/2022</t>
  </si>
  <si>
    <t>TAMPA CEGA EM PVC PARA CONDULETE 4 X 2"</t>
  </si>
  <si>
    <t xml:space="preserve"> 14.2 </t>
  </si>
  <si>
    <t>CABOS E FIOS CONDUTORES</t>
  </si>
  <si>
    <t xml:space="preserve"> 14.2.1 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</si>
  <si>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</si>
  <si>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</si>
  <si>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</si>
  <si>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10 MM², ANTI-CHAMA 450/750 V, PARA CIRCUITOS TERMINAIS - FORNECIMENTO E INSTALAÇÃO. AF_03/2023</t>
  </si>
  <si>
    <t xml:space="preserve"> 14.3 </t>
  </si>
  <si>
    <t>DISPOSITIVO ELÉTRICO - EMBUTIDO</t>
  </si>
  <si>
    <t xml:space="preserve"> 14.3.1 </t>
  </si>
  <si>
    <t>INTERRUPTOR SIMPLES (1 MÓDULO), 10A/250V, INCLUINDO SUPORTE E PLACA - FORNECIMENTO E INSTALAÇÃO. AF_03/2023</t>
  </si>
  <si>
    <t>TOMADA BAIXA DE EMBUTIR (2 MÓDULOS), 2P+T 10 A, INCLUINDO SUPORTE E PLACA - FORNECIMENTO E INSTALAÇÃO. AF_03/2023</t>
  </si>
  <si>
    <t xml:space="preserve"> 14.4 </t>
  </si>
  <si>
    <t>DISPOSITIVO DE PROTEÇÃO</t>
  </si>
  <si>
    <t xml:space="preserve"> 14.4.1 </t>
  </si>
  <si>
    <t>DISJUNTOR MONOPOLAR TIPO DIN, CORRENTE NOMINAL DE 10A - FORNECIMENTO E INSTALAÇÃO. AF_10/2020</t>
  </si>
  <si>
    <t xml:space="preserve"> 14.5 </t>
  </si>
  <si>
    <t>ELETRODUTOS</t>
  </si>
  <si>
    <t xml:space="preserve"> 14.5.1 </t>
  </si>
  <si>
    <t>ELETRODUTO FLEXÍVEL CORRUGADO, PVC, DN 25 MM (3/4"), PARA CIRCUITOS TERMINAIS, INSTALADO EM PAREDE - FORNECIMENTO E INSTALAÇÃO. AF_03/2023</t>
  </si>
  <si>
    <t xml:space="preserve"> 14.6 </t>
  </si>
  <si>
    <t>QUADROS E ENTRADAS</t>
  </si>
  <si>
    <t xml:space="preserve"> 14.6.1 </t>
  </si>
  <si>
    <t xml:space="preserve"> 14.6.2 </t>
  </si>
  <si>
    <t xml:space="preserve"> 14.7 </t>
  </si>
  <si>
    <t>ILUMINAÇÃO</t>
  </si>
  <si>
    <t xml:space="preserve"> 14.7.1 </t>
  </si>
  <si>
    <t>LUMINÁRIA PLAFON 25W LED QUADRADO DE EMBUTIR - BRANCO FRIO</t>
  </si>
  <si>
    <t xml:space="preserve"> 15.1 </t>
  </si>
  <si>
    <t xml:space="preserve"> 15.1.1 </t>
  </si>
  <si>
    <t>ESCAVAÇÃO MECANIZADA PARA BLOCO DE COROAMENTO OU SAPATA COM RETROESCAVADEIRA (INCLUINDO ESCAVAÇÃO PARA COLOCAÇÃO DE FÔRMAS). AF_01/2024</t>
  </si>
  <si>
    <t>REATERRO MANUAL DE VALAS, COM COMPACTADOR DE SOLOS DE PERCUSSÃO. AF_08/2023</t>
  </si>
  <si>
    <t xml:space="preserve"> 15.2 </t>
  </si>
  <si>
    <t xml:space="preserve"> 15.2.1 </t>
  </si>
  <si>
    <t>ESCAVAÇÃO MECANIZADA PARA VIGA BALDRAME OU SAPATA CORRIDA COM MINI-ESCAVADEIRA (INCLUINDO ESCAVAÇÃO PARA COLOCAÇÃO DE FÔRMAS). AF_01/2024</t>
  </si>
  <si>
    <t xml:space="preserve"> 15.3 </t>
  </si>
  <si>
    <t xml:space="preserve"> 15.4 </t>
  </si>
  <si>
    <t xml:space="preserve"> 15.5 </t>
  </si>
  <si>
    <t>LAJES</t>
  </si>
  <si>
    <t xml:space="preserve"> 15.5.1 </t>
  </si>
  <si>
    <t xml:space="preserve"> 15.6 </t>
  </si>
  <si>
    <t>ATERRO MANUAL DE VALAS COM AREIA PARA ATERRO. AF_08/2023</t>
  </si>
  <si>
    <t xml:space="preserve"> 15.7 </t>
  </si>
  <si>
    <t>CHAPISCO / REBOCO</t>
  </si>
  <si>
    <t xml:space="preserve"> 15.7.1 </t>
  </si>
  <si>
    <t xml:space="preserve"> 15.7.2 </t>
  </si>
  <si>
    <t>PINTURA</t>
  </si>
  <si>
    <t>FUNDO SELADOR ACRÍLICO, APLICAÇÃO MANUAL EM PAREDE, UMA DEMÃO. AF_04/2023</t>
  </si>
  <si>
    <t>SEINFRA</t>
  </si>
  <si>
    <t>DIVERSOS</t>
  </si>
  <si>
    <t>CONJUNTO PARA QUADRA DE VOLEI COM POSTES EM TUBO DE ACO GALVANIZADO 3", H = *255* CM, PINTURA EM TINTA ESMALTE SINTETICO, REDE DE NYLON COM 2 MM, MALHA 10 X 10 CM E ANTENAS OFICIAIS EM FIBRA DE VIDRO</t>
  </si>
  <si>
    <t>CONJUNTO PARA FUTSAL COM PAR DE TRAVES OFICIAIS DE 3,00 X 2,00 M EM TUBO DE ACO GALVANIZADO 3" COM REQUADROS EM TUBO DE 1", PINTURA EM PRIMER COM TINTA ESMALTE SINTETICO E REDES DE POLIETILENO FIO 4 MM</t>
  </si>
  <si>
    <t>MEMÓRIA DE CÁLCULO</t>
  </si>
  <si>
    <t>OBRA:</t>
  </si>
  <si>
    <t>LOCAL:</t>
  </si>
  <si>
    <t>Local do Serviço</t>
  </si>
  <si>
    <t>Comp.</t>
  </si>
  <si>
    <t>Larg.</t>
  </si>
  <si>
    <t>altura / *</t>
  </si>
  <si>
    <t>=</t>
  </si>
  <si>
    <t>mês</t>
  </si>
  <si>
    <t>Área m²</t>
  </si>
  <si>
    <t xml:space="preserve"> 3.1.1</t>
  </si>
  <si>
    <t xml:space="preserve"> 3.1.2</t>
  </si>
  <si>
    <t xml:space="preserve"> 3.1.3</t>
  </si>
  <si>
    <t xml:space="preserve"> 3.1.4</t>
  </si>
  <si>
    <t xml:space="preserve"> 3.1.5</t>
  </si>
  <si>
    <t>8.1.2</t>
  </si>
  <si>
    <t>8.1.3</t>
  </si>
  <si>
    <t>8.1.4</t>
  </si>
  <si>
    <t>8.1.5</t>
  </si>
  <si>
    <t xml:space="preserve"> 12.1.1</t>
  </si>
  <si>
    <t>Ud</t>
  </si>
  <si>
    <t>S - 0,75 X 0,75</t>
  </si>
  <si>
    <t>VOLUME TOTAL DE ESCAVAÇÃO FUNDAÇÃO</t>
  </si>
  <si>
    <t>DESONTO DO LASTRO DE CONCRETO</t>
  </si>
  <si>
    <t>DESCONTO VOLUME TOTAL DE CONCRETO FUNDAÇÃO</t>
  </si>
  <si>
    <t>Viga - 15/30</t>
  </si>
  <si>
    <t>VOLUME TOTAL DE ESCAVAÇÃO DAS VIGAS</t>
  </si>
  <si>
    <t>DESCONTO VOLUME TOTAL DE CONCRETO DAS VIGAS</t>
  </si>
  <si>
    <t>8.1.1</t>
  </si>
  <si>
    <t>Paredes do Banheiro</t>
  </si>
  <si>
    <t>DESCONTO DAS ESQUADRIAS</t>
  </si>
  <si>
    <t>P01</t>
  </si>
  <si>
    <t>J01</t>
  </si>
  <si>
    <t xml:space="preserve"> 4.4.2</t>
  </si>
  <si>
    <t xml:space="preserve"> 4.4.3</t>
  </si>
  <si>
    <t>Wc Feminino</t>
  </si>
  <si>
    <t>Wc masculino</t>
  </si>
  <si>
    <t>DML</t>
  </si>
  <si>
    <t>Hall</t>
  </si>
  <si>
    <t>Desconto do Hall de entrada</t>
  </si>
  <si>
    <t>Externo</t>
  </si>
  <si>
    <t>Perimetro da quadra</t>
  </si>
  <si>
    <t>Kg</t>
  </si>
  <si>
    <t xml:space="preserve"> 9.1.2</t>
  </si>
  <si>
    <t xml:space="preserve"> 9.1.3</t>
  </si>
  <si>
    <t>Desconto das esquadrias</t>
  </si>
  <si>
    <t>PAPELEIRA DE PAREDE EM METAL CROMADO SEM TAMPA, INCLUSO FIXAÇÃO. AF_01/2020</t>
  </si>
  <si>
    <t>ARQUBANCADA - DUAS</t>
  </si>
  <si>
    <t>DESCONTO VOLUME TOTAL DE  CONCRETO ARRANQUE DE PILARES DA ARQUIBANCADA - 0,12X0,30</t>
  </si>
  <si>
    <t xml:space="preserve">V - 0,12 x 0,40 </t>
  </si>
  <si>
    <t>Fiada de alvenaria  - Segundo lance</t>
  </si>
  <si>
    <t>Fiada de alvenaria  - Terceiro lance - frontal</t>
  </si>
  <si>
    <t>Fiada de alvenaria  - Terceiro lance - lateral</t>
  </si>
  <si>
    <t>Fiada de alvenaria  - parede posterior</t>
  </si>
  <si>
    <t>Degraus pequenos</t>
  </si>
  <si>
    <t>face frontal - primeiro lance</t>
  </si>
  <si>
    <t>face superior - primeiro lance</t>
  </si>
  <si>
    <t>face frontal - segundo lance</t>
  </si>
  <si>
    <t>face superior - segundo lance</t>
  </si>
  <si>
    <t>face frontal - terceiro lance</t>
  </si>
  <si>
    <t>face superior - terceiro lance</t>
  </si>
  <si>
    <t>faces laterais</t>
  </si>
  <si>
    <t>face posterior</t>
  </si>
  <si>
    <t>Vermelho</t>
  </si>
  <si>
    <t>Branco</t>
  </si>
  <si>
    <t>Azul claro</t>
  </si>
  <si>
    <t>Verde</t>
  </si>
  <si>
    <t>V - 0,15 x 0,30</t>
  </si>
  <si>
    <t>Quilos</t>
  </si>
  <si>
    <t>VT - 0,40 x 0,20</t>
  </si>
  <si>
    <t>Telha natural</t>
  </si>
  <si>
    <t xml:space="preserve">CRONOGRAMA FÍSICO-FINANCEIRO </t>
  </si>
  <si>
    <t xml:space="preserve">OBRA: </t>
  </si>
  <si>
    <t>ITEM</t>
  </si>
  <si>
    <t>SERVIÇOS</t>
  </si>
  <si>
    <t>TOTAL</t>
  </si>
  <si>
    <t>R$</t>
  </si>
  <si>
    <t>%</t>
  </si>
  <si>
    <t>COMPOSIÇÃO DE BDI (BONIFICAÇÃO E DESPESAS INDIRETAS)</t>
  </si>
  <si>
    <t>DISCRIMINAÇÃO</t>
  </si>
  <si>
    <t>ADMINISTRAÇÃO CENTRAL (AC)</t>
  </si>
  <si>
    <t>SEGURO E GARANTIA (SG)</t>
  </si>
  <si>
    <t xml:space="preserve">RISCO (R) </t>
  </si>
  <si>
    <t>DESPESAS FINANCEIRA (DF)</t>
  </si>
  <si>
    <t>LUCRO (L)</t>
  </si>
  <si>
    <t>TRIBUTOS (T)</t>
  </si>
  <si>
    <t>PIS</t>
  </si>
  <si>
    <t>COFINS</t>
  </si>
  <si>
    <t>ISS</t>
  </si>
  <si>
    <t>CPRB</t>
  </si>
  <si>
    <t>BDI = [[{(1+(AC/100 +R/100+SG/100+))*(1+DF/100)*(1+L/100)}/(1-T/100)]-1]*100</t>
  </si>
  <si>
    <t>ELETRICISTA COM ENCARGOS COMPLEMENTARES</t>
  </si>
  <si>
    <t>SERVENTE COM ENCARGOS COMPLEMENTARES</t>
  </si>
  <si>
    <t>AJUDANTE DE ESTRUTURA METÁLICA COM ENCARGOS COMPLEMENTARES</t>
  </si>
  <si>
    <t>GUINDASTE HIDRÁULICO AUTOPROPELIDO, COM LANÇA TELESCÓPICA 40 M, CAPACIDADE MÁXIMA 60 T, POTÊNCIA 260 KW - CHI DIURNO. AF_03/2016</t>
  </si>
  <si>
    <t>CHI</t>
  </si>
  <si>
    <t>CHP</t>
  </si>
  <si>
    <t>MONTADOR DE ESTRUTURA METÁLICA COM ENCARGOS COMPLEMENTARES</t>
  </si>
  <si>
    <t>PINTURA COM TINTA ALQUÍDICA DE FUNDO (TIPO ZARCÃO) PULVERIZADA SOBRE PERFIL METÁLICO EXECUTADO EM FÁBRICA (POR DEMÃO). AF_01/2020_PE</t>
  </si>
  <si>
    <t>SOLDADOR COM ENCARGOS COMPLEMENTARES</t>
  </si>
  <si>
    <t>CANTONEIRA ACO ABAS IGUAIS (QUALQUER BITOLA), ESPESSURA ENTRE 1/8" E 1/4"</t>
  </si>
  <si>
    <t>CHAPA DE ACO GROSSA, ASTM A36, E = 1/2" (12,70 MM) 99,59 KG/M2</t>
  </si>
  <si>
    <t>CHAPA DE ACO GROSSA, ASTM A36, E = 3/8" (9,53 MM) 74,69 KG/M2</t>
  </si>
  <si>
    <t>PEDREIRO COM ENCARGOS COMPLEMENTARES</t>
  </si>
  <si>
    <t>03</t>
  </si>
  <si>
    <t>COTAÇÕES</t>
  </si>
  <si>
    <t>EMPRESAS</t>
  </si>
  <si>
    <t>CNPJ</t>
  </si>
  <si>
    <t>NOME</t>
  </si>
  <si>
    <t>CONTATO</t>
  </si>
  <si>
    <t>E001</t>
  </si>
  <si>
    <t>47.960.950/1088-36</t>
  </si>
  <si>
    <t>MAGAZINE LUIZA</t>
  </si>
  <si>
    <t>www.magazineluiza.com.br</t>
  </si>
  <si>
    <t>E002</t>
  </si>
  <si>
    <t>15.436.940/0001-03</t>
  </si>
  <si>
    <t>AMAZON</t>
  </si>
  <si>
    <t>www.amazon.com.br</t>
  </si>
  <si>
    <t>E003</t>
  </si>
  <si>
    <t xml:space="preserve"> 33.779.899/0001-41</t>
  </si>
  <si>
    <t>SUSTENTA LED</t>
  </si>
  <si>
    <t>www.sustentaled.com.br</t>
  </si>
  <si>
    <t>FONTE</t>
  </si>
  <si>
    <t>CÓDIGO</t>
  </si>
  <si>
    <t>DESCRIÇÃO</t>
  </si>
  <si>
    <t>MEDIANA (VALOR POR UNIDADE)</t>
  </si>
  <si>
    <t>COTAÇÃO</t>
  </si>
  <si>
    <t>01</t>
  </si>
  <si>
    <t>LUMINÁRIA PLAFON 25W LED QUADRADO EMBUTIR BRANCO FRIO</t>
  </si>
  <si>
    <t>DATA</t>
  </si>
  <si>
    <t>EMPRESA</t>
  </si>
  <si>
    <t>NOME DA EMPRESA</t>
  </si>
  <si>
    <t>02</t>
  </si>
  <si>
    <t>TANQUE DE LOUÇA BRANCA COM COLUNA, 30L OU EQUIVALENTE, INCLUSO SIFÃO FLEXÍVEL EM PVC, VÁLVULA METÁLICA E TORNEIRA DE METAL CROMADO PADRÃO MÉDIO - FORNECIMENTO E INSTALAÇÃO. AF_01/2020</t>
  </si>
  <si>
    <t>1° MÊS</t>
  </si>
  <si>
    <t>2° MÊS</t>
  </si>
  <si>
    <t>3° MÊS</t>
  </si>
  <si>
    <t>4° MÊS</t>
  </si>
  <si>
    <t>SINAPI I</t>
  </si>
  <si>
    <t xml:space="preserve">SINAPI I </t>
  </si>
  <si>
    <t>COMPOSIÇÃO</t>
  </si>
  <si>
    <t>1.0</t>
  </si>
  <si>
    <t>2.0</t>
  </si>
  <si>
    <t>3.0</t>
  </si>
  <si>
    <t>4.0</t>
  </si>
  <si>
    <t>5.0</t>
  </si>
  <si>
    <t>6.0</t>
  </si>
  <si>
    <t>7.0</t>
  </si>
  <si>
    <t>8.0</t>
  </si>
  <si>
    <t>9.0</t>
  </si>
  <si>
    <t>10.0</t>
  </si>
  <si>
    <t>11.0</t>
  </si>
  <si>
    <t>12.0</t>
  </si>
  <si>
    <t>13.0</t>
  </si>
  <si>
    <t>14.0</t>
  </si>
  <si>
    <t>15.0</t>
  </si>
  <si>
    <t>16.0</t>
  </si>
  <si>
    <t>5° MÊS</t>
  </si>
  <si>
    <t>6° MÊS</t>
  </si>
  <si>
    <t>7° MÊS</t>
  </si>
  <si>
    <t>8° MÊS</t>
  </si>
  <si>
    <t>BARRACÃO PARA OBRAS DE MÉDIO PORTE REAPROVEITAMENTO 2 VEZES</t>
  </si>
  <si>
    <t>INSTALAÇÃO PROVISÓRIA DE ENERGIA ELÉTRICA, AEREA, TRIFASICA, EM POSTE GALVANIZADO, EXCLUSIVE FORNECIMENTO DO MEDIDOR</t>
  </si>
  <si>
    <t>TELHAMENTO COM TELHA EM ALUMÍNIO, SIMPLES, TRAPEZOIDAL, NÃO PINTADA E = 0,5 MM - REV. 01</t>
  </si>
  <si>
    <t>CAP DE PVC RÍGIDO SOLDÁVEL, MARROM, DIÂM = 50MM</t>
  </si>
  <si>
    <t>JUNÇÃO SIMPLES EM PVC RÍGIDO SOLDÁVEL, PARA ESGOTO PRIMÁRIO, DIÂM = 100 X 50MM</t>
  </si>
  <si>
    <t>CAIXA DE INSPEÇÃO  0.60 X 0.60 X 0.60M</t>
  </si>
  <si>
    <t>BANCADA EM GRANITO VERDE UBATUBA, E = 2CM</t>
  </si>
  <si>
    <t>RODOPIA EM GRANITO PRETO, H = 10 CM, APLICADO COM ARGAMASSA INDUSTRIALIZADA AC-I</t>
  </si>
  <si>
    <t>DIVISÓRIA EM GRANITO VERDE UBATUBA, POLIDO DOS DOIS LADOS, ACABAMENTO BOLEADO, E= 2CM, ASSENTADO COM ARGAMASSA TRACO 1:4, ARREMATE EM CIMENTO BRANCO, EXCLUSIVE FERRAGENS</t>
  </si>
  <si>
    <t>ENTRADA DE ENERGIA ELÉTRICA TRIFÁSICA DEMANDA ENTRE 0 E 15,2 KW - REV 01</t>
  </si>
  <si>
    <t>REFLETOR SLIM LED 200W DE POTÊNCIA, BRANCO FRIO, 6500K, AUTOVOLT, MARCA G-LIGHT OU SIMILAR</t>
  </si>
  <si>
    <t>LAJE PRÉ-FABRICADA TRELIÇADA PARA PISO OU COBERTURA, INTEREIXO 38CM, H=12CM, EL. ENCHIMENTO EM EPS H=8CM, INCLUSIVE ESCORAMENTO EM MADEIRA E CAPEAMENTO 4CM</t>
  </si>
  <si>
    <t>Graute de proteção dos pilares - faces laterais</t>
  </si>
  <si>
    <t>Graute de proteção dos pilares - face superior</t>
  </si>
  <si>
    <t>PORTA EM ALUMÍNIO DE ABRIR TIPO VENEZIANA COM GUARNIÇÃO, FIXAÇÃO COM PARAFUSOS - FORNECIMENTO E INSTALAÇÃO. AF_12/2019</t>
  </si>
  <si>
    <t>P02</t>
  </si>
  <si>
    <t>P03</t>
  </si>
  <si>
    <t>Desconto dos vãos das esquadrias</t>
  </si>
  <si>
    <t xml:space="preserve">juntas no meio da quadra </t>
  </si>
  <si>
    <t>S - 0,85 X 0,85</t>
  </si>
  <si>
    <t>ALAMBRADO</t>
  </si>
  <si>
    <t>ALAMBRADO (HT=5,10M) COM TELA GALVANIZADA MALHA 2" X 2" (H=1,50M), TELA EM NYLON 10 X 10 CM (H=3,00M), MONTANTES EM TUBOS GALVANIZADOS VERTICAIS DE 2" ACADA 2M, TUBOS GALVANIZADOS HORIZONTAIS DE 1", MURETA (H=0,50M) EM ALVENARIADE BLOCOS DE CONCRETO *9X19X39CM* C/ JUNTA SERRADA/APARENTE (C/ BASE EMALVENARIA DE PEDRA ARGAMASSADA E LASTRO EM CONCRETO CICLÓPICO), C/PINTURA SOBRE ALVENARIA APARENTE (SELADOR ACRÍLICO + TINTA TEXTURIZADAACRÍLICA) [CONFORME COMPOSIÇÃO 04299/ORSE - ADAPTADA]</t>
  </si>
  <si>
    <t xml:space="preserve">Cód. </t>
  </si>
  <si>
    <t>Descrição:</t>
  </si>
  <si>
    <t>Codigo</t>
  </si>
  <si>
    <t>Referencia</t>
  </si>
  <si>
    <t>Desc. do Insumo</t>
  </si>
  <si>
    <t>Unid</t>
  </si>
  <si>
    <t>P. Unit (R$)</t>
  </si>
  <si>
    <t>Mês / Dias</t>
  </si>
  <si>
    <t>P. Total (R$)</t>
  </si>
  <si>
    <t>MÃO DE OBRA</t>
  </si>
  <si>
    <t xml:space="preserve">SINAPI </t>
  </si>
  <si>
    <t>MONTADOR (TUBO AÇO/EQUIPAMENTOS) COM ENCARGOS COMPLEMENTARES</t>
  </si>
  <si>
    <t xml:space="preserve">H </t>
  </si>
  <si>
    <t>Sub total MO ( com os Encargos Sociais ):</t>
  </si>
  <si>
    <t>00091</t>
  </si>
  <si>
    <t>M3</t>
  </si>
  <si>
    <t>CONCRETO CICLÓPICO FCK = 15MPA, 30% PEDRA DE MÃO EM VOLUME REAL, INCLUSIVE LANÇAMENTO. AF_05/2021</t>
  </si>
  <si>
    <t>ALVENARIA DE VEDAÇÃO DE BLOCOS VAZADOS DE CONCRETO DE 9X19X39 CM (ESPESSURA 9 CM) E ARGAMASSA DE ASSENTAMENTO COM PREPARO EM BETONEIRA. AF_12/2021</t>
  </si>
  <si>
    <t>M2</t>
  </si>
  <si>
    <t>APLICAÇÃO MANUAL DE FUNDO SELADOR ACRÍLICO EM PAREDES EXTERNAS DE CASAS. AF_06/2014</t>
  </si>
  <si>
    <t>APLICAÇÃO MANUAL DE PINTURA COM TINTA TEXTURIZADA ACRÍLICA EM PAREDES EXTERNAS DE CASAS, UMA COR. AF_06/2014</t>
  </si>
  <si>
    <t>Sub total MATERIAIS:</t>
  </si>
  <si>
    <t>INSUMOS</t>
  </si>
  <si>
    <t>TELA DE ARAME GALVANIZADA QUADRANGULAR / LOSANGULAR, FIO 2,77 MM (12 BWG), MALHA 5 X 5 CM, H = 2 M</t>
  </si>
  <si>
    <t>ELETRODO REVESTIDO AWS - E7018, DIAMETRO IGUAL A 4,00 MM</t>
  </si>
  <si>
    <t>ARAME RECOZIDO 16 BWG, D = 1,65 MM (0,016 KG/M) OU 18 BWG, D = 1,25 MM (0,01 KG/M)</t>
  </si>
  <si>
    <t>TUBO ACO GALVANIZADO COM COSTURA, CLASSE LEVE, DN 25 MM ( 1"), E = 2,65 MM, *2,11* KG/M (NBR 5580)</t>
  </si>
  <si>
    <t xml:space="preserve">M </t>
  </si>
  <si>
    <t>TUBO ACO GALVANIZADO COM COSTURA, CLASSE LEVE, DN 50 MM ( 2"), E = 3,00 MM, *4,40* KG/M (NBR 5580)</t>
  </si>
  <si>
    <t>TELA DE NYLON, FIO 30-36 (3,6MM), MALHA 10X10CM</t>
  </si>
  <si>
    <t>Sub total SERVIÇOS:</t>
  </si>
  <si>
    <t>Total ( MO + MAT + SER):</t>
  </si>
  <si>
    <t>PREÇO UNITÁRIO TOTAL:</t>
  </si>
  <si>
    <t>8.5</t>
  </si>
  <si>
    <t>8.5.1</t>
  </si>
  <si>
    <t>SPDA</t>
  </si>
  <si>
    <t>CABO DE COBRE NU 50 MM2 MEIO-DURO</t>
  </si>
  <si>
    <t>14.8</t>
  </si>
  <si>
    <t>14.8.1</t>
  </si>
  <si>
    <t>14.8.2</t>
  </si>
  <si>
    <t>14.8.3</t>
  </si>
  <si>
    <t>14.8.4</t>
  </si>
  <si>
    <t>EQUIPAMENTOS DA QUADRA</t>
  </si>
  <si>
    <t>EXTINTOR DE PÓ QUÍMICO ABC, CAPACIDADE 6 KG, ALCANCE MÉDIO DO JATO 5M , TEMPO DE DESCARGA 12S, NBR9443, 9444, 10721</t>
  </si>
  <si>
    <t>EXTINTOR DE ÁGUA PRESSURIZADA CAPACIDADE 10 LITROS, INSTALADO</t>
  </si>
  <si>
    <t>PLACA DE SINALIZACAO, FOTOLUMINESCENTE, 38X19 CM, EM PVC , COM SETA INDICATIVA DE SENTIDO (ESQUERDA OU DIREITA) DE SAÍDA DE EMERGÊNCIA- PLACA S2</t>
  </si>
  <si>
    <t>LUMINÁRIA DE EMERGÊNCIA, DE SOBREPOR, TIPO BALIZAMENTO COM BLOCO AUTÔNOMO, COM AUTONOMIA DE 3H, MODELO LLE 1106-1DFB, DA KBR OU SIMILAR</t>
  </si>
  <si>
    <t>CAIXA DE INSPEÇÃO PARA ATERRAMENTO, CIRCULAR, EM POLIETILENO, DIÂMETRO INTERNO = 0,3 M. AF_12/2020</t>
  </si>
  <si>
    <t>HASTE DE ATERRAMENTO 3/4 PARA SPDA - FORNECIMENTO E INSTALAÇÃO. AF_12/2017</t>
  </si>
  <si>
    <t>FORNECIMENTO DE CARTUCHO PARA SOLDA EXOTÉRMICA PARA CABO 50 MM²</t>
  </si>
  <si>
    <t>14.8.5</t>
  </si>
  <si>
    <t>14.8.6</t>
  </si>
  <si>
    <t>Conforme tabela de quantitativo do projeto hidrossanitário - Prancha 01/04</t>
  </si>
  <si>
    <t>Conforme projeto arquitetônico</t>
  </si>
  <si>
    <t>TUBULAÇÃO PLUVIAL</t>
  </si>
  <si>
    <t>13.2.1</t>
  </si>
  <si>
    <t>13.2</t>
  </si>
  <si>
    <t>13.3</t>
  </si>
  <si>
    <t>13.3.1</t>
  </si>
  <si>
    <t>13.3.2</t>
  </si>
  <si>
    <t>13.3.3</t>
  </si>
  <si>
    <t>13.3.4</t>
  </si>
  <si>
    <t>13.3.5</t>
  </si>
  <si>
    <t>13.3.6</t>
  </si>
  <si>
    <t>13.3.7</t>
  </si>
  <si>
    <t>13.3.8</t>
  </si>
  <si>
    <t>13.3.9</t>
  </si>
  <si>
    <t>13.3.10</t>
  </si>
  <si>
    <t>13.3.11</t>
  </si>
  <si>
    <t>13.3.12</t>
  </si>
  <si>
    <t>13.3.13</t>
  </si>
  <si>
    <t>13.3.14</t>
  </si>
  <si>
    <t>13.3.15</t>
  </si>
  <si>
    <t>13.3.16</t>
  </si>
  <si>
    <t>13.3.17</t>
  </si>
  <si>
    <t>13.4</t>
  </si>
  <si>
    <t>13.4.1</t>
  </si>
  <si>
    <t xml:space="preserve"> 13.1.13</t>
  </si>
  <si>
    <t xml:space="preserve"> 13.1.14</t>
  </si>
  <si>
    <t xml:space="preserve"> 13.1.15</t>
  </si>
  <si>
    <t xml:space="preserve"> 13.1.16</t>
  </si>
  <si>
    <t>INCÊNDIO</t>
  </si>
  <si>
    <t>Conforme tabela de quantitativo do projeto Elétrico - Prancha 01/01</t>
  </si>
  <si>
    <t>Conforme tabela de quantitativo do projeto de SPDA - Prancha 01/01</t>
  </si>
  <si>
    <t>ALAMBRADO EM TORNO DA QUADRA</t>
  </si>
  <si>
    <t>C3483</t>
  </si>
  <si>
    <t>PARAFUSO CABEÇA CHATA EM ALUMÍNIO 1/4" X 7/8" - FORNECIMENTO E COLOCAÇÃO</t>
  </si>
  <si>
    <t>11.3</t>
  </si>
  <si>
    <t>11.3.1</t>
  </si>
  <si>
    <t>REVESTIMENTO CERÂMICO PARA PAREDE, 10 X 10 CM, ELIZABETH, LINHA CRISTAL PISCINA, APLICADO COM ARGAMASSA INDUSTRIALIZADA AC-II, REJUNTE EPOXI, EXCLUSIVE REGULARIZAÇÃO DE BASE OU EMBOÇO - REV 02</t>
  </si>
  <si>
    <t>FOSSA</t>
  </si>
  <si>
    <t>SUMIDOURO</t>
  </si>
  <si>
    <t>13.5</t>
  </si>
  <si>
    <t>13.5.1</t>
  </si>
  <si>
    <t>13.6</t>
  </si>
  <si>
    <t>13.6.1</t>
  </si>
  <si>
    <t>13.6.2</t>
  </si>
  <si>
    <t>13.6.3</t>
  </si>
  <si>
    <t>13.6.4</t>
  </si>
  <si>
    <t>13.6.5</t>
  </si>
  <si>
    <t>13.6.6</t>
  </si>
  <si>
    <t>13.6.7</t>
  </si>
  <si>
    <t>13.6.8</t>
  </si>
  <si>
    <t>13.6.9</t>
  </si>
  <si>
    <t>13.6.10</t>
  </si>
  <si>
    <t>13.6.11</t>
  </si>
  <si>
    <t>13.6.12</t>
  </si>
  <si>
    <t>13.6.13</t>
  </si>
  <si>
    <t>13.6.14</t>
  </si>
  <si>
    <t>13.6.15</t>
  </si>
  <si>
    <t>13.6.16</t>
  </si>
  <si>
    <t>FOSSA SÉPTICA EM ALVENARIA BLOCO DE CIMENTO E CONCRETO ARMADO, DIMENSÕES INTERNAS 1,20 X 2,40 X 1,20 M</t>
  </si>
  <si>
    <t>SUMIDOURO PAREDES COM BLOCOS CERÂMICOS 6 FUROS E DIMENSÕES INTERNAS DE 3,00 X 1,50 X 1,50 M</t>
  </si>
  <si>
    <t>Conforme projeto hidrossanitário - Prancha 02/04</t>
  </si>
  <si>
    <t>Paredes</t>
  </si>
  <si>
    <t>BANHEIRO</t>
  </si>
  <si>
    <t>DESCONTO VOLUME TOTAL DE  CONCRETO ARRANQUE DE PILARES DO BANHEIRO - 0,15X0,25</t>
  </si>
  <si>
    <t>Conforme planta de combate a incêndio no projeto arquitetônico</t>
  </si>
  <si>
    <t>04</t>
  </si>
  <si>
    <t>REATERRO DAS VIGAS DO MURO</t>
  </si>
  <si>
    <t xml:space="preserve">SUPERESTRUTURA - BANHEIROS </t>
  </si>
  <si>
    <t xml:space="preserve">Parede interna </t>
  </si>
  <si>
    <t xml:space="preserve">CHAPISCO / REBOCO - BANHEIROS  </t>
  </si>
  <si>
    <t>PINTURA - PISO DA QUADRA / BANHEIROS</t>
  </si>
  <si>
    <t>PORTÃO DE ABRIR, 2 FOLHAS, COM QUADRO EM TUBO GALVANIZADO 2", COM BARRA QUADRADA DE 3/4" NA VERTICAL E ESTICADOR REDONDO DE 3/4", INCLUSIVE FECHADURA E DOBRADIÇAS</t>
  </si>
  <si>
    <t xml:space="preserve"> 9.1.4</t>
  </si>
  <si>
    <t>Conforme quadro de quantitativo do projeto estrutural</t>
  </si>
  <si>
    <t>COMP</t>
  </si>
  <si>
    <t>UN</t>
  </si>
  <si>
    <t>COMP - 01</t>
  </si>
  <si>
    <t xml:space="preserve">ARGAMASSA TRAÇO 1:2:8 (EM VOLUME DE CIMENTO, CAL E AREIA MÉDIA ÚMIDA) PARA EMBOÇO/MASSA ÚNICA/ASSENTAMENTO DE ALVENARIA DE VEDAÇÃO, PREPARO MECÂNICO  </t>
  </si>
  <si>
    <t xml:space="preserve">BLOCO CERAMICO / TIJOLO VAZADO PARA ALVENARIA DE VEDACAO, 8 FUROS NA HORIZONTAL, DE 9 X 19 X 19 CM (L XA X C)  </t>
  </si>
  <si>
    <t>PREÇO UNITÁRIO:</t>
  </si>
  <si>
    <t>S - 0,80 X 0,80</t>
  </si>
  <si>
    <t>EXECUÇÃO DE PASSEIO EM PISO INTERTRAVADO, COM BLOCO RETANGULAR COR NATURAL DE 20 X 10 CM, ESPESSURA 6 CM. AF_12/2015</t>
  </si>
  <si>
    <t>ESTRUTURA TRELIÇADA DE COBERTURA, TIPO FINK, COM LIGAÇÕES SOLDADAS, INCLUSOS PERFIL METÁLICO U EM CHAPA DE AÇO LAMINADO, E=3,75 MM, H=200 MM, L=75 MM, CHAPAS METÁLICAS, MÃO DE OBRA  - FORNECIMENTO E INSTALAÇÃO. (COMPOSIÇÃO da SINAPI 100775 ADAPTADA)</t>
  </si>
  <si>
    <t>JATEAMENTO ABRASIVO COM GRANALHA DE AÇO EM PERFIL METÁLICO EM FÁBRICA.AF_01/2020</t>
  </si>
  <si>
    <t>PERFIL "U" ENRIJECIDO, EM CHAPA DOBRADA DE ACO LAMINADO, E = 3,75 MM, H = 200 MM, L= 75 MM (9,94 KG/M)</t>
  </si>
  <si>
    <t>UD</t>
  </si>
  <si>
    <t>P4</t>
  </si>
  <si>
    <t>P2</t>
  </si>
  <si>
    <t>P3</t>
  </si>
  <si>
    <t>P1</t>
  </si>
  <si>
    <t>J1</t>
  </si>
  <si>
    <t>C3626</t>
  </si>
  <si>
    <t>POSTE METÁLICO DECORATIVO CÔNICO RETO FLANGEADO H=4.0m P/01 OU 02 LUMINÁRIAS DECORATIVAS</t>
  </si>
  <si>
    <t>FORNECIMENTO E IMPLANTAÇÃO DE RELÉ FOTO-ELÉTRICO EM POSTE</t>
  </si>
  <si>
    <t>00666</t>
  </si>
  <si>
    <t>CAIXA DE PASSAGEM 30X30CM EM CHAPA DE AÇO GALVANIZADO - FORNECIMENTO</t>
  </si>
  <si>
    <t>14.1.1</t>
  </si>
  <si>
    <t>14.1.2</t>
  </si>
  <si>
    <t>14.1.3</t>
  </si>
  <si>
    <t>14.1.5</t>
  </si>
  <si>
    <t>14.1.6</t>
  </si>
  <si>
    <t>14.1.7</t>
  </si>
  <si>
    <t>14.1.8</t>
  </si>
  <si>
    <t xml:space="preserve"> 14.2.2</t>
  </si>
  <si>
    <t xml:space="preserve"> 14.2.3</t>
  </si>
  <si>
    <t xml:space="preserve"> 14.2.4</t>
  </si>
  <si>
    <t xml:space="preserve"> 14.3.2</t>
  </si>
  <si>
    <t xml:space="preserve"> 14.3.3</t>
  </si>
  <si>
    <t xml:space="preserve"> 14.4.2</t>
  </si>
  <si>
    <t xml:space="preserve"> 14.4.3</t>
  </si>
  <si>
    <t xml:space="preserve"> 14.7.2</t>
  </si>
  <si>
    <t xml:space="preserve"> 14.7.3</t>
  </si>
  <si>
    <t xml:space="preserve"> 14.7.4</t>
  </si>
  <si>
    <t>LUMINÁRIA TIPO BALIZADOR PARA AMBIENTE ABERTO, CORPO EM ALUMÍNIO FUNDIDO PINTADO, DIFUSOR EM VIDRO FRISADO TEMPERADO, REF. EX02-S, DA LUMICENTER OU SIMIULAR (TIPO TARTARUGA)</t>
  </si>
  <si>
    <t>Conforme tabela de quantitativo do projeto Elétrico - Prancha 01/02</t>
  </si>
  <si>
    <t xml:space="preserve"> 14.5.2</t>
  </si>
  <si>
    <t xml:space="preserve"> 12061</t>
  </si>
  <si>
    <t>COMPOSIÇÕES</t>
  </si>
  <si>
    <t>COMP- 04</t>
  </si>
  <si>
    <t>06</t>
  </si>
  <si>
    <t>05</t>
  </si>
  <si>
    <t>DISJUNTOR DE PROTEÇÃO DIFERENCIAL RESIDUAL (DR), BIPOLAR, TIPO DIN, CORRENTE NOMINAL DE 40A, ALTA SENSIBILIDADE, CORRENTE DIFERENCIAL RESIDUAL NOMINAL COM ATUAÇÃO DE 30MA</t>
  </si>
  <si>
    <t>SICOR-MG</t>
  </si>
  <si>
    <t>ED-15115</t>
  </si>
  <si>
    <t>ARGAMASSA INDUSTRIALIZADA VOTOMASSA AC-I, OU SIMILAR</t>
  </si>
  <si>
    <t>TESTEIRA EM GRANITO VERDE UBATUBA, L=10CM (MEIA ESQUADRIA) - FORNECIMENTO E COLOCAÇÃO</t>
  </si>
  <si>
    <t>Conforme quadro de quantitativos do Estrutural do Banheiro</t>
  </si>
  <si>
    <t>TAPUME COM CHAPA METÁLICA. AF_03/2024</t>
  </si>
  <si>
    <t>REGULARIZAÇÃO DE SUPERFÍCIES COM MOTONIVELADORA. AF_09/2024</t>
  </si>
  <si>
    <t>ESCAVAÇÃO MANUAL DE VALA. AF_09/2024</t>
  </si>
  <si>
    <t>PREFEITURA MUNICIPAL DE CAETÉS</t>
  </si>
  <si>
    <t>CONSTRUÇÃO DE UMA QUADRA POLIESPORTIVA NO MUNICIPIO DE CAETÉS - PE</t>
  </si>
  <si>
    <t>CAETÉS - PE</t>
  </si>
  <si>
    <t>CONSTRUÇÃO DE UMA QUADRA POLIESPORTIVA NO SITIO BASTIÕES, MUNICIPIO DE CAETÉS - PE</t>
  </si>
  <si>
    <t>ONERADO</t>
  </si>
  <si>
    <t>DESONERADO</t>
  </si>
  <si>
    <t xml:space="preserve">Perímetro do muro </t>
  </si>
  <si>
    <t>ESTRUTURA DE MADEIRA PROVISÓRIA PARA SUPORTE DE CAIXA D'ÁGUA ELEVADA DE 2000 LITROS. AF_03/2024</t>
  </si>
  <si>
    <t>CAIXA D´ÁGUA EM POLIETILENO, 2000 LITROS - FORNECIMENTO E INSTALAÇÃO. AF_06/2021</t>
  </si>
  <si>
    <t>FABRICAÇÃO, MONTAGEM E DESMONTAGEM DE FÔRMA PARA SAPATA, EM MADEIRA SERRADA, E=25 MM, 4UTILIZAÇÕES. AF_01/2024</t>
  </si>
  <si>
    <t>ARMAÇÃO DE SAPATA ISOLADA, VIGA BALDRAME E SAPATA CORRIDA UTILIZANDO AÇO CA-50 DE 10 MM - MONTAGEM. AF_01/2024</t>
  </si>
  <si>
    <t>ARMAÇÃO DE SAPATA ISOLADA, VIGA BALDRAME E SAPATA CORRIDA UTILIZANDO AÇO CA-60 DE 5 MM - MONTAGEM. AF_01/2024</t>
  </si>
  <si>
    <t>CONCRETAGEM DE SAPATA, FCK 30 MPA, COM USO DE BOMBA - LANÇAMENTO, ADENSAMENTO E ACABAMENTO. AF_01/2024</t>
  </si>
  <si>
    <t xml:space="preserve"> 3.1.6</t>
  </si>
  <si>
    <t xml:space="preserve"> 3.1.7</t>
  </si>
  <si>
    <t xml:space="preserve"> 3.1.8</t>
  </si>
  <si>
    <t>FABRICAÇÃO, MONTAGEM E DESMONTAGEM DE FÔRMA PARA VIGA BALDRAME, EM MADEIRA SERRADA, E=25 MM, 4 UTILIZAÇÕES. AF_06/2017</t>
  </si>
  <si>
    <t>ARMAÇÃO DE SAPATA ISOLADA, VIGA BALDRAME E SAPATA CORRIDA UTILIZANDO AÇO CA-50 DE 6,3 MM - MONTAGEM. AF_01/2024</t>
  </si>
  <si>
    <t>ARMAÇÃO DE SAPATA ISOLADA, VIGA BALDRAME E SAPATA CORRIDA UTILIZANDO AÇO CA-50 DE 8 MM - MONTAGEM. AF_01/2024</t>
  </si>
  <si>
    <t xml:space="preserve"> 3.2.4</t>
  </si>
  <si>
    <t xml:space="preserve"> 3.2.5</t>
  </si>
  <si>
    <t xml:space="preserve"> 3.2.6</t>
  </si>
  <si>
    <t xml:space="preserve"> 3.2.7</t>
  </si>
  <si>
    <t xml:space="preserve"> 3.2.8</t>
  </si>
  <si>
    <t xml:space="preserve"> 3.2.9</t>
  </si>
  <si>
    <t>CONCRETAGEM DE BLOCO DE COROAMENTO OU VIGA BALDRAME, FCK 30 MPA, COM USO DE BOMBA - LANÇAMENTO, ADENSAMENTO E ACABAMENTO. AF_01/2024</t>
  </si>
  <si>
    <t>4.1.1</t>
  </si>
  <si>
    <t>MONTAGEM E DESMONTAGEM DE FÔRMA DE PILARES RETANGULARES E ESTRUTURAS SIMILARES, PÉ-DIREITO SIMPLES, EM CHAPA DE MADEIRA COMPENSADA PLASTIFICADA, 18 UTILIZAÇÕES. AF_09/2020</t>
  </si>
  <si>
    <t>4.1.2</t>
  </si>
  <si>
    <t>ARMAÇÃO DE PILAR OU VIGA DE ESTRUTURA CONVENCIONAL DE CONCRETO ARMADO UTILIZANDO AÇO CA-60 DE 5,0 MM - MONTAGEM. AF_06/2022</t>
  </si>
  <si>
    <t>4.1.3</t>
  </si>
  <si>
    <t>ARMAÇÃO DE PILAR OU VIGA DE ESTRUTURA CONVENCIONAL DE CONCRETO ARMADO UTILIZANDO AÇO CA-50 DE 10,0 MM - MONTAGEM. AF_06/2022</t>
  </si>
  <si>
    <t>4.1.4</t>
  </si>
  <si>
    <t>CONCRETAGEM DE PILARES, FCK = 25 MPA, COM USO DE BOMBA - LANÇAMENTO, ADENSAMENTO E ACABAMENTO. AF_02/2022_PS</t>
  </si>
  <si>
    <t>4.2.1</t>
  </si>
  <si>
    <t>MONTAGEM E DESMONTAGEM DE FÔRMA DE VIGA, ESCORAMENTO COM GARFO DE MADEIRA, PÉ-DIREITO SIMPLES, EM CHAPA DE MADEIRA PLASTIFICADA, 18 UTILIZAÇÕES. AF_09/2020</t>
  </si>
  <si>
    <t>4.2.2</t>
  </si>
  <si>
    <t>ARMAÇÃO DE PILAR OU VIGA DE ESTRUTURA CONVENCIONAL DE CONCRETO ARMADOUTILIZANDO AÇO CA-60 DE 5,0 MM - MONTAGEM. AF_06/2022</t>
  </si>
  <si>
    <t>4.2.3</t>
  </si>
  <si>
    <t>4.2.4</t>
  </si>
  <si>
    <t>ARMAÇÃO DE PILAR OU VIGA DE ESTRUTURA CONVENCIONAL DE CONCRETO ARMADO UTILIZANDO AÇO CA-50 DE 8,0 MM - MONTAGEM. AF_06/2022</t>
  </si>
  <si>
    <t>4.2.5</t>
  </si>
  <si>
    <t>CONCRETAGEM DE VIGAS E LAJES, FCK=25 MPA, PARA LAJES PREMOLDADAS COM USO DE BOMBA - LANÇAMENTO, ADENSAMENTO E ACABAMENTO. AF_02/2022_PS</t>
  </si>
  <si>
    <t>ADMINISTRAÇÃO LOCAL DA OBRA</t>
  </si>
  <si>
    <t>MÊS</t>
  </si>
  <si>
    <t>07</t>
  </si>
  <si>
    <t xml:space="preserve"> 6.1.1</t>
  </si>
  <si>
    <t xml:space="preserve"> 6.1.2</t>
  </si>
  <si>
    <t xml:space="preserve"> 6.1.3</t>
  </si>
  <si>
    <t>Área de passeio da quadra - piso em concreto armado</t>
  </si>
  <si>
    <t>Área de passeio da quadra - piso intertravado</t>
  </si>
  <si>
    <t>Telha pintada na cor azul</t>
  </si>
  <si>
    <t>Conforme tabela de quantitativo de pontos elétricos do projeto arquitetônico - Prancha 16/18</t>
  </si>
  <si>
    <t>Quilo</t>
  </si>
  <si>
    <t>Volume</t>
  </si>
  <si>
    <t xml:space="preserve"> 15.1.4</t>
  </si>
  <si>
    <t xml:space="preserve"> 15.1.5</t>
  </si>
  <si>
    <t xml:space="preserve"> 15.1.6</t>
  </si>
  <si>
    <t xml:space="preserve"> 15.1.7</t>
  </si>
  <si>
    <t xml:space="preserve"> 15.1.8</t>
  </si>
  <si>
    <t xml:space="preserve"> 15.2.4</t>
  </si>
  <si>
    <t xml:space="preserve"> 15.2.5</t>
  </si>
  <si>
    <t xml:space="preserve"> 15.2.6</t>
  </si>
  <si>
    <t xml:space="preserve"> 15.2.7</t>
  </si>
  <si>
    <t>15.4.1</t>
  </si>
  <si>
    <t>15.4.2</t>
  </si>
  <si>
    <t>15.4.3</t>
  </si>
  <si>
    <t>15.4.4</t>
  </si>
  <si>
    <t>15.3.1</t>
  </si>
  <si>
    <t>15.3.2</t>
  </si>
  <si>
    <t>15.3.3</t>
  </si>
  <si>
    <t>15.3.4</t>
  </si>
  <si>
    <t xml:space="preserve"> 15.2.2</t>
  </si>
  <si>
    <t xml:space="preserve"> 15.2.3</t>
  </si>
  <si>
    <t xml:space="preserve"> 15.1.2</t>
  </si>
  <si>
    <t xml:space="preserve"> 15.1.3</t>
  </si>
  <si>
    <t>8.1.6</t>
  </si>
  <si>
    <t>8.1.7</t>
  </si>
  <si>
    <t>8.1.8</t>
  </si>
  <si>
    <t xml:space="preserve">SINAPI - 05/2025 - Pernambuco
ORSE - 05/2025 - Sergipe
SEINFRA - 028.1 - Ceará
</t>
  </si>
  <si>
    <t>ALVENARIA PEDRA CALCÁREA ARGAMASSADA C/ CIMENTO E AREIA TRAÇO T-4 (1:5) - 1 SACO CIMENTO 50KG / 5PADIOLAS AREIA DIM. 0,35Z0,45X0,23M - CONFECÇÃO MECÂNICA E CONCRETO CICLÓPICO FCK = 15MPA, 30% PEDRA DE MÃO EM VOLUME REAL, INCLUSIVE LANÇAMENTO. AF_05/2021</t>
  </si>
  <si>
    <t>GRADIL NYLOFOR3D, MALHA 20X5CM, Ø 5MM 250X203 CM, BELGO OU SIMILAR, INCLUSIVE POSTES SECÇÃO 60X40MM E H=2,60M E ACESSÓRIOS (CONFORME COMPOSIÇÃO 10812 - ORSE - 06/2024)</t>
  </si>
  <si>
    <t>11707</t>
  </si>
  <si>
    <t>GRADIL NYLOFOR3D, MALHA 20X5CM, Ø 5MM 250X203 CM, BELGO OU SIMILAR</t>
  </si>
  <si>
    <t>PÇ</t>
  </si>
  <si>
    <t>11708</t>
  </si>
  <si>
    <t>POSTE DE GRADIL NYLOFOR 3D, H=2,60M, SEÇÃO DE 40X60MM, BELGO OU SIMILAR</t>
  </si>
  <si>
    <t>FIXADOR POLIAMIDA 40 X 60MM, PARA POSTE NYLOFOR, BELGO OU SIMILAR</t>
  </si>
  <si>
    <t>TAMPA PARA POSTE NYLOFOR 60 X 40MM, BELGO OU SIMILAR</t>
  </si>
  <si>
    <t>S - 1,30 X 1,30 x 0,40</t>
  </si>
  <si>
    <t>S - 1,90 X 1,90 x 0,45</t>
  </si>
  <si>
    <t>ARMAÇÃO DE BLOCO, SAPATA ISOLADA, VIGA BALDRAME E SAPATA CORRIDA UTILIZANDO AÇO CA-50 DE 12,5MM - MONTAGEM. AF_01/2024</t>
  </si>
  <si>
    <t>8.1.9</t>
  </si>
  <si>
    <t xml:space="preserve">INFRAESTRUTURA - BANHEIROS </t>
  </si>
  <si>
    <t xml:space="preserve">BANHEIRO </t>
  </si>
  <si>
    <t>QUADRO DE DISTRIBUIÇÃO DE EMBUTIR, EM CHAPA DE AÇO, PARA ATÉ 16 DISJUNTORES, COM BARRAMENTO, PADRÃO DIN, EXCLUSIVE DISJUNTORES</t>
  </si>
  <si>
    <t>DESCONTO VOLUME TOTAL DE  CONCRETO ARRANQUE DE PILARES DO MURO EXTERNO - 0,15X0,30</t>
  </si>
  <si>
    <t>S - 1,80 X 0,80 x 0,30</t>
  </si>
  <si>
    <t>S - 0,80 X 0,80 x 0,30</t>
  </si>
  <si>
    <t>PORTICO DE ENTRADA</t>
  </si>
  <si>
    <t>S - 0,95 X 0,95 x 0,30</t>
  </si>
  <si>
    <t>S - 1,05 X 1,05 x 0,30</t>
  </si>
  <si>
    <t>S - 1,00 X 100 x 0,30</t>
  </si>
  <si>
    <t>ARMAÇÃO DE BLOCO, SAPATA ISOLADA, VIGA BALDRAME E SAPATA CORRIDA UTILIZANDO AÇO CA-50 DE 12,5 MM - MONTAGEM. AF_01/2024</t>
  </si>
  <si>
    <t>DESCONTO VOLUME TOTAL DE  CONCRETO ARRANQUE DE PILARES DO PORTICO - 0,15X0,30</t>
  </si>
  <si>
    <t>DESCONTO VOLUME TOTAL DE  CONCRETO ARRANQUE DE PILARES DO PORTICO - 0,35X0,35</t>
  </si>
  <si>
    <t>V - 0,30 x 0,30</t>
  </si>
  <si>
    <t>ARMAÇÃO DE PILAR OU VIGA DE ESTRUTURA CONVENCIONAL DE CONCRETO ARMADO UTILIZANDO AÇO CA-50 DE 12,5 MM - MONTAGEM. AF_06/2022</t>
  </si>
  <si>
    <t>ARMAÇÃO DE PILAR OU VIGA DE ESTRUTURA CONVENCIONAL DE CONCRETO ARMADO UTILIZANDO AÇO CA-50 DE 6,3 MM - MONTAGEM. AF_06/2022</t>
  </si>
  <si>
    <t>Paredes do portico</t>
  </si>
  <si>
    <t>Jardineira</t>
  </si>
  <si>
    <t xml:space="preserve">PERFIL METÁLICO EM TUBO INDUSTRIAL GALVANIZADO QUADRADO 100  X 100 MM , PINTURA 01 DEMÃO EPOXI FUNDO ÓXIDO FERRO + 01 DEMÃO ESMALTE EPOXI </t>
  </si>
  <si>
    <t>03738</t>
  </si>
  <si>
    <t>PINTURA DE PROTEÇÃO SOBRE SUPERFÍCIES METÁLICAS COM APLICAÇÃO DE 01 DEMÃO DE TINTA EPOXI FUNDO ÓXIDO DE FERRO - R1</t>
  </si>
  <si>
    <t>02315</t>
  </si>
  <si>
    <t>PINTURA DE ACABAMENTO EM SUPERFÍCIES METÁLICAS COM APLICAÇÃO DE 01 DEMÃO DE TINTA ESMALTE EPOXI (CORES DIVERSAS), E = 35 MICRA - R1</t>
  </si>
  <si>
    <t>08904</t>
  </si>
  <si>
    <t>MÁQUINA DE SOLDA ELÉTRICA</t>
  </si>
  <si>
    <t>MEDIANA (VALOR POR METRO)</t>
  </si>
  <si>
    <t>TUBO INDUSTRIAL QUADRADO AÇO - 100 X 100MM X 3,00MM</t>
  </si>
  <si>
    <t>GRAVIA</t>
  </si>
  <si>
    <t>SERRALHERIA</t>
  </si>
  <si>
    <t>ARCELOR MITTAL</t>
  </si>
  <si>
    <t>26.487.744/0001-76</t>
  </si>
  <si>
    <t>www.gravia.com.br</t>
  </si>
  <si>
    <t>48.953.227/0001-88</t>
  </si>
  <si>
    <t>www.serralheria.com.br</t>
  </si>
  <si>
    <t>17.469.701/0001-77</t>
  </si>
  <si>
    <t>www.loja.arcelormittal.com.br</t>
  </si>
  <si>
    <t>E004</t>
  </si>
  <si>
    <t>E005</t>
  </si>
  <si>
    <t>E006</t>
  </si>
  <si>
    <t>LOJA KINGSPAN</t>
  </si>
  <si>
    <t>00.289.348/0001</t>
  </si>
  <si>
    <t>www.lojakingspan.com</t>
  </si>
  <si>
    <t>E007</t>
  </si>
  <si>
    <t>E008</t>
  </si>
  <si>
    <t>E009</t>
  </si>
  <si>
    <t xml:space="preserve"> 01.438.784/0001-05</t>
  </si>
  <si>
    <t>www.leroymerlin.com.br</t>
  </si>
  <si>
    <t>MEU TELHADO</t>
  </si>
  <si>
    <t>00.289.348/0011-12</t>
  </si>
  <si>
    <t>www.meutelhado.com.br</t>
  </si>
  <si>
    <t>MEDIANA (VALOR POR M²)</t>
  </si>
  <si>
    <t>PAINEL RIPADO EM ALUMÍNIO AMADEIRADO, NO PADRÃO FREIJÓ, INCLUSO KIT DE INSTALAÇÃO</t>
  </si>
  <si>
    <t>PAINEL RIPADO EM ALUMÍNIO AMADEIRADO, NO PADRÃO FREIJÓ, INSTALADO.</t>
  </si>
  <si>
    <t>REVESTIMENTO EM RIPADO DO PORTICO</t>
  </si>
  <si>
    <t xml:space="preserve">FITA DE LED DE EMBUTIR </t>
  </si>
  <si>
    <t xml:space="preserve"> 14.7.5</t>
  </si>
  <si>
    <t>13820</t>
  </si>
  <si>
    <t>MANGUEIRA 2F LED BR 13MM 127V</t>
  </si>
  <si>
    <t>Serviços: 19,21%                                                      Insumos: 10,89%</t>
  </si>
  <si>
    <t xml:space="preserve">Orçamento Sintético - Onerado </t>
  </si>
  <si>
    <t>GRADIL / PERFIL METÁLICO DA COBERTA / LETRAS</t>
  </si>
  <si>
    <t>Mureta do Gradil</t>
  </si>
  <si>
    <t>S - 0,50 X 0,50 x 0,30</t>
  </si>
  <si>
    <t>DESCONTO VOLUME TOTAL DE  CONCRETO ARRANQUE DOS PILARETES DA MURETA - 0,15X0,30</t>
  </si>
  <si>
    <t>Mureta</t>
  </si>
  <si>
    <t>NOME: QUADRA ESCOLA RAMIRO SATÍRO EM ACM</t>
  </si>
  <si>
    <t>2.1</t>
  </si>
  <si>
    <t>INSTALAÇÕES PROVISÓRIAS</t>
  </si>
  <si>
    <t>2.2</t>
  </si>
  <si>
    <t>2.1.1</t>
  </si>
  <si>
    <t>2.1.2</t>
  </si>
  <si>
    <t>2.1.3</t>
  </si>
  <si>
    <t>2.1.4</t>
  </si>
  <si>
    <t>2.1.5</t>
  </si>
  <si>
    <t>2.1.6</t>
  </si>
  <si>
    <t>2.1.7</t>
  </si>
  <si>
    <t>COMP - 08</t>
  </si>
  <si>
    <t>08</t>
  </si>
  <si>
    <t>09</t>
  </si>
  <si>
    <t>LEROY MERLIN</t>
  </si>
  <si>
    <t>TERMINAL OLHAL PARA CABO DE 4,00MM2 À 6,00MM2</t>
  </si>
  <si>
    <t>SERVIÇOS PRELIMINARES - MOVIMENTAÇÃO EM TERRA</t>
  </si>
  <si>
    <t>ESCAVAÇÃO HORIZONTAL, INCLUINDO CARGA, DESCARGA E TRANSPORTE EM SOLO DE 1A CATEGORIA COM TRATOR DE ESTEIRAS (150HP/LÂMINA: 3,18M3) E CAMINHÃO BASCULANTE DE 10M3, DMT ATÉ 200M AF_07/2020</t>
  </si>
  <si>
    <t>Área do terreno</t>
  </si>
  <si>
    <t>LASTRO COM MATERIAL GRANULAR (PEDRA BRITADA N.2), APLICADO EM PISOS OU LAJES SOBRE SOLO, ESPESSURA DE *10 CM*. AF_01/2024</t>
  </si>
  <si>
    <t xml:space="preserve"> 6.1.4</t>
  </si>
  <si>
    <t>ARBUSTOS ORNAMENTAIS EM GERAL. C/ ALTURA MÍNIMA DE 50CM</t>
  </si>
  <si>
    <t>C0112</t>
  </si>
  <si>
    <t>PAISAGISMO</t>
  </si>
  <si>
    <t>16.1</t>
  </si>
  <si>
    <t>16.2</t>
  </si>
  <si>
    <t>16.3</t>
  </si>
  <si>
    <t>CHAPISCO APLICADO EM ALVENARIA (COM PRESENÇA DE VÃOS) E ESTRUTURAS DE CONCRETO DE FACHADA, COM COLHER DE PEDREIRO. ARGAMASSA TRAÇO 1:3 COM PREPARO EM BETONEIRA 400L. AF_10/2022</t>
  </si>
  <si>
    <t>MASSA ÚNICA, EM ARGAMASSA TRAÇO 1:2:8, PREPARO MECÂNICO, APLICADA MANUALMENTE EM PAREDES INTERNAS DE AMBIENTES COM ÁREA ENTRE 5M² E 10M², E = 10MM, COM TALISCAS. AF_03/2024</t>
  </si>
  <si>
    <t>EMBOÇO OU MASSA ÚNICA EM ARGAMASSA TRAÇO 1:2:8, PREPARO MANUAL, APLICADA MANUALMENTE EM PANOS DE FACHADA COM PRESENÇA DE VÃOS, ESPESSURA DE 25 MM. AF_08/2022</t>
  </si>
  <si>
    <t>5.1</t>
  </si>
  <si>
    <t>5.1.1</t>
  </si>
  <si>
    <t>5.1.2</t>
  </si>
  <si>
    <t>5.2</t>
  </si>
  <si>
    <t>5.2.1</t>
  </si>
  <si>
    <t>5.2.2</t>
  </si>
  <si>
    <t>ESTRUTURA METÁLICA FIXA, P/ TABELA EM FIBRA DE VIDRO, COM ARO E CESTA PARA BASQUETE, PADRÃO OFICIAL, EM TUBO GALVANIZADO D=5" - INSTALADA</t>
  </si>
  <si>
    <t>COMP - 02</t>
  </si>
  <si>
    <t>COMP- 03</t>
  </si>
  <si>
    <t>COMP - 05</t>
  </si>
  <si>
    <t>COMP- 06</t>
  </si>
  <si>
    <t>COMP - 07</t>
  </si>
  <si>
    <t>COMP- 09</t>
  </si>
  <si>
    <t>COMP - 10</t>
  </si>
  <si>
    <t>Corte do terreno</t>
  </si>
  <si>
    <t>Lastro de pedra britada</t>
  </si>
  <si>
    <t>14.1.9</t>
  </si>
  <si>
    <t>14.1.4</t>
  </si>
  <si>
    <t>LUVA PARA ELETRODUTO, PVC, ROSCÁVEL, DN 25 MM (3/4"), PARA CIRCUITOS TERMINAIS, INSTALADA EM PAREDE - FORNECIMENTO E INSTALAÇÃO. AF_03/2023</t>
  </si>
  <si>
    <t>CURVA 90 GRAUS PARA ELETRODUTO, PVC, ROSCÁVEL, DN 25 MM (3/4"), PARA CIRCUITOS TERMINAIS, INSTALADA EM PAREDE - FORNECIMENTO E INSTALAÇÃO. AF_03/2023</t>
  </si>
  <si>
    <t>LUVA PARA ELETRODUTO, PVC, ROSCÁVEL, DN 32 MM (1"), PARA CIRCUITOS TERMINAIS, INSTALADA EM LAJE - FORNECIMENTO E INSTALAÇÃO. AF_03/2023</t>
  </si>
  <si>
    <t>CURVA 90 GRAUS PARA ELETRODUTO, PVC, ROSCÁVEL, DN 32 MM (1"), PARA CIRCUITOS TERMINAIS, INSTALADA EM LAJE - FORNECIMENTO E INSTALAÇÃO. AF_03/2023</t>
  </si>
  <si>
    <t>ELETRODUTO RÍGIDO ROSCÁVEL, PVC, DN 25 MM (3/4"), PARA CIRCUITOS TERMINAIS, INSTALADO EM LAJE - FORNECIMENTO E INSTALAÇÃO. AF_03/2023</t>
  </si>
  <si>
    <t>ELETRODUTO RÍGIDO ROSCÁVEL, PVC, DN 32 MM (1"), PARA CIRCUITOS TERMINAIS, INSTALADO EM LAJE - FORNECIMENTO E INSTALAÇÃO. AF_03/2023</t>
  </si>
  <si>
    <t xml:space="preserve"> 14.5.3</t>
  </si>
  <si>
    <t>DISJUNTOR MONOPOLAR TIPO DIN, CORRENTE NOMINAL DE 32A - FORNECIMENTO E INSTALAÇÃO. AF_10/2020</t>
  </si>
  <si>
    <t>PINTOR COM ENCARGOS COMPLEMENTARES</t>
  </si>
  <si>
    <t>TEXTURA CIMENTO QUEIMADO DIA DE CHUVA SUVINIL OU SIMILAR PARA ÁREAS INTERNAS OU EXTERNAS, 5KG, RENDIMENTO DE ATÉ 9M² ACABADO, DUAS DEMÃOS (1,8M²/KG)</t>
  </si>
  <si>
    <t>MEDIANA (VALOR POR KG)</t>
  </si>
  <si>
    <t>COMP- 11</t>
  </si>
  <si>
    <t>APLICAÇÃO DE TEXTURA CIMENTO QUEIMADO DIA DE CHUVA SUVINIL PARA ÁREAS INTERNAS OU EXTERNAS OU SIMILAR, 5KG, RENDIMENTO DE ATÉ 9M² ACABADO, DUAS DEMÃOS (1,8M²/KG)</t>
  </si>
  <si>
    <t>Fachada em U pintata com cimento queimado</t>
  </si>
  <si>
    <t>Desconto da fachada pintada com cimento queimado</t>
  </si>
  <si>
    <t>TUBO PVC, SÉRIE R, ÁGUA PLUVIAL, DN 50 MM, FORNECIDO E INSTALADO EM RAMAL DE ENCAMINHAMENTO. AF_06/2022</t>
  </si>
  <si>
    <t>13.2.2</t>
  </si>
  <si>
    <t>17.1</t>
  </si>
  <si>
    <t>APLICAÇÃO DE ADUBO EM SOLO. AF_05/2018</t>
  </si>
  <si>
    <t>17.2</t>
  </si>
  <si>
    <t>PLANTIO DE GRAMA BATATAIS EM PLACAS. AF_05/2018</t>
  </si>
  <si>
    <t>PLANTIO DE ÁRVORE ORNAMENTAL COM ALTURA DE MUDA MAIOR QUE 2,00 M E MENOR OU IGUAL A 4,00 M. AF_05/2018</t>
  </si>
  <si>
    <t>16.4</t>
  </si>
  <si>
    <t>17.0</t>
  </si>
  <si>
    <t>17.1.1</t>
  </si>
  <si>
    <t>17.1.2</t>
  </si>
  <si>
    <t>17.1.3</t>
  </si>
  <si>
    <t>17.2.1</t>
  </si>
  <si>
    <t>17.2.2</t>
  </si>
  <si>
    <t>17.2.3</t>
  </si>
  <si>
    <t>17.2.4</t>
  </si>
  <si>
    <t>17.2.5</t>
  </si>
  <si>
    <t>V - 0,12 x 0,35</t>
  </si>
  <si>
    <t xml:space="preserve"> 15.6.2</t>
  </si>
  <si>
    <t xml:space="preserve"> 15.6.3</t>
  </si>
  <si>
    <t>ALVENARIA DE VEDAÇÃO DE BLOCOS CERÂMICOS FURADOS NA HORIZONTAL DE 9X19X19 CM (ESPESSURA 19 CM) E ARGAMASSA DE ASSENTAMENTO COM PREPARO EM BETONEIRA (ALVENARIA DE UMA VEZ) AF_12/2021, COMPOSIÇÃO 103328 - SINAPI, ADAPTADA.</t>
  </si>
  <si>
    <t xml:space="preserve"> 15.6.1</t>
  </si>
  <si>
    <t>Parede lateral esquerda</t>
  </si>
  <si>
    <t>Parede posterior</t>
  </si>
  <si>
    <t xml:space="preserve">Parede lateral esquerda - face interna </t>
  </si>
  <si>
    <t>Parede lateral esquerda - face externa</t>
  </si>
  <si>
    <t>Parede posterior - face interna</t>
  </si>
  <si>
    <t>Parede posterior - face externa</t>
  </si>
  <si>
    <t>ARQUIBANCADA</t>
  </si>
  <si>
    <t>16.1.1</t>
  </si>
  <si>
    <t>16.1.2</t>
  </si>
  <si>
    <t>16.1.3</t>
  </si>
  <si>
    <t>16.1.4</t>
  </si>
  <si>
    <t>16.1.5</t>
  </si>
  <si>
    <t>16.1.6</t>
  </si>
  <si>
    <t>16.1.7</t>
  </si>
  <si>
    <t>16.1.8</t>
  </si>
  <si>
    <t>16.2.1</t>
  </si>
  <si>
    <t>16.2.2</t>
  </si>
  <si>
    <t>16.2.3</t>
  </si>
  <si>
    <t>16.2.4</t>
  </si>
  <si>
    <t>16.2.5</t>
  </si>
  <si>
    <t>16.2.6</t>
  </si>
  <si>
    <t>16.2.7</t>
  </si>
  <si>
    <t>16.2.8</t>
  </si>
  <si>
    <t>16.2.9</t>
  </si>
  <si>
    <t>16.3.1</t>
  </si>
  <si>
    <t>16.3.2</t>
  </si>
  <si>
    <t>16.3.3</t>
  </si>
  <si>
    <t>16.3.4</t>
  </si>
  <si>
    <t>16.4.1</t>
  </si>
  <si>
    <t>16.4.2</t>
  </si>
  <si>
    <t>16.4.3</t>
  </si>
  <si>
    <t>16.4.4</t>
  </si>
  <si>
    <t>16.5</t>
  </si>
  <si>
    <t>16.5.1</t>
  </si>
  <si>
    <t>16.6</t>
  </si>
  <si>
    <t>16.6.1</t>
  </si>
  <si>
    <t>16.6.2</t>
  </si>
  <si>
    <t>16.7</t>
  </si>
  <si>
    <t>16.7.1</t>
  </si>
  <si>
    <t>16.7.2</t>
  </si>
  <si>
    <t>15.8</t>
  </si>
  <si>
    <t>15.8.1</t>
  </si>
  <si>
    <t>15.8.2</t>
  </si>
  <si>
    <t>15.8.3</t>
  </si>
  <si>
    <t>FACHADA / PORTICO</t>
  </si>
  <si>
    <t>17.1.4</t>
  </si>
  <si>
    <t>17.1.5</t>
  </si>
  <si>
    <t>17.1.6</t>
  </si>
  <si>
    <t>17.1.7</t>
  </si>
  <si>
    <t>17.1.8</t>
  </si>
  <si>
    <t>17.1.9</t>
  </si>
  <si>
    <t>17.2.6</t>
  </si>
  <si>
    <t>17.2.7</t>
  </si>
  <si>
    <t>17.2.8</t>
  </si>
  <si>
    <t>17.2.9</t>
  </si>
  <si>
    <t>17.2.10</t>
  </si>
  <si>
    <t>17.2.11</t>
  </si>
  <si>
    <t>17.3</t>
  </si>
  <si>
    <t>17.3.1</t>
  </si>
  <si>
    <t>17.3.2</t>
  </si>
  <si>
    <t>17.3.3</t>
  </si>
  <si>
    <t>17.3.4</t>
  </si>
  <si>
    <t>17.3.5</t>
  </si>
  <si>
    <t>17.4</t>
  </si>
  <si>
    <t>17.4.1</t>
  </si>
  <si>
    <t>17.4.2</t>
  </si>
  <si>
    <t>17.4.3</t>
  </si>
  <si>
    <t>17.4.4</t>
  </si>
  <si>
    <t>17.4.5</t>
  </si>
  <si>
    <t>17.5</t>
  </si>
  <si>
    <t>17.5.1</t>
  </si>
  <si>
    <t>17.6</t>
  </si>
  <si>
    <t>17.6.1</t>
  </si>
  <si>
    <t>17.7</t>
  </si>
  <si>
    <t>17.7.1</t>
  </si>
  <si>
    <t>17.7.2</t>
  </si>
  <si>
    <t>17.8</t>
  </si>
  <si>
    <t>17.8.1</t>
  </si>
  <si>
    <t>17.9</t>
  </si>
  <si>
    <t>17.9.1</t>
  </si>
  <si>
    <t>17.9.2</t>
  </si>
  <si>
    <t>17.9.3</t>
  </si>
  <si>
    <t>17.9.4</t>
  </si>
  <si>
    <t>17.10</t>
  </si>
  <si>
    <t>17.10.1</t>
  </si>
  <si>
    <t>17.10.2</t>
  </si>
  <si>
    <t>17.10.3</t>
  </si>
  <si>
    <t>16.5.2</t>
  </si>
  <si>
    <t>16.7.3</t>
  </si>
  <si>
    <t>18.0</t>
  </si>
  <si>
    <t>18.1</t>
  </si>
  <si>
    <t>18.2</t>
  </si>
  <si>
    <t>18.3</t>
  </si>
  <si>
    <t>18.4</t>
  </si>
  <si>
    <t>19.0</t>
  </si>
  <si>
    <t>19.1</t>
  </si>
  <si>
    <t>19.1.1</t>
  </si>
  <si>
    <t>19.1.2</t>
  </si>
  <si>
    <t>19.1.3</t>
  </si>
  <si>
    <t>19.2</t>
  </si>
  <si>
    <t>19.2.1</t>
  </si>
  <si>
    <t>19.2.2</t>
  </si>
  <si>
    <t>19.2.3</t>
  </si>
  <si>
    <t>19.2.4</t>
  </si>
  <si>
    <t>19.2.5</t>
  </si>
  <si>
    <t>MURO DE ARRIMO / MURO EXTERNO / MURETA DO GRADIL</t>
  </si>
  <si>
    <t>MURO DE ARRIMO</t>
  </si>
  <si>
    <t xml:space="preserve">MURO </t>
  </si>
  <si>
    <r>
      <t>OBS:</t>
    </r>
    <r>
      <rPr>
        <sz val="10"/>
        <rFont val="Calibri"/>
        <family val="2"/>
        <scheme val="minor"/>
      </rPr>
      <t xml:space="preserve"> Será colocada alvenaria deitada no muro de arrimo, a área da alvenaria foi extraída no comando de propriedades do Autocad, descontando as vigas e os pilares.</t>
    </r>
  </si>
  <si>
    <r>
      <t>OBS:</t>
    </r>
    <r>
      <rPr>
        <sz val="10"/>
        <rFont val="Calibri"/>
        <family val="2"/>
        <scheme val="minor"/>
      </rPr>
      <t xml:space="preserve">  A área da alvenaria do muro foi extraída no comando de propriedades do Autocad, descontando as vigas e os pilares.</t>
    </r>
  </si>
  <si>
    <r>
      <t>OBS:</t>
    </r>
    <r>
      <rPr>
        <sz val="10"/>
        <rFont val="Calibri"/>
        <family val="2"/>
        <scheme val="minor"/>
      </rPr>
      <t xml:space="preserve">  Área de chapisco do muro extraída no comando de propriedades do Autocad</t>
    </r>
    <r>
      <rPr>
        <b/>
        <sz val="10"/>
        <rFont val="Calibri"/>
        <family val="2"/>
        <scheme val="minor"/>
      </rPr>
      <t>.</t>
    </r>
  </si>
  <si>
    <t>Encarregado geral de obras - meio expediente</t>
  </si>
  <si>
    <t>REVESTIMENTO METÁLICO EM ALUMÍNIO COMPOSTO (ALUCOBOND), E=0,3MM, PINTURA KAYNAR 500 COMPOSTA POR SEIS CAMADAS, INCLUSIVE ESTRUTURA METÁLICA AUXILIAR EM PERFIL DE VIGA "U" DE 2" - FORNECIMENTO E MONTAGEM</t>
  </si>
  <si>
    <t>Desconto do recorte da divisória</t>
  </si>
  <si>
    <t>Orçamento Sintético - Onerado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</si>
</sst>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0.00000"/>
  </numFmts>
  <fonts count="51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1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1"/>
    </font>
    <font>
      <sz val="10"/>
      <color rgb="FFFF0000"/>
      <name val="Calibri"/>
      <family val="2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name val="Arial"/>
      <family val="2"/>
    </font>
    <font>
      <sz val="8"/>
      <name val="Calibri"/>
      <family val="2"/>
      <scheme val="minor"/>
    </font>
    <font>
      <b/>
      <sz val="8"/>
      <color indexed="12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8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Arial"/>
      <family val="1"/>
    </font>
    <font>
      <b/>
      <sz val="8"/>
      <color theme="1"/>
      <name val="Calibri"/>
      <family val="2"/>
      <scheme val="minor"/>
    </font>
    <font>
      <sz val="10"/>
      <color theme="4"/>
      <name val="Arial"/>
      <family val="2"/>
    </font>
    <font>
      <sz val="10"/>
      <color theme="4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4"/>
      <name val="Arial"/>
      <family val="1"/>
    </font>
    <font>
      <sz val="10"/>
      <color theme="4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2">
    <xf numFmtId="0" fontId="0" fillId="0" borderId="0"/>
    <xf numFmtId="43" fontId="19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9" fillId="0" borderId="0"/>
    <xf numFmtId="43" fontId="40" fillId="0" borderId="0" applyFont="0" applyFill="0" applyBorder="0" applyAlignment="0" applyProtection="0"/>
    <xf numFmtId="0" fontId="40" fillId="0" borderId="0"/>
    <xf numFmtId="9" fontId="19" fillId="0" borderId="0" applyFont="0" applyFill="0" applyBorder="0" applyAlignment="0" applyProtection="0"/>
  </cellStyleXfs>
  <cellXfs count="375">
    <xf numFmtId="0" fontId="0" fillId="0" borderId="0" xfId="0"/>
    <xf numFmtId="0" fontId="23" fillId="0" borderId="2" xfId="0" applyFont="1" applyBorder="1" applyAlignment="1">
      <alignment horizontal="center" vertical="top"/>
    </xf>
    <xf numFmtId="43" fontId="22" fillId="0" borderId="3" xfId="1" applyFont="1" applyBorder="1" applyAlignment="1">
      <alignment horizontal="right"/>
    </xf>
    <xf numFmtId="0" fontId="22" fillId="0" borderId="9" xfId="0" applyFont="1" applyBorder="1" applyAlignment="1">
      <alignment horizontal="center"/>
    </xf>
    <xf numFmtId="0" fontId="22" fillId="0" borderId="0" xfId="0" applyFont="1"/>
    <xf numFmtId="0" fontId="22" fillId="0" borderId="10" xfId="0" applyFont="1" applyBorder="1"/>
    <xf numFmtId="0" fontId="22" fillId="0" borderId="1" xfId="0" applyFont="1" applyBorder="1"/>
    <xf numFmtId="43" fontId="22" fillId="0" borderId="1" xfId="1" applyFont="1" applyFill="1" applyBorder="1"/>
    <xf numFmtId="43" fontId="25" fillId="0" borderId="1" xfId="1" applyFont="1" applyBorder="1"/>
    <xf numFmtId="0" fontId="22" fillId="0" borderId="0" xfId="0" applyFont="1" applyAlignment="1">
      <alignment horizontal="center"/>
    </xf>
    <xf numFmtId="2" fontId="22" fillId="0" borderId="0" xfId="0" applyNumberFormat="1" applyFont="1" applyAlignment="1">
      <alignment horizontal="center"/>
    </xf>
    <xf numFmtId="43" fontId="23" fillId="0" borderId="2" xfId="1" applyFont="1" applyBorder="1"/>
    <xf numFmtId="0" fontId="23" fillId="0" borderId="4" xfId="0" applyFont="1" applyBorder="1"/>
    <xf numFmtId="43" fontId="23" fillId="0" borderId="6" xfId="1" applyFont="1" applyBorder="1"/>
    <xf numFmtId="0" fontId="23" fillId="0" borderId="8" xfId="0" applyFont="1" applyBorder="1"/>
    <xf numFmtId="43" fontId="22" fillId="0" borderId="1" xfId="1" applyFont="1" applyBorder="1"/>
    <xf numFmtId="0" fontId="27" fillId="0" borderId="1" xfId="0" applyFont="1" applyBorder="1"/>
    <xf numFmtId="43" fontId="27" fillId="0" borderId="1" xfId="1" applyFont="1" applyBorder="1"/>
    <xf numFmtId="0" fontId="27" fillId="0" borderId="1" xfId="0" applyFont="1" applyBorder="1" applyAlignment="1">
      <alignment horizontal="left" vertical="top" wrapText="1"/>
    </xf>
    <xf numFmtId="43" fontId="0" fillId="0" borderId="0" xfId="0" applyNumberFormat="1"/>
    <xf numFmtId="0" fontId="23" fillId="0" borderId="0" xfId="0" applyFont="1" applyAlignment="1">
      <alignment horizontal="center"/>
    </xf>
    <xf numFmtId="0" fontId="22" fillId="0" borderId="8" xfId="0" applyFont="1" applyBorder="1"/>
    <xf numFmtId="0" fontId="22" fillId="0" borderId="12" xfId="0" applyFont="1" applyBorder="1"/>
    <xf numFmtId="0" fontId="23" fillId="0" borderId="1" xfId="0" applyFont="1" applyBorder="1"/>
    <xf numFmtId="43" fontId="25" fillId="4" borderId="1" xfId="1" applyFont="1" applyFill="1" applyBorder="1"/>
    <xf numFmtId="43" fontId="27" fillId="0" borderId="1" xfId="1" applyFont="1" applyFill="1" applyBorder="1"/>
    <xf numFmtId="0" fontId="22" fillId="0" borderId="13" xfId="0" applyFont="1" applyBorder="1"/>
    <xf numFmtId="0" fontId="0" fillId="0" borderId="13" xfId="0" applyBorder="1"/>
    <xf numFmtId="0" fontId="29" fillId="0" borderId="0" xfId="2"/>
    <xf numFmtId="0" fontId="23" fillId="0" borderId="1" xfId="2" applyFont="1" applyBorder="1" applyAlignment="1">
      <alignment vertical="top"/>
    </xf>
    <xf numFmtId="0" fontId="29" fillId="0" borderId="4" xfId="2" applyBorder="1"/>
    <xf numFmtId="0" fontId="23" fillId="0" borderId="1" xfId="2" applyFont="1" applyBorder="1"/>
    <xf numFmtId="0" fontId="22" fillId="0" borderId="13" xfId="2" applyFont="1" applyBorder="1" applyAlignment="1">
      <alignment horizontal="center"/>
    </xf>
    <xf numFmtId="43" fontId="22" fillId="0" borderId="13" xfId="1" applyFont="1" applyBorder="1"/>
    <xf numFmtId="0" fontId="22" fillId="0" borderId="16" xfId="2" applyFont="1" applyBorder="1" applyAlignment="1">
      <alignment horizontal="center"/>
    </xf>
    <xf numFmtId="10" fontId="22" fillId="0" borderId="16" xfId="1" applyNumberFormat="1" applyFont="1" applyBorder="1"/>
    <xf numFmtId="0" fontId="22" fillId="0" borderId="17" xfId="2" applyFont="1" applyBorder="1" applyAlignment="1">
      <alignment horizontal="center"/>
    </xf>
    <xf numFmtId="0" fontId="22" fillId="0" borderId="18" xfId="2" applyFont="1" applyBorder="1" applyAlignment="1">
      <alignment horizontal="center"/>
    </xf>
    <xf numFmtId="43" fontId="22" fillId="0" borderId="16" xfId="1" applyFont="1" applyBorder="1"/>
    <xf numFmtId="43" fontId="19" fillId="0" borderId="0" xfId="1"/>
    <xf numFmtId="0" fontId="1" fillId="0" borderId="0" xfId="4"/>
    <xf numFmtId="0" fontId="35" fillId="0" borderId="2" xfId="4" applyFont="1" applyBorder="1" applyAlignment="1">
      <alignment vertical="top"/>
    </xf>
    <xf numFmtId="0" fontId="35" fillId="0" borderId="2" xfId="4" applyFont="1" applyBorder="1"/>
    <xf numFmtId="0" fontId="25" fillId="0" borderId="3" xfId="4" applyFont="1" applyBorder="1" applyAlignment="1">
      <alignment horizontal="left"/>
    </xf>
    <xf numFmtId="0" fontId="25" fillId="0" borderId="3" xfId="4" applyFont="1" applyBorder="1"/>
    <xf numFmtId="0" fontId="25" fillId="0" borderId="4" xfId="4" applyFont="1" applyBorder="1"/>
    <xf numFmtId="0" fontId="33" fillId="0" borderId="1" xfId="5" applyFont="1" applyBorder="1" applyAlignment="1">
      <alignment horizontal="center"/>
    </xf>
    <xf numFmtId="0" fontId="32" fillId="0" borderId="1" xfId="5" applyFont="1" applyBorder="1"/>
    <xf numFmtId="0" fontId="33" fillId="0" borderId="1" xfId="5" applyFont="1" applyBorder="1"/>
    <xf numFmtId="2" fontId="33" fillId="0" borderId="1" xfId="5" applyNumberFormat="1" applyFont="1" applyBorder="1"/>
    <xf numFmtId="0" fontId="30" fillId="0" borderId="1" xfId="6" applyFont="1" applyBorder="1" applyAlignment="1">
      <alignment horizontal="left"/>
    </xf>
    <xf numFmtId="43" fontId="30" fillId="0" borderId="1" xfId="7" applyFont="1" applyBorder="1" applyAlignment="1">
      <alignment horizontal="right"/>
    </xf>
    <xf numFmtId="0" fontId="1" fillId="0" borderId="9" xfId="5" applyBorder="1"/>
    <xf numFmtId="0" fontId="1" fillId="0" borderId="10" xfId="5" applyBorder="1"/>
    <xf numFmtId="0" fontId="22" fillId="4" borderId="1" xfId="8" applyFont="1" applyFill="1" applyBorder="1" applyAlignment="1">
      <alignment vertical="center" wrapText="1"/>
    </xf>
    <xf numFmtId="0" fontId="22" fillId="0" borderId="1" xfId="8" applyFont="1" applyBorder="1" applyAlignment="1">
      <alignment vertical="center" wrapText="1"/>
    </xf>
    <xf numFmtId="0" fontId="29" fillId="0" borderId="0" xfId="0" applyFont="1"/>
    <xf numFmtId="14" fontId="22" fillId="4" borderId="1" xfId="8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10" fillId="0" borderId="1" xfId="0" applyFont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 wrapText="1"/>
    </xf>
    <xf numFmtId="0" fontId="13" fillId="4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3" fontId="11" fillId="0" borderId="1" xfId="0" applyNumberFormat="1" applyFont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43" fontId="11" fillId="4" borderId="1" xfId="0" applyNumberFormat="1" applyFont="1" applyFill="1" applyBorder="1" applyAlignment="1">
      <alignment horizontal="right" vertical="center" wrapText="1"/>
    </xf>
    <xf numFmtId="4" fontId="12" fillId="4" borderId="1" xfId="0" applyNumberFormat="1" applyFont="1" applyFill="1" applyBorder="1" applyAlignment="1">
      <alignment horizontal="right" vertical="center" wrapText="1"/>
    </xf>
    <xf numFmtId="43" fontId="14" fillId="4" borderId="1" xfId="0" applyNumberFormat="1" applyFont="1" applyFill="1" applyBorder="1" applyAlignment="1">
      <alignment horizontal="right" vertical="center" wrapText="1"/>
    </xf>
    <xf numFmtId="4" fontId="15" fillId="4" borderId="1" xfId="0" applyNumberFormat="1" applyFont="1" applyFill="1" applyBorder="1" applyAlignment="1">
      <alignment horizontal="right" vertical="center" wrapText="1"/>
    </xf>
    <xf numFmtId="43" fontId="14" fillId="0" borderId="1" xfId="0" applyNumberFormat="1" applyFont="1" applyBorder="1" applyAlignment="1">
      <alignment horizontal="right" vertical="center" wrapText="1"/>
    </xf>
    <xf numFmtId="4" fontId="15" fillId="0" borderId="1" xfId="0" applyNumberFormat="1" applyFont="1" applyBorder="1" applyAlignment="1">
      <alignment horizontal="righ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6" fillId="6" borderId="1" xfId="0" quotePrefix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right" vertical="top" wrapText="1"/>
    </xf>
    <xf numFmtId="4" fontId="8" fillId="6" borderId="1" xfId="0" applyNumberFormat="1" applyFont="1" applyFill="1" applyBorder="1" applyAlignment="1">
      <alignment horizontal="righ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right" vertical="top" wrapText="1"/>
    </xf>
    <xf numFmtId="4" fontId="8" fillId="5" borderId="1" xfId="0" applyNumberFormat="1" applyFont="1" applyFill="1" applyBorder="1" applyAlignment="1">
      <alignment horizontal="right" vertical="center" wrapText="1"/>
    </xf>
    <xf numFmtId="0" fontId="6" fillId="6" borderId="1" xfId="0" applyFont="1" applyFill="1" applyBorder="1" applyAlignment="1">
      <alignment horizontal="center" vertical="center" wrapText="1"/>
    </xf>
    <xf numFmtId="4" fontId="28" fillId="5" borderId="1" xfId="0" applyNumberFormat="1" applyFont="1" applyFill="1" applyBorder="1" applyAlignment="1">
      <alignment horizontal="right" vertical="center" wrapText="1"/>
    </xf>
    <xf numFmtId="0" fontId="23" fillId="6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vertical="justify"/>
    </xf>
    <xf numFmtId="0" fontId="23" fillId="6" borderId="1" xfId="0" applyFont="1" applyFill="1" applyBorder="1" applyAlignment="1">
      <alignment horizontal="center"/>
    </xf>
    <xf numFmtId="2" fontId="23" fillId="6" borderId="6" xfId="0" applyNumberFormat="1" applyFont="1" applyFill="1" applyBorder="1" applyAlignment="1">
      <alignment horizontal="center"/>
    </xf>
    <xf numFmtId="0" fontId="23" fillId="6" borderId="8" xfId="0" applyFont="1" applyFill="1" applyBorder="1" applyAlignment="1">
      <alignment horizontal="center"/>
    </xf>
    <xf numFmtId="2" fontId="23" fillId="6" borderId="2" xfId="0" applyNumberFormat="1" applyFont="1" applyFill="1" applyBorder="1" applyAlignment="1">
      <alignment horizontal="center"/>
    </xf>
    <xf numFmtId="0" fontId="23" fillId="6" borderId="4" xfId="0" applyFont="1" applyFill="1" applyBorder="1" applyAlignment="1">
      <alignment horizontal="center"/>
    </xf>
    <xf numFmtId="0" fontId="23" fillId="5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vertical="justify"/>
    </xf>
    <xf numFmtId="0" fontId="23" fillId="6" borderId="14" xfId="2" applyFont="1" applyFill="1" applyBorder="1" applyAlignment="1">
      <alignment horizontal="center"/>
    </xf>
    <xf numFmtId="43" fontId="23" fillId="6" borderId="14" xfId="1" applyFont="1" applyFill="1" applyBorder="1" applyAlignment="1">
      <alignment horizontal="center"/>
    </xf>
    <xf numFmtId="10" fontId="22" fillId="4" borderId="16" xfId="3" applyNumberFormat="1" applyFont="1" applyFill="1" applyBorder="1"/>
    <xf numFmtId="43" fontId="22" fillId="4" borderId="13" xfId="1" applyFont="1" applyFill="1" applyBorder="1"/>
    <xf numFmtId="10" fontId="22" fillId="4" borderId="16" xfId="1" applyNumberFormat="1" applyFont="1" applyFill="1" applyBorder="1"/>
    <xf numFmtId="43" fontId="22" fillId="6" borderId="18" xfId="1" applyFont="1" applyFill="1" applyBorder="1"/>
    <xf numFmtId="43" fontId="22" fillId="6" borderId="16" xfId="1" applyFont="1" applyFill="1" applyBorder="1"/>
    <xf numFmtId="43" fontId="23" fillId="6" borderId="18" xfId="1" applyFont="1" applyFill="1" applyBorder="1"/>
    <xf numFmtId="0" fontId="32" fillId="6" borderId="1" xfId="5" applyFont="1" applyFill="1" applyBorder="1" applyAlignment="1">
      <alignment horizontal="center"/>
    </xf>
    <xf numFmtId="2" fontId="32" fillId="6" borderId="1" xfId="5" applyNumberFormat="1" applyFont="1" applyFill="1" applyBorder="1"/>
    <xf numFmtId="0" fontId="37" fillId="6" borderId="1" xfId="0" applyFont="1" applyFill="1" applyBorder="1"/>
    <xf numFmtId="0" fontId="38" fillId="5" borderId="1" xfId="8" applyFont="1" applyFill="1" applyBorder="1" applyAlignment="1">
      <alignment vertical="center" wrapText="1"/>
    </xf>
    <xf numFmtId="0" fontId="38" fillId="5" borderId="1" xfId="8" quotePrefix="1" applyFont="1" applyFill="1" applyBorder="1" applyAlignment="1">
      <alignment horizontal="center" vertical="center" wrapText="1"/>
    </xf>
    <xf numFmtId="4" fontId="0" fillId="0" borderId="0" xfId="0" applyNumberFormat="1"/>
    <xf numFmtId="4" fontId="17" fillId="9" borderId="1" xfId="0" applyNumberFormat="1" applyFont="1" applyFill="1" applyBorder="1" applyAlignment="1">
      <alignment horizontal="right" vertical="top" wrapText="1"/>
    </xf>
    <xf numFmtId="0" fontId="18" fillId="4" borderId="1" xfId="0" applyFont="1" applyFill="1" applyBorder="1" applyAlignment="1">
      <alignment horizontal="left" vertical="top" wrapText="1"/>
    </xf>
    <xf numFmtId="0" fontId="24" fillId="10" borderId="6" xfId="8" applyFont="1" applyFill="1" applyBorder="1" applyAlignment="1">
      <alignment vertical="center"/>
    </xf>
    <xf numFmtId="0" fontId="24" fillId="10" borderId="7" xfId="8" applyFont="1" applyFill="1" applyBorder="1" applyAlignment="1">
      <alignment vertical="center" wrapText="1"/>
    </xf>
    <xf numFmtId="49" fontId="39" fillId="10" borderId="7" xfId="8" applyNumberFormat="1" applyFont="1" applyFill="1" applyBorder="1" applyAlignment="1">
      <alignment horizontal="left" vertical="center"/>
    </xf>
    <xf numFmtId="0" fontId="38" fillId="10" borderId="7" xfId="8" applyFont="1" applyFill="1" applyBorder="1" applyAlignment="1">
      <alignment vertical="center"/>
    </xf>
    <xf numFmtId="4" fontId="38" fillId="10" borderId="7" xfId="8" applyNumberFormat="1" applyFont="1" applyFill="1" applyBorder="1" applyAlignment="1">
      <alignment vertical="center"/>
    </xf>
    <xf numFmtId="43" fontId="39" fillId="10" borderId="8" xfId="1" applyFont="1" applyFill="1" applyBorder="1" applyAlignment="1">
      <alignment horizontal="center" vertical="center"/>
    </xf>
    <xf numFmtId="0" fontId="22" fillId="0" borderId="0" xfId="10" applyFont="1"/>
    <xf numFmtId="0" fontId="24" fillId="10" borderId="9" xfId="8" applyFont="1" applyFill="1" applyBorder="1" applyAlignment="1">
      <alignment vertical="center"/>
    </xf>
    <xf numFmtId="0" fontId="24" fillId="10" borderId="0" xfId="8" applyFont="1" applyFill="1" applyAlignment="1">
      <alignment vertical="center" wrapText="1"/>
    </xf>
    <xf numFmtId="0" fontId="24" fillId="0" borderId="1" xfId="8" applyFont="1" applyBorder="1" applyAlignment="1">
      <alignment horizontal="center" vertical="center"/>
    </xf>
    <xf numFmtId="0" fontId="24" fillId="0" borderId="1" xfId="8" applyFont="1" applyBorder="1" applyAlignment="1">
      <alignment horizontal="center" vertical="center" wrapText="1"/>
    </xf>
    <xf numFmtId="4" fontId="24" fillId="0" borderId="1" xfId="8" applyNumberFormat="1" applyFont="1" applyBorder="1" applyAlignment="1">
      <alignment horizontal="center" vertical="center"/>
    </xf>
    <xf numFmtId="43" fontId="24" fillId="0" borderId="1" xfId="1" applyFont="1" applyBorder="1" applyAlignment="1">
      <alignment horizontal="center" vertical="center"/>
    </xf>
    <xf numFmtId="0" fontId="24" fillId="0" borderId="1" xfId="8" applyFont="1" applyBorder="1" applyAlignment="1">
      <alignment horizontal="left" vertical="center"/>
    </xf>
    <xf numFmtId="4" fontId="24" fillId="0" borderId="1" xfId="8" applyNumberFormat="1" applyFont="1" applyBorder="1" applyAlignment="1">
      <alignment horizontal="right" vertical="center"/>
    </xf>
    <xf numFmtId="43" fontId="24" fillId="0" borderId="1" xfId="1" applyFont="1" applyBorder="1" applyAlignment="1">
      <alignment horizontal="right" vertical="center"/>
    </xf>
    <xf numFmtId="0" fontId="38" fillId="0" borderId="1" xfId="8" applyFont="1" applyBorder="1" applyAlignment="1">
      <alignment horizontal="center" vertical="center" wrapText="1"/>
    </xf>
    <xf numFmtId="0" fontId="38" fillId="0" borderId="1" xfId="8" applyFont="1" applyBorder="1" applyAlignment="1">
      <alignment vertical="center" wrapText="1"/>
    </xf>
    <xf numFmtId="166" fontId="38" fillId="0" borderId="1" xfId="8" applyNumberFormat="1" applyFont="1" applyBorder="1" applyAlignment="1">
      <alignment vertical="center" wrapText="1"/>
    </xf>
    <xf numFmtId="4" fontId="38" fillId="0" borderId="4" xfId="8" applyNumberFormat="1" applyFont="1" applyBorder="1" applyAlignment="1">
      <alignment horizontal="right" vertical="center"/>
    </xf>
    <xf numFmtId="43" fontId="38" fillId="0" borderId="1" xfId="1" applyFont="1" applyFill="1" applyBorder="1" applyAlignment="1">
      <alignment vertical="center" wrapText="1"/>
    </xf>
    <xf numFmtId="4" fontId="24" fillId="0" borderId="4" xfId="8" applyNumberFormat="1" applyFont="1" applyBorder="1" applyAlignment="1">
      <alignment horizontal="right" vertical="center"/>
    </xf>
    <xf numFmtId="43" fontId="24" fillId="11" borderId="1" xfId="1" applyFont="1" applyFill="1" applyBorder="1" applyAlignment="1">
      <alignment horizontal="right" vertical="center"/>
    </xf>
    <xf numFmtId="4" fontId="38" fillId="0" borderId="1" xfId="8" applyNumberFormat="1" applyFont="1" applyBorder="1" applyAlignment="1">
      <alignment horizontal="right" vertical="center"/>
    </xf>
    <xf numFmtId="0" fontId="24" fillId="0" borderId="1" xfId="8" applyFont="1" applyBorder="1" applyAlignment="1">
      <alignment horizontal="left" vertical="center" wrapText="1"/>
    </xf>
    <xf numFmtId="0" fontId="24" fillId="0" borderId="6" xfId="8" applyFont="1" applyBorder="1" applyAlignment="1">
      <alignment horizontal="left" vertical="center"/>
    </xf>
    <xf numFmtId="0" fontId="24" fillId="0" borderId="7" xfId="8" applyFont="1" applyBorder="1" applyAlignment="1">
      <alignment horizontal="left" vertical="center" wrapText="1"/>
    </xf>
    <xf numFmtId="0" fontId="24" fillId="0" borderId="7" xfId="8" applyFont="1" applyBorder="1" applyAlignment="1">
      <alignment horizontal="left" vertical="center"/>
    </xf>
    <xf numFmtId="43" fontId="24" fillId="0" borderId="8" xfId="1" applyFont="1" applyFill="1" applyBorder="1" applyAlignment="1">
      <alignment horizontal="right" vertical="center"/>
    </xf>
    <xf numFmtId="0" fontId="38" fillId="0" borderId="11" xfId="8" applyFont="1" applyBorder="1" applyAlignment="1">
      <alignment vertical="center"/>
    </xf>
    <xf numFmtId="0" fontId="38" fillId="0" borderId="5" xfId="8" applyFont="1" applyBorder="1" applyAlignment="1">
      <alignment vertical="center" wrapText="1"/>
    </xf>
    <xf numFmtId="0" fontId="38" fillId="0" borderId="5" xfId="8" applyFont="1" applyBorder="1" applyAlignment="1">
      <alignment vertical="center"/>
    </xf>
    <xf numFmtId="43" fontId="39" fillId="10" borderId="1" xfId="1" applyFont="1" applyFill="1" applyBorder="1" applyAlignment="1">
      <alignment horizontal="right" vertical="center"/>
    </xf>
    <xf numFmtId="0" fontId="10" fillId="0" borderId="1" xfId="0" quotePrefix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wrapText="1"/>
    </xf>
    <xf numFmtId="43" fontId="41" fillId="0" borderId="1" xfId="1" applyFont="1" applyFill="1" applyBorder="1"/>
    <xf numFmtId="43" fontId="24" fillId="0" borderId="1" xfId="1" applyFont="1" applyFill="1" applyBorder="1" applyAlignment="1">
      <alignment vertical="center" wrapText="1"/>
    </xf>
    <xf numFmtId="0" fontId="38" fillId="4" borderId="1" xfId="8" applyFont="1" applyFill="1" applyBorder="1" applyAlignment="1">
      <alignment horizontal="center" vertical="center" wrapText="1"/>
    </xf>
    <xf numFmtId="166" fontId="38" fillId="4" borderId="1" xfId="8" applyNumberFormat="1" applyFont="1" applyFill="1" applyBorder="1" applyAlignment="1">
      <alignment vertical="center" wrapText="1"/>
    </xf>
    <xf numFmtId="0" fontId="38" fillId="4" borderId="1" xfId="8" quotePrefix="1" applyFont="1" applyFill="1" applyBorder="1" applyAlignment="1">
      <alignment horizontal="center" vertical="center"/>
    </xf>
    <xf numFmtId="0" fontId="38" fillId="4" borderId="1" xfId="8" applyFont="1" applyFill="1" applyBorder="1" applyAlignment="1">
      <alignment vertical="center" wrapText="1"/>
    </xf>
    <xf numFmtId="165" fontId="42" fillId="0" borderId="0" xfId="9" applyNumberFormat="1" applyFont="1" applyFill="1" applyBorder="1" applyAlignment="1">
      <alignment horizontal="center" vertical="center"/>
    </xf>
    <xf numFmtId="165" fontId="42" fillId="0" borderId="0" xfId="9" applyNumberFormat="1" applyFont="1" applyFill="1" applyBorder="1" applyAlignment="1">
      <alignment vertical="center"/>
    </xf>
    <xf numFmtId="165" fontId="42" fillId="0" borderId="0" xfId="9" applyNumberFormat="1" applyFont="1" applyFill="1" applyBorder="1" applyAlignment="1">
      <alignment horizontal="left" vertical="center"/>
    </xf>
    <xf numFmtId="43" fontId="19" fillId="0" borderId="0" xfId="1" applyBorder="1" applyAlignment="1">
      <alignment horizontal="right"/>
    </xf>
    <xf numFmtId="0" fontId="43" fillId="4" borderId="1" xfId="0" applyFont="1" applyFill="1" applyBorder="1" applyAlignment="1">
      <alignment horizontal="left" vertical="top" wrapText="1"/>
    </xf>
    <xf numFmtId="43" fontId="25" fillId="0" borderId="1" xfId="1" applyFont="1" applyFill="1" applyBorder="1"/>
    <xf numFmtId="0" fontId="25" fillId="0" borderId="0" xfId="0" applyFont="1"/>
    <xf numFmtId="0" fontId="25" fillId="0" borderId="10" xfId="0" applyFont="1" applyBorder="1"/>
    <xf numFmtId="0" fontId="35" fillId="6" borderId="1" xfId="0" applyFont="1" applyFill="1" applyBorder="1" applyAlignment="1">
      <alignment horizontal="center"/>
    </xf>
    <xf numFmtId="0" fontId="25" fillId="0" borderId="1" xfId="0" applyFont="1" applyBorder="1" applyAlignment="1">
      <alignment wrapText="1"/>
    </xf>
    <xf numFmtId="0" fontId="25" fillId="0" borderId="1" xfId="0" applyFont="1" applyBorder="1"/>
    <xf numFmtId="2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2" fontId="35" fillId="6" borderId="2" xfId="0" applyNumberFormat="1" applyFont="1" applyFill="1" applyBorder="1" applyAlignment="1">
      <alignment horizontal="center"/>
    </xf>
    <xf numFmtId="0" fontId="35" fillId="6" borderId="4" xfId="0" applyFont="1" applyFill="1" applyBorder="1" applyAlignment="1">
      <alignment horizontal="center"/>
    </xf>
    <xf numFmtId="43" fontId="35" fillId="0" borderId="2" xfId="1" applyFont="1" applyBorder="1"/>
    <xf numFmtId="0" fontId="35" fillId="0" borderId="4" xfId="0" applyFont="1" applyBorder="1"/>
    <xf numFmtId="0" fontId="35" fillId="5" borderId="1" xfId="0" applyFont="1" applyFill="1" applyBorder="1" applyAlignment="1">
      <alignment vertical="justify"/>
    </xf>
    <xf numFmtId="0" fontId="35" fillId="6" borderId="1" xfId="0" applyFont="1" applyFill="1" applyBorder="1" applyAlignment="1">
      <alignment vertical="justify"/>
    </xf>
    <xf numFmtId="0" fontId="35" fillId="5" borderId="1" xfId="0" applyFont="1" applyFill="1" applyBorder="1" applyAlignment="1">
      <alignment horizontal="center" vertical="center"/>
    </xf>
    <xf numFmtId="0" fontId="25" fillId="0" borderId="9" xfId="0" applyFont="1" applyBorder="1" applyAlignment="1">
      <alignment horizontal="center"/>
    </xf>
    <xf numFmtId="0" fontId="11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0" fontId="38" fillId="4" borderId="1" xfId="8" quotePrefix="1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right" vertical="center" wrapText="1"/>
    </xf>
    <xf numFmtId="0" fontId="9" fillId="6" borderId="1" xfId="0" applyFont="1" applyFill="1" applyBorder="1" applyAlignment="1">
      <alignment horizontal="left" vertical="top" wrapText="1"/>
    </xf>
    <xf numFmtId="0" fontId="9" fillId="5" borderId="1" xfId="0" applyFont="1" applyFill="1" applyBorder="1" applyAlignment="1">
      <alignment horizontal="left" vertical="top" wrapText="1"/>
    </xf>
    <xf numFmtId="4" fontId="18" fillId="4" borderId="1" xfId="0" applyNumberFormat="1" applyFont="1" applyFill="1" applyBorder="1" applyAlignment="1">
      <alignment horizontal="right" vertical="center" wrapText="1"/>
    </xf>
    <xf numFmtId="43" fontId="18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45" fillId="0" borderId="4" xfId="0" applyFont="1" applyBorder="1"/>
    <xf numFmtId="0" fontId="45" fillId="0" borderId="1" xfId="0" applyFont="1" applyBorder="1"/>
    <xf numFmtId="4" fontId="45" fillId="0" borderId="1" xfId="0" applyNumberFormat="1" applyFont="1" applyBorder="1"/>
    <xf numFmtId="4" fontId="0" fillId="0" borderId="1" xfId="0" applyNumberFormat="1" applyBorder="1"/>
    <xf numFmtId="43" fontId="45" fillId="0" borderId="1" xfId="0" applyNumberFormat="1" applyFont="1" applyBorder="1"/>
    <xf numFmtId="0" fontId="0" fillId="0" borderId="1" xfId="0" applyBorder="1"/>
    <xf numFmtId="43" fontId="45" fillId="0" borderId="1" xfId="1" applyFont="1" applyBorder="1" applyAlignment="1">
      <alignment horizontal="right"/>
    </xf>
    <xf numFmtId="0" fontId="29" fillId="0" borderId="1" xfId="0" applyFont="1" applyBorder="1"/>
    <xf numFmtId="0" fontId="0" fillId="0" borderId="0" xfId="0" applyAlignment="1">
      <alignment horizontal="center" vertical="justify"/>
    </xf>
    <xf numFmtId="43" fontId="0" fillId="0" borderId="1" xfId="0" applyNumberFormat="1" applyBorder="1"/>
    <xf numFmtId="43" fontId="19" fillId="0" borderId="1" xfId="1" applyBorder="1" applyAlignment="1">
      <alignment horizontal="right"/>
    </xf>
    <xf numFmtId="43" fontId="46" fillId="0" borderId="1" xfId="1" applyFont="1" applyFill="1" applyBorder="1"/>
    <xf numFmtId="43" fontId="47" fillId="0" borderId="13" xfId="1" applyFont="1" applyFill="1" applyBorder="1" applyAlignment="1">
      <alignment horizontal="right" vertical="center"/>
    </xf>
    <xf numFmtId="43" fontId="39" fillId="10" borderId="7" xfId="1" applyFont="1" applyFill="1" applyBorder="1" applyAlignment="1">
      <alignment horizontal="center" vertical="center"/>
    </xf>
    <xf numFmtId="43" fontId="24" fillId="0" borderId="2" xfId="1" applyFont="1" applyBorder="1" applyAlignment="1">
      <alignment horizontal="center" vertical="center"/>
    </xf>
    <xf numFmtId="43" fontId="24" fillId="0" borderId="2" xfId="1" applyFont="1" applyBorder="1" applyAlignment="1">
      <alignment horizontal="right" vertical="center"/>
    </xf>
    <xf numFmtId="4" fontId="48" fillId="0" borderId="4" xfId="8" applyNumberFormat="1" applyFont="1" applyBorder="1" applyAlignment="1">
      <alignment horizontal="right" vertical="center"/>
    </xf>
    <xf numFmtId="43" fontId="24" fillId="11" borderId="2" xfId="1" applyFont="1" applyFill="1" applyBorder="1" applyAlignment="1">
      <alignment horizontal="right" vertical="center"/>
    </xf>
    <xf numFmtId="43" fontId="24" fillId="0" borderId="7" xfId="1" applyFont="1" applyFill="1" applyBorder="1" applyAlignment="1">
      <alignment horizontal="right" vertical="center"/>
    </xf>
    <xf numFmtId="43" fontId="39" fillId="10" borderId="2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top" wrapText="1"/>
    </xf>
    <xf numFmtId="43" fontId="49" fillId="0" borderId="1" xfId="0" applyNumberFormat="1" applyFont="1" applyBorder="1"/>
    <xf numFmtId="0" fontId="49" fillId="0" borderId="1" xfId="0" applyFont="1" applyBorder="1"/>
    <xf numFmtId="4" fontId="49" fillId="0" borderId="1" xfId="0" applyNumberFormat="1" applyFont="1" applyBorder="1"/>
    <xf numFmtId="43" fontId="49" fillId="0" borderId="1" xfId="1" applyFont="1" applyBorder="1" applyAlignment="1">
      <alignment horizontal="right"/>
    </xf>
    <xf numFmtId="0" fontId="24" fillId="10" borderId="9" xfId="8" applyFont="1" applyFill="1" applyBorder="1" applyAlignment="1">
      <alignment vertical="top"/>
    </xf>
    <xf numFmtId="0" fontId="18" fillId="0" borderId="1" xfId="0" applyFont="1" applyBorder="1"/>
    <xf numFmtId="0" fontId="50" fillId="0" borderId="1" xfId="0" applyFont="1" applyBorder="1"/>
    <xf numFmtId="39" fontId="47" fillId="0" borderId="13" xfId="1" applyNumberFormat="1" applyFont="1" applyFill="1" applyBorder="1" applyAlignment="1">
      <alignment horizontal="right" vertical="center"/>
    </xf>
    <xf numFmtId="0" fontId="29" fillId="0" borderId="4" xfId="0" applyFont="1" applyBorder="1"/>
    <xf numFmtId="165" fontId="22" fillId="0" borderId="1" xfId="9" applyNumberFormat="1" applyFont="1" applyFill="1" applyBorder="1" applyAlignment="1">
      <alignment horizontal="right"/>
    </xf>
    <xf numFmtId="43" fontId="24" fillId="0" borderId="2" xfId="1" applyFont="1" applyFill="1" applyBorder="1" applyAlignment="1">
      <alignment vertical="center" wrapText="1"/>
    </xf>
    <xf numFmtId="165" fontId="46" fillId="0" borderId="1" xfId="9" applyNumberFormat="1" applyFont="1" applyFill="1" applyBorder="1" applyAlignment="1">
      <alignment horizontal="right"/>
    </xf>
    <xf numFmtId="0" fontId="22" fillId="0" borderId="0" xfId="10" applyFont="1" applyAlignment="1">
      <alignment horizontal="center" vertical="top"/>
    </xf>
    <xf numFmtId="0" fontId="22" fillId="0" borderId="0" xfId="10" applyFont="1" applyAlignment="1">
      <alignment horizontal="center" vertical="top" wrapText="1"/>
    </xf>
    <xf numFmtId="0" fontId="22" fillId="0" borderId="0" xfId="10" applyFont="1" applyAlignment="1">
      <alignment horizontal="justify" vertical="justify"/>
    </xf>
    <xf numFmtId="0" fontId="22" fillId="0" borderId="0" xfId="10" applyFont="1" applyAlignment="1">
      <alignment horizontal="center"/>
    </xf>
    <xf numFmtId="165" fontId="22" fillId="0" borderId="0" xfId="9" applyNumberFormat="1" applyFont="1" applyFill="1" applyBorder="1" applyAlignment="1">
      <alignment horizontal="right"/>
    </xf>
    <xf numFmtId="43" fontId="22" fillId="0" borderId="0" xfId="1" applyFont="1" applyFill="1" applyBorder="1" applyAlignment="1">
      <alignment horizontal="right"/>
    </xf>
    <xf numFmtId="164" fontId="0" fillId="5" borderId="1" xfId="0" applyNumberFormat="1" applyFill="1" applyBorder="1"/>
    <xf numFmtId="2" fontId="22" fillId="0" borderId="1" xfId="8" applyNumberFormat="1" applyFont="1" applyBorder="1" applyAlignment="1">
      <alignment vertical="center" wrapText="1"/>
    </xf>
    <xf numFmtId="0" fontId="22" fillId="0" borderId="1" xfId="10" applyFont="1" applyBorder="1"/>
    <xf numFmtId="0" fontId="46" fillId="0" borderId="1" xfId="10" applyFont="1" applyBorder="1"/>
    <xf numFmtId="0" fontId="37" fillId="6" borderId="1" xfId="0" applyFont="1" applyFill="1" applyBorder="1" applyAlignment="1">
      <alignment horizontal="center" vertical="center"/>
    </xf>
    <xf numFmtId="4" fontId="12" fillId="0" borderId="2" xfId="0" applyNumberFormat="1" applyFont="1" applyBorder="1" applyAlignment="1">
      <alignment horizontal="right" vertical="center" wrapText="1"/>
    </xf>
    <xf numFmtId="4" fontId="8" fillId="5" borderId="17" xfId="0" applyNumberFormat="1" applyFont="1" applyFill="1" applyBorder="1" applyAlignment="1">
      <alignment horizontal="right" vertical="center" wrapText="1"/>
    </xf>
    <xf numFmtId="4" fontId="12" fillId="0" borderId="15" xfId="0" applyNumberFormat="1" applyFont="1" applyBorder="1" applyAlignment="1">
      <alignment horizontal="right" vertical="center" wrapText="1"/>
    </xf>
    <xf numFmtId="4" fontId="50" fillId="0" borderId="1" xfId="0" applyNumberFormat="1" applyFont="1" applyBorder="1" applyAlignment="1">
      <alignment horizontal="right" vertical="center" wrapText="1"/>
    </xf>
    <xf numFmtId="0" fontId="1" fillId="0" borderId="0" xfId="5" applyBorder="1"/>
    <xf numFmtId="4" fontId="12" fillId="0" borderId="1" xfId="0" applyNumberFormat="1" applyFont="1" applyFill="1" applyBorder="1" applyAlignment="1">
      <alignment horizontal="right" vertical="center" wrapText="1"/>
    </xf>
    <xf numFmtId="4" fontId="0" fillId="0" borderId="9" xfId="0" applyNumberFormat="1" applyBorder="1"/>
    <xf numFmtId="0" fontId="0" fillId="0" borderId="0" xfId="0"/>
    <xf numFmtId="4" fontId="0" fillId="0" borderId="0" xfId="0" applyNumberFormat="1"/>
    <xf numFmtId="0" fontId="0" fillId="0" borderId="7" xfId="0" applyBorder="1"/>
    <xf numFmtId="0" fontId="0" fillId="7" borderId="1" xfId="0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7" borderId="1" xfId="0" applyFont="1" applyFill="1" applyBorder="1" applyAlignment="1">
      <alignment horizontal="center" wrapText="1"/>
    </xf>
    <xf numFmtId="0" fontId="0" fillId="7" borderId="1" xfId="0" applyFill="1" applyBorder="1"/>
    <xf numFmtId="0" fontId="9" fillId="9" borderId="2" xfId="0" applyFont="1" applyFill="1" applyBorder="1" applyAlignment="1">
      <alignment horizontal="right" vertical="top" wrapText="1"/>
    </xf>
    <xf numFmtId="0" fontId="9" fillId="9" borderId="3" xfId="0" applyFont="1" applyFill="1" applyBorder="1" applyAlignment="1">
      <alignment horizontal="right" vertical="top" wrapText="1"/>
    </xf>
    <xf numFmtId="0" fontId="9" fillId="9" borderId="4" xfId="0" applyFont="1" applyFill="1" applyBorder="1" applyAlignment="1">
      <alignment horizontal="right" vertical="top" wrapText="1"/>
    </xf>
    <xf numFmtId="0" fontId="0" fillId="0" borderId="9" xfId="0" applyBorder="1"/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20" fillId="5" borderId="2" xfId="11" applyFont="1" applyFill="1" applyBorder="1" applyAlignment="1">
      <alignment horizontal="center"/>
    </xf>
    <xf numFmtId="9" fontId="20" fillId="5" borderId="3" xfId="11" applyFont="1" applyFill="1" applyBorder="1" applyAlignment="1">
      <alignment horizontal="center"/>
    </xf>
    <xf numFmtId="9" fontId="20" fillId="5" borderId="4" xfId="11" applyFont="1" applyFill="1" applyBorder="1" applyAlignment="1">
      <alignment horizontal="center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3" xfId="0" applyFont="1" applyFill="1" applyBorder="1" applyAlignment="1">
      <alignment horizontal="left" vertical="top" wrapText="1"/>
    </xf>
    <xf numFmtId="0" fontId="2" fillId="6" borderId="4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16" fillId="3" borderId="3" xfId="0" applyFont="1" applyFill="1" applyBorder="1" applyAlignment="1">
      <alignment horizontal="left" vertical="top" wrapText="1"/>
    </xf>
    <xf numFmtId="0" fontId="16" fillId="3" borderId="4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16" fillId="3" borderId="1" xfId="0" applyFont="1" applyFill="1" applyBorder="1" applyAlignment="1">
      <alignment horizontal="left" vertical="top" wrapText="1"/>
    </xf>
    <xf numFmtId="10" fontId="9" fillId="3" borderId="2" xfId="0" applyNumberFormat="1" applyFont="1" applyFill="1" applyBorder="1" applyAlignment="1">
      <alignment horizontal="left" vertical="top" wrapText="1"/>
    </xf>
    <xf numFmtId="10" fontId="9" fillId="3" borderId="3" xfId="0" applyNumberFormat="1" applyFont="1" applyFill="1" applyBorder="1" applyAlignment="1">
      <alignment horizontal="left" vertical="top" wrapText="1"/>
    </xf>
    <xf numFmtId="10" fontId="9" fillId="3" borderId="4" xfId="0" applyNumberFormat="1" applyFont="1" applyFill="1" applyBorder="1" applyAlignment="1">
      <alignment horizontal="left" vertical="top" wrapText="1"/>
    </xf>
    <xf numFmtId="0" fontId="24" fillId="0" borderId="2" xfId="0" applyFont="1" applyBorder="1" applyAlignment="1">
      <alignment horizontal="left" wrapText="1"/>
    </xf>
    <xf numFmtId="0" fontId="24" fillId="0" borderId="3" xfId="0" applyFont="1" applyBorder="1" applyAlignment="1">
      <alignment horizontal="left" wrapText="1"/>
    </xf>
    <xf numFmtId="0" fontId="24" fillId="0" borderId="4" xfId="0" applyFont="1" applyBorder="1" applyAlignment="1">
      <alignment horizontal="left" wrapText="1"/>
    </xf>
    <xf numFmtId="0" fontId="22" fillId="4" borderId="2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center"/>
    </xf>
    <xf numFmtId="0" fontId="22" fillId="4" borderId="4" xfId="0" applyFont="1" applyFill="1" applyBorder="1" applyAlignment="1">
      <alignment horizontal="center"/>
    </xf>
    <xf numFmtId="0" fontId="23" fillId="5" borderId="2" xfId="0" applyFont="1" applyFill="1" applyBorder="1" applyAlignment="1">
      <alignment wrapText="1"/>
    </xf>
    <xf numFmtId="0" fontId="23" fillId="5" borderId="3" xfId="0" applyFont="1" applyFill="1" applyBorder="1" applyAlignment="1">
      <alignment wrapText="1"/>
    </xf>
    <xf numFmtId="0" fontId="23" fillId="5" borderId="4" xfId="0" applyFont="1" applyFill="1" applyBorder="1" applyAlignment="1">
      <alignment wrapText="1"/>
    </xf>
    <xf numFmtId="0" fontId="44" fillId="0" borderId="2" xfId="0" applyFont="1" applyBorder="1" applyAlignment="1">
      <alignment horizontal="left" wrapText="1"/>
    </xf>
    <xf numFmtId="0" fontId="44" fillId="0" borderId="3" xfId="0" applyFont="1" applyBorder="1" applyAlignment="1">
      <alignment horizontal="left" wrapText="1"/>
    </xf>
    <xf numFmtId="0" fontId="44" fillId="0" borderId="4" xfId="0" applyFont="1" applyBorder="1" applyAlignment="1">
      <alignment horizontal="left" wrapText="1"/>
    </xf>
    <xf numFmtId="2" fontId="22" fillId="0" borderId="1" xfId="0" applyNumberFormat="1" applyFont="1" applyBorder="1" applyAlignment="1">
      <alignment horizontal="center"/>
    </xf>
    <xf numFmtId="0" fontId="25" fillId="4" borderId="2" xfId="0" applyFont="1" applyFill="1" applyBorder="1" applyAlignment="1">
      <alignment horizontal="center"/>
    </xf>
    <xf numFmtId="0" fontId="25" fillId="4" borderId="3" xfId="0" applyFont="1" applyFill="1" applyBorder="1" applyAlignment="1">
      <alignment horizontal="center"/>
    </xf>
    <xf numFmtId="0" fontId="25" fillId="4" borderId="4" xfId="0" applyFont="1" applyFill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1" fillId="6" borderId="9" xfId="0" applyFont="1" applyFill="1" applyBorder="1" applyAlignment="1">
      <alignment horizontal="center"/>
    </xf>
    <xf numFmtId="0" fontId="21" fillId="6" borderId="0" xfId="0" applyFont="1" applyFill="1" applyAlignment="1">
      <alignment horizontal="center"/>
    </xf>
    <xf numFmtId="0" fontId="21" fillId="6" borderId="10" xfId="0" applyFont="1" applyFill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3" xfId="0" applyFont="1" applyBorder="1" applyAlignment="1">
      <alignment wrapText="1"/>
    </xf>
    <xf numFmtId="0" fontId="22" fillId="0" borderId="4" xfId="0" applyFont="1" applyBorder="1" applyAlignment="1">
      <alignment wrapText="1"/>
    </xf>
    <xf numFmtId="0" fontId="22" fillId="0" borderId="3" xfId="0" applyFont="1" applyBorder="1"/>
    <xf numFmtId="49" fontId="22" fillId="0" borderId="3" xfId="1" applyNumberFormat="1" applyFont="1" applyBorder="1" applyAlignment="1">
      <alignment horizontal="right"/>
    </xf>
    <xf numFmtId="0" fontId="22" fillId="0" borderId="4" xfId="0" applyFont="1" applyBorder="1"/>
    <xf numFmtId="0" fontId="24" fillId="0" borderId="2" xfId="0" applyFont="1" applyBorder="1" applyAlignment="1">
      <alignment horizontal="left"/>
    </xf>
    <xf numFmtId="0" fontId="24" fillId="0" borderId="3" xfId="0" applyFont="1" applyBorder="1" applyAlignment="1">
      <alignment horizontal="left"/>
    </xf>
    <xf numFmtId="0" fontId="24" fillId="0" borderId="4" xfId="0" applyFont="1" applyBorder="1" applyAlignment="1">
      <alignment horizontal="left"/>
    </xf>
    <xf numFmtId="0" fontId="22" fillId="4" borderId="17" xfId="2" applyFont="1" applyFill="1" applyBorder="1" applyAlignment="1">
      <alignment horizontal="center" vertical="center"/>
    </xf>
    <xf numFmtId="0" fontId="22" fillId="4" borderId="15" xfId="2" applyFont="1" applyFill="1" applyBorder="1" applyAlignment="1">
      <alignment horizontal="center" vertical="center"/>
    </xf>
    <xf numFmtId="0" fontId="22" fillId="0" borderId="17" xfId="2" applyFont="1" applyBorder="1" applyAlignment="1">
      <alignment vertical="center"/>
    </xf>
    <xf numFmtId="0" fontId="22" fillId="0" borderId="15" xfId="2" applyFont="1" applyBorder="1" applyAlignment="1">
      <alignment vertical="center"/>
    </xf>
    <xf numFmtId="0" fontId="30" fillId="0" borderId="2" xfId="2" applyFont="1" applyBorder="1"/>
    <xf numFmtId="0" fontId="30" fillId="0" borderId="3" xfId="2" applyFont="1" applyBorder="1"/>
    <xf numFmtId="0" fontId="30" fillId="0" borderId="4" xfId="2" applyFont="1" applyBorder="1"/>
    <xf numFmtId="0" fontId="21" fillId="6" borderId="2" xfId="2" applyFont="1" applyFill="1" applyBorder="1" applyAlignment="1">
      <alignment horizontal="center"/>
    </xf>
    <xf numFmtId="0" fontId="21" fillId="6" borderId="3" xfId="2" applyFont="1" applyFill="1" applyBorder="1" applyAlignment="1">
      <alignment horizontal="center"/>
    </xf>
    <xf numFmtId="0" fontId="21" fillId="6" borderId="4" xfId="2" applyFont="1" applyFill="1" applyBorder="1" applyAlignment="1">
      <alignment horizontal="center"/>
    </xf>
    <xf numFmtId="0" fontId="31" fillId="0" borderId="2" xfId="2" applyFont="1" applyBorder="1" applyAlignment="1">
      <alignment horizontal="center"/>
    </xf>
    <xf numFmtId="0" fontId="31" fillId="0" borderId="3" xfId="2" applyFont="1" applyBorder="1" applyAlignment="1">
      <alignment horizontal="center"/>
    </xf>
    <xf numFmtId="0" fontId="31" fillId="0" borderId="4" xfId="2" applyFont="1" applyBorder="1" applyAlignment="1">
      <alignment horizontal="center"/>
    </xf>
    <xf numFmtId="0" fontId="31" fillId="0" borderId="8" xfId="2" applyFont="1" applyBorder="1" applyAlignment="1">
      <alignment horizontal="center"/>
    </xf>
    <xf numFmtId="0" fontId="22" fillId="0" borderId="3" xfId="2" applyFont="1" applyBorder="1" applyAlignment="1">
      <alignment horizontal="left" vertical="justify"/>
    </xf>
    <xf numFmtId="0" fontId="22" fillId="0" borderId="3" xfId="2" applyFont="1" applyBorder="1" applyAlignment="1">
      <alignment horizontal="left"/>
    </xf>
    <xf numFmtId="0" fontId="23" fillId="0" borderId="2" xfId="2" applyFont="1" applyBorder="1" applyAlignment="1">
      <alignment horizontal="center"/>
    </xf>
    <xf numFmtId="0" fontId="23" fillId="0" borderId="3" xfId="2" applyFont="1" applyBorder="1" applyAlignment="1">
      <alignment horizontal="center"/>
    </xf>
    <xf numFmtId="0" fontId="23" fillId="0" borderId="12" xfId="2" applyFont="1" applyBorder="1" applyAlignment="1">
      <alignment horizontal="center"/>
    </xf>
    <xf numFmtId="0" fontId="22" fillId="4" borderId="13" xfId="2" applyFont="1" applyFill="1" applyBorder="1" applyAlignment="1">
      <alignment horizontal="center" vertical="center"/>
    </xf>
    <xf numFmtId="0" fontId="22" fillId="0" borderId="13" xfId="2" applyFont="1" applyBorder="1" applyAlignment="1">
      <alignment vertical="center"/>
    </xf>
    <xf numFmtId="0" fontId="22" fillId="0" borderId="18" xfId="2" applyFont="1" applyBorder="1"/>
    <xf numFmtId="0" fontId="22" fillId="0" borderId="15" xfId="2" applyFont="1" applyBorder="1"/>
    <xf numFmtId="0" fontId="22" fillId="0" borderId="18" xfId="2" applyFont="1" applyBorder="1" applyAlignment="1">
      <alignment vertical="center"/>
    </xf>
    <xf numFmtId="0" fontId="32" fillId="0" borderId="6" xfId="4" applyFont="1" applyBorder="1" applyAlignment="1">
      <alignment horizontal="center"/>
    </xf>
    <xf numFmtId="0" fontId="32" fillId="0" borderId="7" xfId="4" applyFont="1" applyBorder="1" applyAlignment="1">
      <alignment horizontal="center"/>
    </xf>
    <xf numFmtId="0" fontId="32" fillId="0" borderId="8" xfId="4" applyFont="1" applyBorder="1" applyAlignment="1">
      <alignment horizontal="center"/>
    </xf>
    <xf numFmtId="0" fontId="30" fillId="0" borderId="11" xfId="8" applyFont="1" applyBorder="1" applyAlignment="1">
      <alignment horizontal="left" vertical="distributed"/>
    </xf>
    <xf numFmtId="0" fontId="30" fillId="0" borderId="5" xfId="8" applyFont="1" applyBorder="1" applyAlignment="1">
      <alignment horizontal="left" vertical="distributed"/>
    </xf>
    <xf numFmtId="0" fontId="30" fillId="0" borderId="12" xfId="8" applyFont="1" applyBorder="1" applyAlignment="1">
      <alignment horizontal="left" vertical="distributed"/>
    </xf>
    <xf numFmtId="0" fontId="32" fillId="6" borderId="9" xfId="4" applyFont="1" applyFill="1" applyBorder="1" applyAlignment="1">
      <alignment horizontal="center"/>
    </xf>
    <xf numFmtId="0" fontId="32" fillId="6" borderId="0" xfId="4" applyFont="1" applyFill="1" applyBorder="1" applyAlignment="1">
      <alignment horizontal="center"/>
    </xf>
    <xf numFmtId="0" fontId="32" fillId="6" borderId="10" xfId="4" applyFont="1" applyFill="1" applyBorder="1" applyAlignment="1">
      <alignment horizontal="center"/>
    </xf>
    <xf numFmtId="0" fontId="34" fillId="0" borderId="9" xfId="4" applyFont="1" applyBorder="1" applyAlignment="1">
      <alignment horizontal="center"/>
    </xf>
    <xf numFmtId="0" fontId="34" fillId="0" borderId="0" xfId="4" applyFont="1" applyBorder="1" applyAlignment="1">
      <alignment horizontal="center"/>
    </xf>
    <xf numFmtId="0" fontId="34" fillId="0" borderId="10" xfId="4" applyFont="1" applyBorder="1" applyAlignment="1">
      <alignment horizontal="center"/>
    </xf>
    <xf numFmtId="0" fontId="34" fillId="0" borderId="11" xfId="4" applyFont="1" applyBorder="1" applyAlignment="1">
      <alignment horizontal="center"/>
    </xf>
    <xf numFmtId="0" fontId="34" fillId="0" borderId="5" xfId="4" applyFont="1" applyBorder="1" applyAlignment="1">
      <alignment horizontal="center"/>
    </xf>
    <xf numFmtId="0" fontId="34" fillId="0" borderId="12" xfId="4" applyFont="1" applyBorder="1" applyAlignment="1">
      <alignment horizontal="center"/>
    </xf>
    <xf numFmtId="0" fontId="25" fillId="0" borderId="3" xfId="4" applyFont="1" applyBorder="1" applyAlignment="1">
      <alignment horizontal="left" vertical="top"/>
    </xf>
    <xf numFmtId="0" fontId="25" fillId="0" borderId="4" xfId="4" applyFont="1" applyBorder="1" applyAlignment="1">
      <alignment horizontal="left" vertical="top"/>
    </xf>
    <xf numFmtId="0" fontId="36" fillId="0" borderId="2" xfId="5" applyFont="1" applyBorder="1" applyAlignment="1">
      <alignment horizontal="center"/>
    </xf>
    <xf numFmtId="0" fontId="36" fillId="0" borderId="3" xfId="5" applyFont="1" applyBorder="1" applyAlignment="1">
      <alignment horizontal="center"/>
    </xf>
    <xf numFmtId="0" fontId="36" fillId="0" borderId="4" xfId="5" applyFont="1" applyBorder="1" applyAlignment="1">
      <alignment horizontal="center"/>
    </xf>
    <xf numFmtId="0" fontId="32" fillId="6" borderId="2" xfId="5" applyFont="1" applyFill="1" applyBorder="1" applyAlignment="1">
      <alignment horizontal="center"/>
    </xf>
    <xf numFmtId="0" fontId="32" fillId="6" borderId="3" xfId="5" applyFont="1" applyFill="1" applyBorder="1" applyAlignment="1">
      <alignment horizontal="center"/>
    </xf>
    <xf numFmtId="0" fontId="32" fillId="6" borderId="4" xfId="5" applyFont="1" applyFill="1" applyBorder="1" applyAlignment="1">
      <alignment horizontal="center"/>
    </xf>
    <xf numFmtId="4" fontId="24" fillId="0" borderId="5" xfId="8" applyNumberFormat="1" applyFont="1" applyBorder="1" applyAlignment="1">
      <alignment horizontal="left" vertical="center"/>
    </xf>
    <xf numFmtId="4" fontId="24" fillId="0" borderId="12" xfId="8" applyNumberFormat="1" applyFont="1" applyBorder="1" applyAlignment="1">
      <alignment horizontal="left" vertical="center"/>
    </xf>
    <xf numFmtId="0" fontId="39" fillId="11" borderId="5" xfId="8" applyFont="1" applyFill="1" applyBorder="1" applyAlignment="1">
      <alignment horizontal="justify" vertical="center" wrapText="1"/>
    </xf>
    <xf numFmtId="0" fontId="39" fillId="11" borderId="5" xfId="8" applyFont="1" applyFill="1" applyBorder="1" applyAlignment="1">
      <alignment horizontal="justify" vertical="center"/>
    </xf>
    <xf numFmtId="0" fontId="39" fillId="11" borderId="12" xfId="8" applyFont="1" applyFill="1" applyBorder="1" applyAlignment="1">
      <alignment horizontal="justify" vertical="center"/>
    </xf>
    <xf numFmtId="4" fontId="24" fillId="0" borderId="2" xfId="8" applyNumberFormat="1" applyFont="1" applyBorder="1" applyAlignment="1">
      <alignment horizontal="right" vertical="center"/>
    </xf>
    <xf numFmtId="4" fontId="24" fillId="0" borderId="3" xfId="8" applyNumberFormat="1" applyFont="1" applyBorder="1" applyAlignment="1">
      <alignment horizontal="right" vertical="center"/>
    </xf>
    <xf numFmtId="4" fontId="24" fillId="0" borderId="4" xfId="8" applyNumberFormat="1" applyFont="1" applyBorder="1" applyAlignment="1">
      <alignment horizontal="right" vertical="center"/>
    </xf>
    <xf numFmtId="4" fontId="24" fillId="0" borderId="2" xfId="8" applyNumberFormat="1" applyFont="1" applyBorder="1" applyAlignment="1">
      <alignment horizontal="right" vertical="center" wrapText="1"/>
    </xf>
    <xf numFmtId="4" fontId="24" fillId="0" borderId="4" xfId="8" applyNumberFormat="1" applyFont="1" applyBorder="1" applyAlignment="1">
      <alignment horizontal="right" vertical="center" wrapText="1"/>
    </xf>
    <xf numFmtId="4" fontId="24" fillId="0" borderId="7" xfId="8" applyNumberFormat="1" applyFont="1" applyBorder="1" applyAlignment="1">
      <alignment horizontal="left" vertical="center"/>
    </xf>
    <xf numFmtId="0" fontId="39" fillId="11" borderId="0" xfId="8" applyFont="1" applyFill="1" applyAlignment="1">
      <alignment horizontal="justify" vertical="center" wrapText="1"/>
    </xf>
    <xf numFmtId="0" fontId="39" fillId="11" borderId="10" xfId="8" applyFont="1" applyFill="1" applyBorder="1" applyAlignment="1">
      <alignment horizontal="justify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2">
    <cellStyle name="Normal" xfId="0" builtinId="0"/>
    <cellStyle name="Normal 11" xfId="10" xr:uid="{169C9BE8-2C19-47DF-B482-D89C92CC5BC2}"/>
    <cellStyle name="Normal 2 2" xfId="8" xr:uid="{650179F9-A12C-446E-9F87-34B233775A3D}"/>
    <cellStyle name="Normal 3" xfId="2" xr:uid="{6C158D0D-257A-4EDF-BBAB-06416301BF06}"/>
    <cellStyle name="Normal 4 2 2 2" xfId="5" xr:uid="{68141F1A-AA22-4001-88D2-037BD1EF6029}"/>
    <cellStyle name="Normal 4 3 2" xfId="4" xr:uid="{C3B918E6-1011-48EF-94FE-9C2184AD783B}"/>
    <cellStyle name="Normal 6 2 2" xfId="6" xr:uid="{25EEAB42-23E6-4C7D-A2C4-0FA077EEBA7F}"/>
    <cellStyle name="Porcentagem" xfId="11" builtinId="5"/>
    <cellStyle name="Porcentagem 2" xfId="3" xr:uid="{8406A1BA-7DE5-40B9-8D22-62112370878E}"/>
    <cellStyle name="Separador de milhares 3 2 2" xfId="7" xr:uid="{E937E6D5-958A-4E96-9941-761EC0264624}"/>
    <cellStyle name="Vírgula" xfId="1" builtinId="3"/>
    <cellStyle name="Vírgula 7" xfId="9" xr:uid="{27E62D5F-C871-4A47-9CE0-410EA7FA772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13</xdr:row>
      <xdr:rowOff>0</xdr:rowOff>
    </xdr:from>
    <xdr:to>
      <xdr:col>11</xdr:col>
      <xdr:colOff>304800</xdr:colOff>
      <xdr:row>14</xdr:row>
      <xdr:rowOff>121920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4E5EDC85-1581-6767-2205-61A5CAE76D7C}"/>
            </a:ext>
          </a:extLst>
        </xdr:cNvPr>
        <xdr:cNvSpPr>
          <a:spLocks noChangeAspect="1" noChangeArrowheads="1"/>
        </xdr:cNvSpPr>
      </xdr:nvSpPr>
      <xdr:spPr bwMode="auto">
        <a:xfrm>
          <a:off x="9738360" y="2316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304800</xdr:colOff>
      <xdr:row>14</xdr:row>
      <xdr:rowOff>121920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C3761456-7E19-8501-5D36-F8B00A0DCC64}"/>
            </a:ext>
          </a:extLst>
        </xdr:cNvPr>
        <xdr:cNvSpPr>
          <a:spLocks noChangeAspect="1" noChangeArrowheads="1"/>
        </xdr:cNvSpPr>
      </xdr:nvSpPr>
      <xdr:spPr bwMode="auto">
        <a:xfrm>
          <a:off x="9738360" y="2316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CKUP%20FERNANDA%202023/Documents/MR%20PROJETOS/JUNQUEIRO/PO%20-%20CENTRO%20DE%20ATENDIMENTO%20DE%20EDUCA&#199;&#195;O%20ESPECI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ora&#231;&#227;odejesus/Desktop/Meus%20projetos/PREF.%20CANHOTINHO/UBS%20S&#195;O%20SEBASTI&#195;O/UBS%20S&#195;O%20SEBASTI&#195;O%202/UBS%20S&#195;O%20SEBASTI&#195;O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(2)"/>
      <sheetName val="BASE"/>
      <sheetName val="MC"/>
      <sheetName val="CFF"/>
      <sheetName val="COMPOSIÇÕES"/>
      <sheetName val="COTAÇÕES"/>
      <sheetName val="BDI  - 1"/>
      <sheetName val="BDI - 2"/>
      <sheetName val="ADM"/>
    </sheetNames>
    <sheetDataSet>
      <sheetData sheetId="0"/>
      <sheetData sheetId="1">
        <row r="7">
          <cell r="A7" t="str">
            <v>LOCAL:</v>
          </cell>
        </row>
      </sheetData>
      <sheetData sheetId="2">
        <row r="340">
          <cell r="G340" t="str">
            <v>Total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MC"/>
      <sheetName val="Cronograma"/>
      <sheetName val="BDI"/>
      <sheetName val="Base de Preço"/>
      <sheetName val="C-01"/>
      <sheetName val="C-02"/>
    </sheetNames>
    <sheetDataSet>
      <sheetData sheetId="0">
        <row r="4">
          <cell r="A4" t="str">
            <v>OBRA:</v>
          </cell>
        </row>
        <row r="5">
          <cell r="A5" t="str">
            <v>LOCAL: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eroymerlin.com.br/" TargetMode="External"/><Relationship Id="rId3" Type="http://schemas.openxmlformats.org/officeDocument/2006/relationships/hyperlink" Target="http://www.sustentaled.com.br/" TargetMode="External"/><Relationship Id="rId7" Type="http://schemas.openxmlformats.org/officeDocument/2006/relationships/hyperlink" Target="http://www.lojakingspan.com/" TargetMode="External"/><Relationship Id="rId2" Type="http://schemas.openxmlformats.org/officeDocument/2006/relationships/hyperlink" Target="http://www.amazon.com.br/" TargetMode="External"/><Relationship Id="rId1" Type="http://schemas.openxmlformats.org/officeDocument/2006/relationships/hyperlink" Target="http://www.magazineluiza.com.br/" TargetMode="External"/><Relationship Id="rId6" Type="http://schemas.openxmlformats.org/officeDocument/2006/relationships/hyperlink" Target="http://www.loja.arcelormittal.com.br/" TargetMode="External"/><Relationship Id="rId5" Type="http://schemas.openxmlformats.org/officeDocument/2006/relationships/hyperlink" Target="http://www.serralheria.com.br/" TargetMode="External"/><Relationship Id="rId10" Type="http://schemas.openxmlformats.org/officeDocument/2006/relationships/printerSettings" Target="../printerSettings/printerSettings8.bin"/><Relationship Id="rId4" Type="http://schemas.openxmlformats.org/officeDocument/2006/relationships/hyperlink" Target="http://www.gravia.com.br/" TargetMode="External"/><Relationship Id="rId9" Type="http://schemas.openxmlformats.org/officeDocument/2006/relationships/hyperlink" Target="http://www.meutelhado.com.b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DF04-66E3-4D2C-A84A-99694B7A2507}">
  <sheetPr>
    <pageSetUpPr fitToPage="1"/>
  </sheetPr>
  <dimension ref="A1:O53"/>
  <sheetViews>
    <sheetView zoomScale="79" zoomScaleNormal="79" zoomScaleSheetLayoutView="80" workbookViewId="0">
      <selection sqref="A1:I51"/>
    </sheetView>
  </sheetViews>
  <sheetFormatPr defaultRowHeight="14.25" x14ac:dyDescent="0.2"/>
  <cols>
    <col min="1" max="2" width="10" bestFit="1" customWidth="1"/>
    <col min="3" max="3" width="13.25" bestFit="1" customWidth="1"/>
    <col min="4" max="4" width="54.125" customWidth="1"/>
    <col min="5" max="5" width="8" bestFit="1" customWidth="1"/>
    <col min="6" max="9" width="13" bestFit="1" customWidth="1"/>
    <col min="12" max="12" width="16.5" customWidth="1"/>
  </cols>
  <sheetData>
    <row r="1" spans="1:15" ht="15" x14ac:dyDescent="0.25">
      <c r="A1" s="252" t="s">
        <v>623</v>
      </c>
      <c r="B1" s="253"/>
      <c r="C1" s="253"/>
      <c r="D1" s="253"/>
      <c r="E1" s="253"/>
      <c r="F1" s="253"/>
      <c r="G1" s="253"/>
      <c r="H1" s="253"/>
      <c r="I1" s="254"/>
      <c r="J1" s="249"/>
      <c r="K1" s="238"/>
    </row>
    <row r="2" spans="1:15" ht="15" x14ac:dyDescent="0.2">
      <c r="A2" s="255"/>
      <c r="B2" s="256"/>
      <c r="C2" s="256"/>
      <c r="D2" s="256"/>
      <c r="E2" s="256"/>
      <c r="F2" s="256"/>
      <c r="G2" s="256"/>
      <c r="H2" s="256"/>
      <c r="I2" s="257"/>
      <c r="J2" s="249"/>
      <c r="K2" s="238"/>
    </row>
    <row r="3" spans="1:15" ht="15" x14ac:dyDescent="0.2">
      <c r="A3" s="258" t="s">
        <v>0</v>
      </c>
      <c r="B3" s="259"/>
      <c r="C3" s="259"/>
      <c r="D3" s="260"/>
      <c r="E3" s="261" t="s">
        <v>1</v>
      </c>
      <c r="F3" s="261"/>
      <c r="G3" s="258" t="s">
        <v>2</v>
      </c>
      <c r="H3" s="259"/>
      <c r="I3" s="260"/>
      <c r="J3" s="249"/>
      <c r="K3" s="238"/>
    </row>
    <row r="4" spans="1:15" ht="54.75" customHeight="1" x14ac:dyDescent="0.2">
      <c r="A4" s="262" t="s">
        <v>626</v>
      </c>
      <c r="B4" s="263"/>
      <c r="C4" s="263"/>
      <c r="D4" s="264"/>
      <c r="E4" s="265" t="s">
        <v>702</v>
      </c>
      <c r="F4" s="266"/>
      <c r="G4" s="267" t="s">
        <v>774</v>
      </c>
      <c r="H4" s="268"/>
      <c r="I4" s="269"/>
      <c r="J4" s="250"/>
      <c r="K4" s="251"/>
      <c r="M4" s="241" t="s">
        <v>717</v>
      </c>
      <c r="N4" s="241"/>
      <c r="O4" s="241"/>
    </row>
    <row r="5" spans="1:15" ht="15" x14ac:dyDescent="0.25">
      <c r="A5" s="244" t="s">
        <v>980</v>
      </c>
      <c r="B5" s="245"/>
      <c r="C5" s="245"/>
      <c r="D5" s="245"/>
      <c r="E5" s="245"/>
      <c r="F5" s="245"/>
      <c r="G5" s="245"/>
      <c r="H5" s="245"/>
      <c r="I5" s="245"/>
      <c r="J5" s="249"/>
      <c r="K5" s="238"/>
      <c r="M5" s="242">
        <f>SUM(I9,I10,I11,I14,I16,I23,I24,I25,I28,I29)</f>
        <v>104960.79999999999</v>
      </c>
      <c r="N5" s="243"/>
      <c r="O5" s="243"/>
    </row>
    <row r="6" spans="1:15" ht="30" customHeight="1" x14ac:dyDescent="0.2">
      <c r="A6" s="74" t="s">
        <v>3</v>
      </c>
      <c r="B6" s="75" t="s">
        <v>4</v>
      </c>
      <c r="C6" s="74" t="s">
        <v>5</v>
      </c>
      <c r="D6" s="74" t="s">
        <v>6</v>
      </c>
      <c r="E6" s="76" t="s">
        <v>7</v>
      </c>
      <c r="F6" s="75" t="s">
        <v>8</v>
      </c>
      <c r="G6" s="75" t="s">
        <v>9</v>
      </c>
      <c r="H6" s="75" t="s">
        <v>10</v>
      </c>
      <c r="I6" s="75" t="s">
        <v>11</v>
      </c>
      <c r="J6" s="249"/>
      <c r="K6" s="238"/>
      <c r="M6" s="240"/>
      <c r="N6" s="240"/>
      <c r="O6" s="240"/>
    </row>
    <row r="7" spans="1:15" ht="24" customHeight="1" x14ac:dyDescent="0.2">
      <c r="A7" s="77" t="s">
        <v>398</v>
      </c>
      <c r="B7" s="78"/>
      <c r="C7" s="78"/>
      <c r="D7" s="79" t="s">
        <v>12</v>
      </c>
      <c r="E7" s="78"/>
      <c r="F7" s="80"/>
      <c r="G7" s="78"/>
      <c r="H7" s="78"/>
      <c r="I7" s="81">
        <f>'Orçamento Sintético'!I7</f>
        <v>30258.12</v>
      </c>
      <c r="J7" s="237"/>
      <c r="K7" s="239"/>
      <c r="L7" s="111"/>
    </row>
    <row r="8" spans="1:15" ht="24" customHeight="1" x14ac:dyDescent="0.2">
      <c r="A8" s="77" t="s">
        <v>399</v>
      </c>
      <c r="B8" s="78"/>
      <c r="C8" s="78"/>
      <c r="D8" s="79" t="s">
        <v>16</v>
      </c>
      <c r="E8" s="78"/>
      <c r="F8" s="80"/>
      <c r="G8" s="182"/>
      <c r="H8" s="78"/>
      <c r="I8" s="81">
        <f>'Orçamento Sintético'!I9</f>
        <v>71415.51999999999</v>
      </c>
      <c r="J8" s="237"/>
      <c r="K8" s="238"/>
      <c r="L8" s="111"/>
    </row>
    <row r="9" spans="1:15" ht="26.45" customHeight="1" x14ac:dyDescent="0.2">
      <c r="A9" s="77" t="s">
        <v>400</v>
      </c>
      <c r="B9" s="78"/>
      <c r="C9" s="78"/>
      <c r="D9" s="79" t="s">
        <v>716</v>
      </c>
      <c r="E9" s="78"/>
      <c r="F9" s="80"/>
      <c r="G9" s="182"/>
      <c r="H9" s="78"/>
      <c r="I9" s="81">
        <f>'Orçamento Sintético'!I21</f>
        <v>13572.08</v>
      </c>
      <c r="J9" s="237"/>
      <c r="K9" s="238"/>
      <c r="L9" s="111"/>
    </row>
    <row r="10" spans="1:15" ht="24" customHeight="1" x14ac:dyDescent="0.2">
      <c r="A10" s="87" t="s">
        <v>401</v>
      </c>
      <c r="B10" s="78"/>
      <c r="C10" s="78"/>
      <c r="D10" s="79" t="s">
        <v>560</v>
      </c>
      <c r="E10" s="78"/>
      <c r="F10" s="80"/>
      <c r="G10" s="182"/>
      <c r="H10" s="78"/>
      <c r="I10" s="81">
        <f>'Orçamento Sintético'!I41</f>
        <v>31369.95</v>
      </c>
      <c r="J10" s="237"/>
      <c r="K10" s="238"/>
      <c r="L10" s="111"/>
    </row>
    <row r="11" spans="1:15" ht="24" customHeight="1" x14ac:dyDescent="0.2">
      <c r="A11" s="87" t="s">
        <v>402</v>
      </c>
      <c r="B11" s="78"/>
      <c r="C11" s="78"/>
      <c r="D11" s="79" t="s">
        <v>562</v>
      </c>
      <c r="E11" s="78"/>
      <c r="F11" s="80"/>
      <c r="G11" s="182"/>
      <c r="H11" s="78"/>
      <c r="I11" s="81">
        <f>'Orçamento Sintético'!I59</f>
        <v>14884.899999999998</v>
      </c>
      <c r="J11" s="237"/>
      <c r="K11" s="238"/>
      <c r="L11" s="111"/>
    </row>
    <row r="12" spans="1:15" ht="24" customHeight="1" x14ac:dyDescent="0.2">
      <c r="A12" s="87" t="s">
        <v>403</v>
      </c>
      <c r="B12" s="78"/>
      <c r="C12" s="78"/>
      <c r="D12" s="79" t="s">
        <v>48</v>
      </c>
      <c r="E12" s="78"/>
      <c r="F12" s="80"/>
      <c r="G12" s="182"/>
      <c r="H12" s="78"/>
      <c r="I12" s="81">
        <f>SUM(I13:I15)</f>
        <v>204228.87999999998</v>
      </c>
      <c r="J12" s="237"/>
      <c r="K12" s="238"/>
      <c r="L12" s="111"/>
    </row>
    <row r="13" spans="1:15" ht="24" customHeight="1" x14ac:dyDescent="0.2">
      <c r="A13" s="82" t="s">
        <v>49</v>
      </c>
      <c r="B13" s="83"/>
      <c r="C13" s="83"/>
      <c r="D13" s="84" t="s">
        <v>50</v>
      </c>
      <c r="E13" s="83"/>
      <c r="F13" s="85"/>
      <c r="G13" s="183"/>
      <c r="H13" s="83"/>
      <c r="I13" s="86">
        <f>'Orçamento Sintético'!I67</f>
        <v>161739.06</v>
      </c>
      <c r="J13" s="237"/>
      <c r="K13" s="238"/>
      <c r="L13" s="111"/>
    </row>
    <row r="14" spans="1:15" ht="24" customHeight="1" x14ac:dyDescent="0.2">
      <c r="A14" s="82" t="s">
        <v>61</v>
      </c>
      <c r="B14" s="83"/>
      <c r="C14" s="83"/>
      <c r="D14" s="84" t="s">
        <v>62</v>
      </c>
      <c r="E14" s="83"/>
      <c r="F14" s="85"/>
      <c r="G14" s="183"/>
      <c r="H14" s="83"/>
      <c r="I14" s="88">
        <f>'Orçamento Sintético'!I73</f>
        <v>3056.02</v>
      </c>
      <c r="J14" s="237"/>
      <c r="K14" s="238"/>
      <c r="L14" s="111"/>
    </row>
    <row r="15" spans="1:15" ht="24" customHeight="1" x14ac:dyDescent="0.2">
      <c r="A15" s="82" t="s">
        <v>66</v>
      </c>
      <c r="B15" s="83"/>
      <c r="C15" s="83"/>
      <c r="D15" s="84" t="s">
        <v>67</v>
      </c>
      <c r="E15" s="83"/>
      <c r="F15" s="85"/>
      <c r="G15" s="183"/>
      <c r="H15" s="83"/>
      <c r="I15" s="86">
        <f>'Orçamento Sintético'!I76</f>
        <v>39433.799999999996</v>
      </c>
      <c r="J15" s="237"/>
      <c r="K15" s="238"/>
      <c r="L15" s="111"/>
    </row>
    <row r="16" spans="1:15" ht="24" customHeight="1" x14ac:dyDescent="0.2">
      <c r="A16" s="87" t="s">
        <v>404</v>
      </c>
      <c r="B16" s="78"/>
      <c r="C16" s="78"/>
      <c r="D16" s="79" t="s">
        <v>69</v>
      </c>
      <c r="E16" s="78"/>
      <c r="F16" s="80"/>
      <c r="G16" s="182"/>
      <c r="H16" s="78"/>
      <c r="I16" s="81">
        <f>'Orçamento Sintético'!I81</f>
        <v>4278.2700000000004</v>
      </c>
      <c r="J16" s="237"/>
      <c r="K16" s="238"/>
      <c r="L16" s="111"/>
    </row>
    <row r="17" spans="1:12" ht="24" customHeight="1" x14ac:dyDescent="0.2">
      <c r="A17" s="87" t="s">
        <v>405</v>
      </c>
      <c r="B17" s="78"/>
      <c r="C17" s="78"/>
      <c r="D17" s="79" t="s">
        <v>76</v>
      </c>
      <c r="E17" s="78"/>
      <c r="F17" s="80"/>
      <c r="G17" s="182"/>
      <c r="H17" s="78"/>
      <c r="I17" s="81">
        <f>SUM(I18:I22)</f>
        <v>716866.6</v>
      </c>
      <c r="J17" s="237"/>
      <c r="K17" s="238"/>
      <c r="L17" s="111"/>
    </row>
    <row r="18" spans="1:12" ht="24" customHeight="1" x14ac:dyDescent="0.2">
      <c r="A18" s="82" t="s">
        <v>77</v>
      </c>
      <c r="B18" s="83"/>
      <c r="C18" s="83"/>
      <c r="D18" s="84" t="s">
        <v>78</v>
      </c>
      <c r="E18" s="83"/>
      <c r="F18" s="85"/>
      <c r="G18" s="183"/>
      <c r="H18" s="83"/>
      <c r="I18" s="86">
        <f>'Orçamento Sintético'!I87</f>
        <v>60148.439999999995</v>
      </c>
      <c r="J18" s="237"/>
      <c r="K18" s="238"/>
      <c r="L18" s="111"/>
    </row>
    <row r="19" spans="1:12" ht="24" customHeight="1" x14ac:dyDescent="0.2">
      <c r="A19" s="82" t="s">
        <v>80</v>
      </c>
      <c r="B19" s="83"/>
      <c r="C19" s="83"/>
      <c r="D19" s="84" t="s">
        <v>81</v>
      </c>
      <c r="E19" s="83"/>
      <c r="F19" s="85"/>
      <c r="G19" s="183"/>
      <c r="H19" s="83"/>
      <c r="I19" s="86">
        <f>'Orçamento Sintético'!I97</f>
        <v>375313.41</v>
      </c>
      <c r="J19" s="237"/>
      <c r="K19" s="238"/>
      <c r="L19" s="111"/>
    </row>
    <row r="20" spans="1:12" ht="24" customHeight="1" x14ac:dyDescent="0.2">
      <c r="A20" s="82" t="s">
        <v>84</v>
      </c>
      <c r="B20" s="83"/>
      <c r="C20" s="83"/>
      <c r="D20" s="84" t="s">
        <v>85</v>
      </c>
      <c r="E20" s="83"/>
      <c r="F20" s="85"/>
      <c r="G20" s="183"/>
      <c r="H20" s="83"/>
      <c r="I20" s="86">
        <f>'Orçamento Sintético'!I99</f>
        <v>1800.9099999999999</v>
      </c>
      <c r="J20" s="237"/>
      <c r="K20" s="238"/>
      <c r="L20" s="111"/>
    </row>
    <row r="21" spans="1:12" ht="24" customHeight="1" x14ac:dyDescent="0.2">
      <c r="A21" s="82" t="s">
        <v>90</v>
      </c>
      <c r="B21" s="83"/>
      <c r="C21" s="83"/>
      <c r="D21" s="84" t="s">
        <v>91</v>
      </c>
      <c r="E21" s="83"/>
      <c r="F21" s="85"/>
      <c r="G21" s="183"/>
      <c r="H21" s="83"/>
      <c r="I21" s="86">
        <f>'Orçamento Sintético'!I102</f>
        <v>217782.55</v>
      </c>
      <c r="J21" s="237"/>
      <c r="K21" s="238"/>
      <c r="L21" s="111"/>
    </row>
    <row r="22" spans="1:12" ht="24" customHeight="1" x14ac:dyDescent="0.2">
      <c r="A22" s="82" t="s">
        <v>473</v>
      </c>
      <c r="B22" s="83"/>
      <c r="C22" s="83"/>
      <c r="D22" s="84" t="s">
        <v>438</v>
      </c>
      <c r="E22" s="83"/>
      <c r="F22" s="85"/>
      <c r="G22" s="183"/>
      <c r="H22" s="83"/>
      <c r="I22" s="86">
        <f>'Orçamento Sintético'!I105</f>
        <v>61821.29</v>
      </c>
      <c r="J22" s="237"/>
      <c r="K22" s="238"/>
      <c r="L22" s="111"/>
    </row>
    <row r="23" spans="1:12" ht="24" customHeight="1" x14ac:dyDescent="0.2">
      <c r="A23" s="87" t="s">
        <v>406</v>
      </c>
      <c r="B23" s="78"/>
      <c r="C23" s="78"/>
      <c r="D23" s="79" t="s">
        <v>96</v>
      </c>
      <c r="E23" s="78"/>
      <c r="F23" s="80"/>
      <c r="G23" s="182"/>
      <c r="H23" s="78"/>
      <c r="I23" s="81">
        <f>'Orçamento Sintético'!I107</f>
        <v>12128.1</v>
      </c>
      <c r="J23" s="237"/>
      <c r="K23" s="238"/>
      <c r="L23" s="111"/>
    </row>
    <row r="24" spans="1:12" ht="24" customHeight="1" x14ac:dyDescent="0.2">
      <c r="A24" s="87" t="s">
        <v>407</v>
      </c>
      <c r="B24" s="78"/>
      <c r="C24" s="78"/>
      <c r="D24" s="79" t="s">
        <v>106</v>
      </c>
      <c r="E24" s="78"/>
      <c r="F24" s="80"/>
      <c r="G24" s="182"/>
      <c r="H24" s="78"/>
      <c r="I24" s="81">
        <f>'Orçamento Sintético'!I115</f>
        <v>1602.47</v>
      </c>
      <c r="J24" s="237"/>
      <c r="K24" s="238"/>
      <c r="L24" s="111"/>
    </row>
    <row r="25" spans="1:12" ht="24" customHeight="1" x14ac:dyDescent="0.2">
      <c r="A25" s="87" t="s">
        <v>408</v>
      </c>
      <c r="B25" s="78"/>
      <c r="C25" s="78"/>
      <c r="D25" s="79" t="s">
        <v>109</v>
      </c>
      <c r="E25" s="78"/>
      <c r="F25" s="80"/>
      <c r="G25" s="182"/>
      <c r="H25" s="78"/>
      <c r="I25" s="81">
        <f>'Orçamento Sintético'!I117</f>
        <v>15566.66</v>
      </c>
      <c r="J25" s="237"/>
      <c r="K25" s="238"/>
      <c r="L25" s="111"/>
    </row>
    <row r="26" spans="1:12" ht="24" customHeight="1" x14ac:dyDescent="0.2">
      <c r="A26" s="87" t="s">
        <v>409</v>
      </c>
      <c r="B26" s="78"/>
      <c r="C26" s="78"/>
      <c r="D26" s="79" t="s">
        <v>563</v>
      </c>
      <c r="E26" s="78"/>
      <c r="F26" s="80"/>
      <c r="G26" s="182"/>
      <c r="H26" s="78"/>
      <c r="I26" s="81">
        <f>SUM(I27:I29)</f>
        <v>61924.43</v>
      </c>
      <c r="J26" s="237"/>
      <c r="K26" s="238"/>
      <c r="L26" s="111"/>
    </row>
    <row r="27" spans="1:12" ht="24" customHeight="1" x14ac:dyDescent="0.2">
      <c r="A27" s="82" t="s">
        <v>120</v>
      </c>
      <c r="B27" s="83"/>
      <c r="C27" s="83"/>
      <c r="D27" s="84" t="s">
        <v>50</v>
      </c>
      <c r="E27" s="83"/>
      <c r="F27" s="85"/>
      <c r="G27" s="183"/>
      <c r="H27" s="83"/>
      <c r="I27" s="86">
        <f>'Orçamento Sintético'!I126</f>
        <v>53422.080000000002</v>
      </c>
      <c r="J27" s="237"/>
      <c r="K27" s="238"/>
      <c r="L27" s="111"/>
    </row>
    <row r="28" spans="1:12" ht="24" customHeight="1" x14ac:dyDescent="0.2">
      <c r="A28" s="82" t="s">
        <v>122</v>
      </c>
      <c r="B28" s="83"/>
      <c r="C28" s="83"/>
      <c r="D28" s="84" t="s">
        <v>123</v>
      </c>
      <c r="E28" s="83"/>
      <c r="F28" s="85"/>
      <c r="G28" s="183"/>
      <c r="H28" s="83"/>
      <c r="I28" s="86">
        <f>'Orçamento Sintético'!I128</f>
        <v>1869.31</v>
      </c>
      <c r="J28" s="237"/>
      <c r="K28" s="238"/>
      <c r="L28" s="111"/>
    </row>
    <row r="29" spans="1:12" ht="24" customHeight="1" x14ac:dyDescent="0.2">
      <c r="A29" s="82" t="s">
        <v>130</v>
      </c>
      <c r="B29" s="83"/>
      <c r="C29" s="83"/>
      <c r="D29" s="84" t="s">
        <v>131</v>
      </c>
      <c r="E29" s="83"/>
      <c r="F29" s="85"/>
      <c r="G29" s="183"/>
      <c r="H29" s="83"/>
      <c r="I29" s="86">
        <f>'Orçamento Sintético'!I132</f>
        <v>6633.0399999999991</v>
      </c>
      <c r="J29" s="237"/>
      <c r="K29" s="238"/>
      <c r="L29" s="111"/>
    </row>
    <row r="30" spans="1:12" ht="24" customHeight="1" x14ac:dyDescent="0.2">
      <c r="A30" s="87" t="s">
        <v>410</v>
      </c>
      <c r="B30" s="78"/>
      <c r="C30" s="78"/>
      <c r="D30" s="79" t="s">
        <v>138</v>
      </c>
      <c r="E30" s="78"/>
      <c r="F30" s="80"/>
      <c r="G30" s="182"/>
      <c r="H30" s="78"/>
      <c r="I30" s="81">
        <f>SUM(I31:I36)</f>
        <v>87442.549999999988</v>
      </c>
      <c r="J30" s="237"/>
      <c r="K30" s="238"/>
      <c r="L30" s="111"/>
    </row>
    <row r="31" spans="1:12" ht="24" customHeight="1" x14ac:dyDescent="0.2">
      <c r="A31" s="82" t="s">
        <v>139</v>
      </c>
      <c r="B31" s="83"/>
      <c r="C31" s="83"/>
      <c r="D31" s="84" t="s">
        <v>140</v>
      </c>
      <c r="E31" s="83"/>
      <c r="F31" s="85"/>
      <c r="G31" s="183"/>
      <c r="H31" s="83"/>
      <c r="I31" s="86">
        <f>'Orçamento Sintético'!I137</f>
        <v>5814.4100000000008</v>
      </c>
      <c r="J31" s="237"/>
      <c r="K31" s="238"/>
      <c r="L31" s="111"/>
    </row>
    <row r="32" spans="1:12" ht="24" customHeight="1" x14ac:dyDescent="0.2">
      <c r="A32" s="82" t="s">
        <v>496</v>
      </c>
      <c r="B32" s="83"/>
      <c r="C32" s="83"/>
      <c r="D32" s="84" t="s">
        <v>494</v>
      </c>
      <c r="E32" s="83"/>
      <c r="F32" s="85"/>
      <c r="G32" s="183"/>
      <c r="H32" s="83"/>
      <c r="I32" s="86">
        <f>'Orçamento Sintético'!I154</f>
        <v>9954.67</v>
      </c>
      <c r="J32" s="237"/>
      <c r="K32" s="238"/>
      <c r="L32" s="111"/>
    </row>
    <row r="33" spans="1:12" ht="24" customHeight="1" x14ac:dyDescent="0.2">
      <c r="A33" s="82" t="s">
        <v>497</v>
      </c>
      <c r="B33" s="83"/>
      <c r="C33" s="83"/>
      <c r="D33" s="84" t="s">
        <v>169</v>
      </c>
      <c r="E33" s="83"/>
      <c r="F33" s="85"/>
      <c r="G33" s="183"/>
      <c r="H33" s="83"/>
      <c r="I33" s="86">
        <f>'Orçamento Sintético'!I157</f>
        <v>14002.48</v>
      </c>
      <c r="J33" s="237"/>
      <c r="K33" s="238"/>
      <c r="L33" s="111"/>
    </row>
    <row r="34" spans="1:12" ht="24" customHeight="1" x14ac:dyDescent="0.2">
      <c r="A34" s="82" t="s">
        <v>515</v>
      </c>
      <c r="B34" s="83"/>
      <c r="C34" s="83"/>
      <c r="D34" s="84" t="s">
        <v>530</v>
      </c>
      <c r="E34" s="83"/>
      <c r="F34" s="85"/>
      <c r="G34" s="183"/>
      <c r="H34" s="83"/>
      <c r="I34" s="86">
        <f>'Orçamento Sintético'!I175</f>
        <v>14223.59</v>
      </c>
      <c r="J34" s="237"/>
      <c r="K34" s="238"/>
      <c r="L34" s="111"/>
    </row>
    <row r="35" spans="1:12" ht="24" customHeight="1" x14ac:dyDescent="0.2">
      <c r="A35" s="82" t="s">
        <v>532</v>
      </c>
      <c r="B35" s="83"/>
      <c r="C35" s="83"/>
      <c r="D35" s="84" t="s">
        <v>531</v>
      </c>
      <c r="E35" s="83"/>
      <c r="F35" s="85"/>
      <c r="G35" s="183"/>
      <c r="H35" s="83"/>
      <c r="I35" s="86">
        <f>'Orçamento Sintético'!I177</f>
        <v>6448.31</v>
      </c>
      <c r="J35" s="237"/>
      <c r="K35" s="238"/>
      <c r="L35" s="111"/>
    </row>
    <row r="36" spans="1:12" ht="24" customHeight="1" x14ac:dyDescent="0.2">
      <c r="A36" s="82" t="s">
        <v>534</v>
      </c>
      <c r="B36" s="83"/>
      <c r="C36" s="83"/>
      <c r="D36" s="84" t="s">
        <v>185</v>
      </c>
      <c r="E36" s="83"/>
      <c r="F36" s="85"/>
      <c r="G36" s="183"/>
      <c r="H36" s="83"/>
      <c r="I36" s="86">
        <f>'Orçamento Sintético'!I179</f>
        <v>36999.089999999997</v>
      </c>
      <c r="J36" s="237"/>
      <c r="K36" s="238"/>
      <c r="L36" s="111"/>
    </row>
    <row r="37" spans="1:12" ht="24" customHeight="1" x14ac:dyDescent="0.2">
      <c r="A37" s="87" t="s">
        <v>411</v>
      </c>
      <c r="B37" s="78"/>
      <c r="C37" s="78"/>
      <c r="D37" s="79" t="s">
        <v>198</v>
      </c>
      <c r="E37" s="78"/>
      <c r="F37" s="80"/>
      <c r="G37" s="182"/>
      <c r="H37" s="78"/>
      <c r="I37" s="81">
        <f>SUM(I38:I45)</f>
        <v>47636.800000000003</v>
      </c>
      <c r="J37" s="237"/>
      <c r="K37" s="238"/>
      <c r="L37" s="111"/>
    </row>
    <row r="38" spans="1:12" ht="24" customHeight="1" x14ac:dyDescent="0.2">
      <c r="A38" s="82" t="s">
        <v>199</v>
      </c>
      <c r="B38" s="83"/>
      <c r="C38" s="83"/>
      <c r="D38" s="84" t="s">
        <v>200</v>
      </c>
      <c r="E38" s="83"/>
      <c r="F38" s="85"/>
      <c r="G38" s="183"/>
      <c r="H38" s="83"/>
      <c r="I38" s="86">
        <f>'Orçamento Sintético'!I197</f>
        <v>3370.1800000000003</v>
      </c>
      <c r="J38" s="237"/>
      <c r="K38" s="238"/>
      <c r="L38" s="111"/>
    </row>
    <row r="39" spans="1:12" ht="24" customHeight="1" x14ac:dyDescent="0.2">
      <c r="A39" s="82" t="s">
        <v>205</v>
      </c>
      <c r="B39" s="83"/>
      <c r="C39" s="83"/>
      <c r="D39" s="84" t="s">
        <v>206</v>
      </c>
      <c r="E39" s="83"/>
      <c r="F39" s="85"/>
      <c r="G39" s="183"/>
      <c r="H39" s="83"/>
      <c r="I39" s="86">
        <f>'Orçamento Sintético'!I207</f>
        <v>7968.39</v>
      </c>
      <c r="J39" s="237"/>
      <c r="K39" s="238"/>
      <c r="L39" s="111"/>
    </row>
    <row r="40" spans="1:12" ht="24" customHeight="1" x14ac:dyDescent="0.2">
      <c r="A40" s="82" t="s">
        <v>212</v>
      </c>
      <c r="B40" s="83"/>
      <c r="C40" s="83"/>
      <c r="D40" s="84" t="s">
        <v>213</v>
      </c>
      <c r="E40" s="83"/>
      <c r="F40" s="85"/>
      <c r="G40" s="183"/>
      <c r="H40" s="83"/>
      <c r="I40" s="86">
        <f>'Orçamento Sintético'!I212</f>
        <v>557.66000000000008</v>
      </c>
      <c r="J40" s="237"/>
      <c r="K40" s="238"/>
      <c r="L40" s="111"/>
    </row>
    <row r="41" spans="1:12" ht="24" customHeight="1" x14ac:dyDescent="0.2">
      <c r="A41" s="82" t="s">
        <v>217</v>
      </c>
      <c r="B41" s="83"/>
      <c r="C41" s="83"/>
      <c r="D41" s="84" t="s">
        <v>218</v>
      </c>
      <c r="E41" s="83"/>
      <c r="F41" s="85"/>
      <c r="G41" s="183"/>
      <c r="H41" s="83"/>
      <c r="I41" s="86">
        <f>'Orçamento Sintético'!I216</f>
        <v>361.23</v>
      </c>
      <c r="J41" s="237"/>
      <c r="K41" s="238"/>
      <c r="L41" s="111"/>
    </row>
    <row r="42" spans="1:12" ht="24" customHeight="1" x14ac:dyDescent="0.2">
      <c r="A42" s="82" t="s">
        <v>221</v>
      </c>
      <c r="B42" s="83"/>
      <c r="C42" s="83"/>
      <c r="D42" s="84" t="s">
        <v>222</v>
      </c>
      <c r="E42" s="83"/>
      <c r="F42" s="85"/>
      <c r="G42" s="183"/>
      <c r="H42" s="83"/>
      <c r="I42" s="86">
        <f>'Orçamento Sintético'!I220</f>
        <v>6674.5</v>
      </c>
      <c r="J42" s="237"/>
      <c r="K42" s="238"/>
      <c r="L42" s="111"/>
    </row>
    <row r="43" spans="1:12" ht="24" customHeight="1" x14ac:dyDescent="0.2">
      <c r="A43" s="82" t="s">
        <v>225</v>
      </c>
      <c r="B43" s="83"/>
      <c r="C43" s="83"/>
      <c r="D43" s="84" t="s">
        <v>226</v>
      </c>
      <c r="E43" s="83"/>
      <c r="F43" s="85"/>
      <c r="G43" s="183"/>
      <c r="H43" s="83"/>
      <c r="I43" s="86">
        <f>'Orçamento Sintético'!I224</f>
        <v>2469.94</v>
      </c>
      <c r="J43" s="237"/>
      <c r="K43" s="238"/>
      <c r="L43" s="111"/>
    </row>
    <row r="44" spans="1:12" ht="24" customHeight="1" x14ac:dyDescent="0.2">
      <c r="A44" s="82" t="s">
        <v>229</v>
      </c>
      <c r="B44" s="83"/>
      <c r="C44" s="83"/>
      <c r="D44" s="84" t="s">
        <v>230</v>
      </c>
      <c r="E44" s="83"/>
      <c r="F44" s="85"/>
      <c r="G44" s="183"/>
      <c r="H44" s="83"/>
      <c r="I44" s="86">
        <f>'Orçamento Sintético'!I227</f>
        <v>11261.86</v>
      </c>
      <c r="J44" s="237"/>
      <c r="K44" s="238"/>
      <c r="L44" s="111"/>
    </row>
    <row r="45" spans="1:12" ht="24" customHeight="1" x14ac:dyDescent="0.2">
      <c r="A45" s="82" t="s">
        <v>477</v>
      </c>
      <c r="B45" s="83"/>
      <c r="C45" s="83"/>
      <c r="D45" s="84" t="s">
        <v>475</v>
      </c>
      <c r="E45" s="83"/>
      <c r="F45" s="85"/>
      <c r="G45" s="183"/>
      <c r="H45" s="83"/>
      <c r="I45" s="86">
        <f>'Orçamento Sintético'!I233</f>
        <v>14973.04</v>
      </c>
      <c r="J45" s="237"/>
      <c r="K45" s="238"/>
      <c r="L45" s="111"/>
    </row>
    <row r="46" spans="1:12" ht="24" customHeight="1" x14ac:dyDescent="0.2">
      <c r="A46" s="87" t="str">
        <f>'Orçamento Sintético'!A240</f>
        <v>15.0</v>
      </c>
      <c r="B46" s="78"/>
      <c r="C46" s="78"/>
      <c r="D46" s="79" t="str">
        <f>'Orçamento Sintético'!D240</f>
        <v>ARQUIBANCADA</v>
      </c>
      <c r="E46" s="78"/>
      <c r="F46" s="80"/>
      <c r="G46" s="182"/>
      <c r="H46" s="78"/>
      <c r="I46" s="81">
        <f>'Orçamento Sintético'!I240</f>
        <v>153151.97</v>
      </c>
      <c r="J46" s="237"/>
      <c r="K46" s="238"/>
      <c r="L46" s="111"/>
    </row>
    <row r="47" spans="1:12" ht="24" customHeight="1" x14ac:dyDescent="0.2">
      <c r="A47" s="87" t="str">
        <f>'Orçamento Sintético'!A281</f>
        <v>16.0</v>
      </c>
      <c r="B47" s="78"/>
      <c r="C47" s="78"/>
      <c r="D47" s="79" t="str">
        <f>'Orçamento Sintético'!D281</f>
        <v>MURO DE ARRIMO / MURO EXTERNO / MURETA DO GRADIL</v>
      </c>
      <c r="E47" s="78"/>
      <c r="F47" s="80"/>
      <c r="G47" s="182"/>
      <c r="H47" s="78"/>
      <c r="I47" s="81">
        <f>'Orçamento Sintético'!I281</f>
        <v>249958.43</v>
      </c>
      <c r="J47" s="237"/>
      <c r="K47" s="238"/>
      <c r="L47" s="111"/>
    </row>
    <row r="48" spans="1:12" ht="24" customHeight="1" x14ac:dyDescent="0.2">
      <c r="A48" s="87" t="str">
        <f>'Orçamento Sintético'!A321</f>
        <v>17.0</v>
      </c>
      <c r="B48" s="78"/>
      <c r="C48" s="78"/>
      <c r="D48" s="79" t="str">
        <f>'Orçamento Sintético'!D321</f>
        <v>FACHADA / PORTICO</v>
      </c>
      <c r="E48" s="78"/>
      <c r="F48" s="80"/>
      <c r="G48" s="182"/>
      <c r="H48" s="78"/>
      <c r="I48" s="81">
        <f>'Orçamento Sintético'!I321</f>
        <v>75537.439999999988</v>
      </c>
      <c r="J48" s="237"/>
      <c r="K48" s="238"/>
      <c r="L48" s="111"/>
    </row>
    <row r="49" spans="1:12" ht="24" customHeight="1" x14ac:dyDescent="0.2">
      <c r="A49" s="87" t="str">
        <f>'Orçamento Sintético'!A374</f>
        <v>18.0</v>
      </c>
      <c r="B49" s="78"/>
      <c r="C49" s="78"/>
      <c r="D49" s="79" t="str">
        <f>'Orçamento Sintético'!D374</f>
        <v>PAISAGISMO</v>
      </c>
      <c r="E49" s="78"/>
      <c r="F49" s="80"/>
      <c r="G49" s="182"/>
      <c r="H49" s="78"/>
      <c r="I49" s="81">
        <f>'Orçamento Sintético'!I374</f>
        <v>5857.2400000000007</v>
      </c>
      <c r="J49" s="237"/>
      <c r="K49" s="238"/>
      <c r="L49" s="111"/>
    </row>
    <row r="50" spans="1:12" ht="24" customHeight="1" x14ac:dyDescent="0.2">
      <c r="A50" s="87" t="str">
        <f>'Orçamento Sintético'!A379</f>
        <v>19.0</v>
      </c>
      <c r="B50" s="78"/>
      <c r="C50" s="78"/>
      <c r="D50" s="79" t="str">
        <f>'Orçamento Sintético'!D379</f>
        <v>DIVERSOS</v>
      </c>
      <c r="E50" s="78"/>
      <c r="F50" s="80"/>
      <c r="G50" s="182"/>
      <c r="H50" s="78"/>
      <c r="I50" s="81">
        <f>'Orçamento Sintético'!I379</f>
        <v>16533.48</v>
      </c>
      <c r="J50" s="237"/>
      <c r="K50" s="238"/>
      <c r="L50" s="111"/>
    </row>
    <row r="51" spans="1:12" x14ac:dyDescent="0.2">
      <c r="A51" s="246" t="s">
        <v>332</v>
      </c>
      <c r="B51" s="247"/>
      <c r="C51" s="247"/>
      <c r="D51" s="247"/>
      <c r="E51" s="247"/>
      <c r="F51" s="247"/>
      <c r="G51" s="247"/>
      <c r="H51" s="248"/>
      <c r="I51" s="112">
        <f>I7+I8+I9+I10+I11+I12+I16+I17+I23+I24+I25+I26+I30+I37+I46+I47+I48+I49+I50</f>
        <v>1814213.8899999997</v>
      </c>
      <c r="J51" s="237">
        <v>1945107.04</v>
      </c>
      <c r="K51" s="238"/>
    </row>
    <row r="52" spans="1:12" x14ac:dyDescent="0.2">
      <c r="I52">
        <v>1835604.87</v>
      </c>
      <c r="J52" s="239">
        <f>J51-I51</f>
        <v>130893.15000000037</v>
      </c>
      <c r="K52" s="238"/>
    </row>
    <row r="53" spans="1:12" x14ac:dyDescent="0.2">
      <c r="I53" s="111">
        <f>I51-I52</f>
        <v>-21390.980000000447</v>
      </c>
    </row>
  </sheetData>
  <mergeCells count="65">
    <mergeCell ref="A5:I5"/>
    <mergeCell ref="A51:H51"/>
    <mergeCell ref="J1:K1"/>
    <mergeCell ref="J2:K2"/>
    <mergeCell ref="J3:K3"/>
    <mergeCell ref="J4:K4"/>
    <mergeCell ref="J5:K5"/>
    <mergeCell ref="J6:K6"/>
    <mergeCell ref="A1:I1"/>
    <mergeCell ref="A2:I2"/>
    <mergeCell ref="A3:D3"/>
    <mergeCell ref="E3:F3"/>
    <mergeCell ref="G3:I3"/>
    <mergeCell ref="A4:D4"/>
    <mergeCell ref="E4:F4"/>
    <mergeCell ref="G4:I4"/>
    <mergeCell ref="J18:K18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28:K28"/>
    <mergeCell ref="J29:K29"/>
    <mergeCell ref="J31:K31"/>
    <mergeCell ref="J32:K32"/>
    <mergeCell ref="J33:K33"/>
    <mergeCell ref="J35:K35"/>
    <mergeCell ref="J47:K47"/>
    <mergeCell ref="J51:K51"/>
    <mergeCell ref="M4:O4"/>
    <mergeCell ref="M5:O5"/>
    <mergeCell ref="J36:K36"/>
    <mergeCell ref="J30:K30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48:K48"/>
    <mergeCell ref="J49:K49"/>
    <mergeCell ref="J50:K50"/>
    <mergeCell ref="J52:K52"/>
    <mergeCell ref="M6:O6"/>
    <mergeCell ref="J43:K43"/>
    <mergeCell ref="J44:K44"/>
    <mergeCell ref="J45:K45"/>
    <mergeCell ref="J46:K46"/>
    <mergeCell ref="J37:K37"/>
    <mergeCell ref="J38:K38"/>
    <mergeCell ref="J39:K39"/>
    <mergeCell ref="J40:K40"/>
    <mergeCell ref="J41:K41"/>
    <mergeCell ref="J42:K42"/>
    <mergeCell ref="J34:K34"/>
  </mergeCells>
  <pageMargins left="0.511811024" right="0.511811024" top="0.78740157499999996" bottom="0.78740157499999996" header="0.31496062000000002" footer="0.31496062000000002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4"/>
  <sheetViews>
    <sheetView tabSelected="1" showOutlineSymbols="0" showWhiteSpace="0" topLeftCell="A380" zoomScale="60" zoomScaleNormal="60" zoomScaleSheetLayoutView="100" workbookViewId="0">
      <selection activeCell="D10" sqref="D10"/>
    </sheetView>
  </sheetViews>
  <sheetFormatPr defaultRowHeight="14.25" x14ac:dyDescent="0.2"/>
  <cols>
    <col min="1" max="2" width="10" bestFit="1" customWidth="1"/>
    <col min="3" max="3" width="13.25" bestFit="1" customWidth="1"/>
    <col min="4" max="4" width="54.125" customWidth="1"/>
    <col min="5" max="5" width="6.75" customWidth="1"/>
    <col min="6" max="8" width="13" bestFit="1" customWidth="1"/>
    <col min="9" max="9" width="16.5" customWidth="1"/>
    <col min="10" max="10" width="14.5" bestFit="1" customWidth="1"/>
    <col min="11" max="12" width="13.75" customWidth="1"/>
  </cols>
  <sheetData>
    <row r="1" spans="1:12" ht="15" x14ac:dyDescent="0.25">
      <c r="A1" s="252" t="s">
        <v>623</v>
      </c>
      <c r="B1" s="253"/>
      <c r="C1" s="253"/>
      <c r="D1" s="253"/>
      <c r="E1" s="253"/>
      <c r="F1" s="253"/>
      <c r="G1" s="253"/>
      <c r="H1" s="253"/>
      <c r="I1" s="254"/>
      <c r="K1" s="186" t="s">
        <v>627</v>
      </c>
      <c r="L1" s="186" t="s">
        <v>628</v>
      </c>
    </row>
    <row r="2" spans="1:12" ht="15" x14ac:dyDescent="0.2">
      <c r="A2" s="255"/>
      <c r="B2" s="256"/>
      <c r="C2" s="256"/>
      <c r="D2" s="256"/>
      <c r="E2" s="256"/>
      <c r="F2" s="256"/>
      <c r="G2" s="256"/>
      <c r="H2" s="256"/>
      <c r="I2" s="257"/>
      <c r="K2" s="192"/>
      <c r="L2" s="192"/>
    </row>
    <row r="3" spans="1:12" ht="15" x14ac:dyDescent="0.2">
      <c r="A3" s="258" t="s">
        <v>0</v>
      </c>
      <c r="B3" s="259"/>
      <c r="C3" s="259"/>
      <c r="D3" s="260"/>
      <c r="E3" s="261" t="s">
        <v>1</v>
      </c>
      <c r="F3" s="261"/>
      <c r="G3" s="258" t="s">
        <v>2</v>
      </c>
      <c r="H3" s="259"/>
      <c r="I3" s="260"/>
      <c r="K3" s="192"/>
      <c r="L3" s="192"/>
    </row>
    <row r="4" spans="1:12" ht="54.75" customHeight="1" x14ac:dyDescent="0.2">
      <c r="A4" s="262" t="s">
        <v>626</v>
      </c>
      <c r="B4" s="263"/>
      <c r="C4" s="263"/>
      <c r="D4" s="264"/>
      <c r="E4" s="265" t="s">
        <v>702</v>
      </c>
      <c r="F4" s="266"/>
      <c r="G4" s="267" t="s">
        <v>774</v>
      </c>
      <c r="H4" s="268"/>
      <c r="I4" s="269"/>
      <c r="K4" s="192"/>
      <c r="L4" s="192"/>
    </row>
    <row r="5" spans="1:12" ht="15" x14ac:dyDescent="0.25">
      <c r="A5" s="244" t="s">
        <v>775</v>
      </c>
      <c r="B5" s="245"/>
      <c r="C5" s="245"/>
      <c r="D5" s="245"/>
      <c r="E5" s="245"/>
      <c r="F5" s="245"/>
      <c r="G5" s="245"/>
      <c r="H5" s="245"/>
      <c r="I5" s="245"/>
      <c r="K5" s="192"/>
      <c r="L5" s="192"/>
    </row>
    <row r="6" spans="1:12" ht="30" customHeight="1" x14ac:dyDescent="0.2">
      <c r="A6" s="74" t="s">
        <v>3</v>
      </c>
      <c r="B6" s="75" t="s">
        <v>4</v>
      </c>
      <c r="C6" s="74" t="s">
        <v>5</v>
      </c>
      <c r="D6" s="74" t="s">
        <v>6</v>
      </c>
      <c r="E6" s="76" t="s">
        <v>7</v>
      </c>
      <c r="F6" s="75" t="s">
        <v>8</v>
      </c>
      <c r="G6" s="75" t="s">
        <v>9</v>
      </c>
      <c r="H6" s="75" t="s">
        <v>10</v>
      </c>
      <c r="I6" s="75" t="s">
        <v>11</v>
      </c>
      <c r="K6" s="192"/>
      <c r="L6" s="192"/>
    </row>
    <row r="7" spans="1:12" ht="24" customHeight="1" x14ac:dyDescent="0.2">
      <c r="A7" s="77" t="s">
        <v>398</v>
      </c>
      <c r="B7" s="78"/>
      <c r="C7" s="78"/>
      <c r="D7" s="79" t="s">
        <v>12</v>
      </c>
      <c r="E7" s="78"/>
      <c r="F7" s="80"/>
      <c r="G7" s="78"/>
      <c r="H7" s="78"/>
      <c r="I7" s="81">
        <f>I8</f>
        <v>30258.12</v>
      </c>
      <c r="K7" s="192"/>
      <c r="L7" s="192"/>
    </row>
    <row r="8" spans="1:12" ht="26.1" customHeight="1" x14ac:dyDescent="0.2">
      <c r="A8" s="63" t="s">
        <v>13</v>
      </c>
      <c r="B8" s="179" t="s">
        <v>612</v>
      </c>
      <c r="C8" s="63" t="s">
        <v>397</v>
      </c>
      <c r="D8" s="59" t="s">
        <v>666</v>
      </c>
      <c r="E8" s="63" t="s">
        <v>578</v>
      </c>
      <c r="F8" s="65">
        <f>MC!H14</f>
        <v>1</v>
      </c>
      <c r="G8" s="181">
        <f>COMPOSIÇÕES!H119</f>
        <v>25382.2</v>
      </c>
      <c r="H8" s="66">
        <f>ROUND(G8*1.1921,2)</f>
        <v>30258.12</v>
      </c>
      <c r="I8" s="66">
        <f>TRUNC(H8*F8,2)</f>
        <v>30258.12</v>
      </c>
      <c r="J8" s="19"/>
      <c r="K8" s="192"/>
      <c r="L8" s="192"/>
    </row>
    <row r="9" spans="1:12" ht="24" customHeight="1" x14ac:dyDescent="0.2">
      <c r="A9" s="77" t="s">
        <v>399</v>
      </c>
      <c r="B9" s="78"/>
      <c r="C9" s="78"/>
      <c r="D9" s="79" t="s">
        <v>16</v>
      </c>
      <c r="E9" s="78"/>
      <c r="F9" s="80"/>
      <c r="G9" s="182"/>
      <c r="H9" s="78"/>
      <c r="I9" s="81">
        <f>SUM(I10,I18)</f>
        <v>71415.51999999999</v>
      </c>
      <c r="K9" s="192"/>
      <c r="L9" s="192"/>
    </row>
    <row r="10" spans="1:12" ht="24" customHeight="1" x14ac:dyDescent="0.2">
      <c r="A10" s="82" t="s">
        <v>782</v>
      </c>
      <c r="B10" s="83"/>
      <c r="C10" s="83"/>
      <c r="D10" s="84" t="s">
        <v>783</v>
      </c>
      <c r="E10" s="83"/>
      <c r="F10" s="85"/>
      <c r="G10" s="183"/>
      <c r="H10" s="83"/>
      <c r="I10" s="86">
        <f>SUM(I11:I17)</f>
        <v>44319.539999999994</v>
      </c>
      <c r="K10" s="189"/>
      <c r="L10" s="189"/>
    </row>
    <row r="11" spans="1:12" ht="24" customHeight="1" x14ac:dyDescent="0.2">
      <c r="A11" s="63" t="s">
        <v>785</v>
      </c>
      <c r="B11" s="178">
        <v>98459</v>
      </c>
      <c r="C11" s="63" t="s">
        <v>14</v>
      </c>
      <c r="D11" s="59" t="s">
        <v>620</v>
      </c>
      <c r="E11" s="63" t="s">
        <v>458</v>
      </c>
      <c r="F11" s="148">
        <f>MC!H21</f>
        <v>65.709999999999994</v>
      </c>
      <c r="G11" s="181">
        <f t="shared" ref="G11:G20" si="0">K11</f>
        <v>96.17</v>
      </c>
      <c r="H11" s="66">
        <f>ROUND(G11*1.1921,2)</f>
        <v>114.64</v>
      </c>
      <c r="I11" s="67">
        <f>TRUNC(H11*F11,2)</f>
        <v>7532.99</v>
      </c>
      <c r="K11" s="208">
        <v>96.17</v>
      </c>
      <c r="L11" s="209">
        <v>93.32</v>
      </c>
    </row>
    <row r="12" spans="1:12" ht="39" customHeight="1" x14ac:dyDescent="0.2">
      <c r="A12" s="63" t="s">
        <v>786</v>
      </c>
      <c r="B12" s="177">
        <v>99059</v>
      </c>
      <c r="C12" s="63" t="s">
        <v>14</v>
      </c>
      <c r="D12" s="59" t="s">
        <v>18</v>
      </c>
      <c r="E12" s="63" t="s">
        <v>19</v>
      </c>
      <c r="F12" s="65">
        <f>MC!H26</f>
        <v>143.35</v>
      </c>
      <c r="G12" s="181">
        <f t="shared" si="0"/>
        <v>69.17</v>
      </c>
      <c r="H12" s="66">
        <f t="shared" ref="H12:H20" si="1">ROUND(G12*1.1921,2)</f>
        <v>82.46</v>
      </c>
      <c r="I12" s="66">
        <f t="shared" ref="I12:I20" si="2">TRUNC(H12*F12,2)</f>
        <v>11820.64</v>
      </c>
      <c r="K12" s="209">
        <v>69.17</v>
      </c>
      <c r="L12" s="209">
        <v>65.900000000000006</v>
      </c>
    </row>
    <row r="13" spans="1:12" ht="27.75" customHeight="1" x14ac:dyDescent="0.2">
      <c r="A13" s="63" t="s">
        <v>787</v>
      </c>
      <c r="B13" s="177">
        <v>103689</v>
      </c>
      <c r="C13" s="63" t="s">
        <v>14</v>
      </c>
      <c r="D13" s="59" t="s">
        <v>20</v>
      </c>
      <c r="E13" s="63" t="s">
        <v>458</v>
      </c>
      <c r="F13" s="65">
        <f>MC!H31</f>
        <v>6</v>
      </c>
      <c r="G13" s="181">
        <f t="shared" si="0"/>
        <v>468.06</v>
      </c>
      <c r="H13" s="66">
        <f t="shared" si="1"/>
        <v>557.97</v>
      </c>
      <c r="I13" s="66">
        <f t="shared" si="2"/>
        <v>3347.82</v>
      </c>
      <c r="K13" s="209">
        <v>468.06</v>
      </c>
      <c r="L13" s="209">
        <v>464.59</v>
      </c>
    </row>
    <row r="14" spans="1:12" ht="26.1" customHeight="1" x14ac:dyDescent="0.2">
      <c r="A14" s="63" t="s">
        <v>788</v>
      </c>
      <c r="B14" s="177">
        <v>5088</v>
      </c>
      <c r="C14" s="63" t="s">
        <v>21</v>
      </c>
      <c r="D14" s="59" t="s">
        <v>418</v>
      </c>
      <c r="E14" s="63" t="s">
        <v>458</v>
      </c>
      <c r="F14" s="65">
        <f>MC!H36</f>
        <v>25</v>
      </c>
      <c r="G14" s="181">
        <f t="shared" si="0"/>
        <v>251.53</v>
      </c>
      <c r="H14" s="66">
        <f t="shared" si="1"/>
        <v>299.85000000000002</v>
      </c>
      <c r="I14" s="66">
        <f t="shared" si="2"/>
        <v>7496.25</v>
      </c>
      <c r="K14" s="188">
        <v>251.53</v>
      </c>
      <c r="L14" s="188">
        <v>251.53</v>
      </c>
    </row>
    <row r="15" spans="1:12" ht="27.6" customHeight="1" x14ac:dyDescent="0.2">
      <c r="A15" s="63" t="s">
        <v>789</v>
      </c>
      <c r="B15" s="63">
        <v>105113</v>
      </c>
      <c r="C15" s="63" t="s">
        <v>14</v>
      </c>
      <c r="D15" s="59" t="s">
        <v>630</v>
      </c>
      <c r="E15" s="63" t="s">
        <v>578</v>
      </c>
      <c r="F15" s="65">
        <f>MC!H41</f>
        <v>1</v>
      </c>
      <c r="G15" s="181">
        <f t="shared" si="0"/>
        <v>8994.09</v>
      </c>
      <c r="H15" s="66">
        <f t="shared" si="1"/>
        <v>10721.85</v>
      </c>
      <c r="I15" s="66">
        <f t="shared" si="2"/>
        <v>10721.85</v>
      </c>
      <c r="K15" s="189">
        <v>8994.09</v>
      </c>
      <c r="L15" s="189">
        <v>8814.5300000000007</v>
      </c>
    </row>
    <row r="16" spans="1:12" ht="27.6" customHeight="1" x14ac:dyDescent="0.2">
      <c r="A16" s="63" t="s">
        <v>790</v>
      </c>
      <c r="B16" s="63">
        <v>102609</v>
      </c>
      <c r="C16" s="63" t="s">
        <v>14</v>
      </c>
      <c r="D16" s="59" t="s">
        <v>631</v>
      </c>
      <c r="E16" s="63" t="s">
        <v>578</v>
      </c>
      <c r="F16" s="65">
        <f>MC!H46</f>
        <v>1</v>
      </c>
      <c r="G16" s="181">
        <f t="shared" si="0"/>
        <v>1113.81</v>
      </c>
      <c r="H16" s="66">
        <f t="shared" si="1"/>
        <v>1327.77</v>
      </c>
      <c r="I16" s="66">
        <f t="shared" ref="I16" si="3">TRUNC(H16*F16,2)</f>
        <v>1327.77</v>
      </c>
      <c r="K16" s="189">
        <v>1113.81</v>
      </c>
      <c r="L16" s="189">
        <v>1112.6400000000001</v>
      </c>
    </row>
    <row r="17" spans="1:12" ht="39.6" customHeight="1" x14ac:dyDescent="0.2">
      <c r="A17" s="63" t="s">
        <v>791</v>
      </c>
      <c r="B17" s="177">
        <v>9416</v>
      </c>
      <c r="C17" s="63" t="s">
        <v>21</v>
      </c>
      <c r="D17" s="59" t="s">
        <v>419</v>
      </c>
      <c r="E17" s="63" t="s">
        <v>578</v>
      </c>
      <c r="F17" s="65">
        <f>MC!H51</f>
        <v>1</v>
      </c>
      <c r="G17" s="181">
        <f t="shared" si="0"/>
        <v>1738.29</v>
      </c>
      <c r="H17" s="66">
        <f t="shared" si="1"/>
        <v>2072.2199999999998</v>
      </c>
      <c r="I17" s="66">
        <f t="shared" si="2"/>
        <v>2072.2199999999998</v>
      </c>
      <c r="K17" s="189">
        <v>1738.29</v>
      </c>
      <c r="L17" s="189">
        <v>1738.29</v>
      </c>
    </row>
    <row r="18" spans="1:12" ht="24" customHeight="1" x14ac:dyDescent="0.2">
      <c r="A18" s="82" t="s">
        <v>784</v>
      </c>
      <c r="B18" s="83"/>
      <c r="C18" s="83"/>
      <c r="D18" s="84" t="s">
        <v>797</v>
      </c>
      <c r="E18" s="83"/>
      <c r="F18" s="85"/>
      <c r="G18" s="183"/>
      <c r="H18" s="83"/>
      <c r="I18" s="232">
        <f>SUM(I19:I20)</f>
        <v>27095.98</v>
      </c>
      <c r="K18" s="189"/>
      <c r="L18" s="189"/>
    </row>
    <row r="19" spans="1:12" ht="55.15" customHeight="1" x14ac:dyDescent="0.2">
      <c r="A19" s="63" t="s">
        <v>785</v>
      </c>
      <c r="B19" s="63">
        <v>101135</v>
      </c>
      <c r="C19" s="63" t="s">
        <v>14</v>
      </c>
      <c r="D19" s="59" t="s">
        <v>798</v>
      </c>
      <c r="E19" s="63" t="s">
        <v>455</v>
      </c>
      <c r="F19" s="65">
        <f>MC!H57</f>
        <v>1378.07</v>
      </c>
      <c r="G19" s="181">
        <f>K19</f>
        <v>15</v>
      </c>
      <c r="H19" s="231">
        <f t="shared" si="1"/>
        <v>17.88</v>
      </c>
      <c r="I19" s="66">
        <f t="shared" ref="I19" si="4">TRUNC(H19*F19,2)</f>
        <v>24639.89</v>
      </c>
      <c r="K19" s="209">
        <v>15</v>
      </c>
      <c r="L19" s="209">
        <v>14.77</v>
      </c>
    </row>
    <row r="20" spans="1:12" ht="27.75" customHeight="1" x14ac:dyDescent="0.2">
      <c r="A20" s="63" t="s">
        <v>786</v>
      </c>
      <c r="B20" s="177">
        <v>100575</v>
      </c>
      <c r="C20" s="63" t="s">
        <v>14</v>
      </c>
      <c r="D20" s="59" t="s">
        <v>621</v>
      </c>
      <c r="E20" s="63" t="s">
        <v>458</v>
      </c>
      <c r="F20" s="65">
        <f>MC!H62</f>
        <v>1192.28</v>
      </c>
      <c r="G20" s="181">
        <f t="shared" si="0"/>
        <v>1.73</v>
      </c>
      <c r="H20" s="66">
        <f t="shared" si="1"/>
        <v>2.06</v>
      </c>
      <c r="I20" s="233">
        <f t="shared" si="2"/>
        <v>2456.09</v>
      </c>
      <c r="K20" s="189">
        <v>1.73</v>
      </c>
      <c r="L20" s="189">
        <v>1.69</v>
      </c>
    </row>
    <row r="21" spans="1:12" ht="26.45" customHeight="1" x14ac:dyDescent="0.2">
      <c r="A21" s="77" t="s">
        <v>400</v>
      </c>
      <c r="B21" s="78"/>
      <c r="C21" s="78"/>
      <c r="D21" s="79" t="s">
        <v>716</v>
      </c>
      <c r="E21" s="78"/>
      <c r="F21" s="80"/>
      <c r="G21" s="182"/>
      <c r="H21" s="78"/>
      <c r="I21" s="81">
        <f>SUM(I22,I31)</f>
        <v>13572.08</v>
      </c>
      <c r="K21" s="189"/>
      <c r="L21" s="189"/>
    </row>
    <row r="22" spans="1:12" ht="24" customHeight="1" x14ac:dyDescent="0.2">
      <c r="A22" s="82" t="s">
        <v>22</v>
      </c>
      <c r="B22" s="83"/>
      <c r="C22" s="83"/>
      <c r="D22" s="84" t="s">
        <v>23</v>
      </c>
      <c r="E22" s="83"/>
      <c r="F22" s="85"/>
      <c r="G22" s="183"/>
      <c r="H22" s="83"/>
      <c r="I22" s="86">
        <f>SUM(I23:I30)</f>
        <v>7140.98</v>
      </c>
      <c r="K22" s="189"/>
      <c r="L22" s="189"/>
    </row>
    <row r="23" spans="1:12" ht="26.1" customHeight="1" x14ac:dyDescent="0.2">
      <c r="A23" s="63" t="s">
        <v>267</v>
      </c>
      <c r="B23" s="177">
        <v>93358</v>
      </c>
      <c r="C23" s="63" t="s">
        <v>14</v>
      </c>
      <c r="D23" s="59" t="s">
        <v>622</v>
      </c>
      <c r="E23" s="63" t="s">
        <v>455</v>
      </c>
      <c r="F23" s="65">
        <f>MC!H72</f>
        <v>17.32</v>
      </c>
      <c r="G23" s="181">
        <f t="shared" ref="G23:G30" si="5">K23</f>
        <v>95.25</v>
      </c>
      <c r="H23" s="66">
        <f t="shared" ref="H23:H40" si="6">ROUND(G23*1.1921,2)</f>
        <v>113.55</v>
      </c>
      <c r="I23" s="66">
        <f t="shared" ref="I23:I40" si="7">TRUNC(H23*F23,2)</f>
        <v>1966.68</v>
      </c>
      <c r="K23" s="189">
        <v>95.25</v>
      </c>
      <c r="L23" s="189">
        <v>88.05</v>
      </c>
    </row>
    <row r="24" spans="1:12" ht="27" customHeight="1" x14ac:dyDescent="0.2">
      <c r="A24" s="63" t="s">
        <v>268</v>
      </c>
      <c r="B24" s="177">
        <v>101616</v>
      </c>
      <c r="C24" s="63" t="s">
        <v>14</v>
      </c>
      <c r="D24" s="59" t="s">
        <v>25</v>
      </c>
      <c r="E24" s="63" t="s">
        <v>458</v>
      </c>
      <c r="F24" s="65">
        <f>MC!H80</f>
        <v>11.18</v>
      </c>
      <c r="G24" s="181">
        <f t="shared" si="5"/>
        <v>6.93</v>
      </c>
      <c r="H24" s="66">
        <f t="shared" si="6"/>
        <v>8.26</v>
      </c>
      <c r="I24" s="66">
        <f t="shared" si="7"/>
        <v>92.34</v>
      </c>
      <c r="K24" s="189">
        <v>6.93</v>
      </c>
      <c r="L24" s="189">
        <v>6.38</v>
      </c>
    </row>
    <row r="25" spans="1:12" ht="27.75" customHeight="1" x14ac:dyDescent="0.2">
      <c r="A25" s="63" t="s">
        <v>269</v>
      </c>
      <c r="B25" s="177">
        <v>96619</v>
      </c>
      <c r="C25" s="63" t="s">
        <v>14</v>
      </c>
      <c r="D25" s="59" t="s">
        <v>26</v>
      </c>
      <c r="E25" s="63" t="s">
        <v>458</v>
      </c>
      <c r="F25" s="65">
        <f>MC!H85</f>
        <v>11.18</v>
      </c>
      <c r="G25" s="181">
        <f t="shared" si="5"/>
        <v>40.94</v>
      </c>
      <c r="H25" s="66">
        <f t="shared" si="6"/>
        <v>48.8</v>
      </c>
      <c r="I25" s="66">
        <f t="shared" si="7"/>
        <v>545.58000000000004</v>
      </c>
      <c r="K25" s="210">
        <v>40.94</v>
      </c>
      <c r="L25" s="210">
        <v>39.47</v>
      </c>
    </row>
    <row r="26" spans="1:12" ht="41.45" customHeight="1" x14ac:dyDescent="0.2">
      <c r="A26" s="63" t="s">
        <v>270</v>
      </c>
      <c r="B26" s="63">
        <v>96535</v>
      </c>
      <c r="C26" s="63" t="s">
        <v>14</v>
      </c>
      <c r="D26" s="59" t="s">
        <v>632</v>
      </c>
      <c r="E26" s="63" t="s">
        <v>458</v>
      </c>
      <c r="F26" s="65">
        <f>MC!H90</f>
        <v>7.5</v>
      </c>
      <c r="G26" s="181">
        <f t="shared" si="5"/>
        <v>143.34</v>
      </c>
      <c r="H26" s="66">
        <f t="shared" si="6"/>
        <v>170.88</v>
      </c>
      <c r="I26" s="66">
        <f t="shared" ref="I26:I28" si="8">ROUND(H26*F26,2)</f>
        <v>1281.5999999999999</v>
      </c>
      <c r="J26" s="199"/>
      <c r="K26" s="187">
        <v>143.34</v>
      </c>
      <c r="L26" s="188">
        <v>134.78</v>
      </c>
    </row>
    <row r="27" spans="1:12" ht="40.9" customHeight="1" x14ac:dyDescent="0.2">
      <c r="A27" s="63" t="s">
        <v>271</v>
      </c>
      <c r="B27" s="63">
        <v>104919</v>
      </c>
      <c r="C27" s="63" t="s">
        <v>14</v>
      </c>
      <c r="D27" s="59" t="s">
        <v>633</v>
      </c>
      <c r="E27" s="63" t="s">
        <v>79</v>
      </c>
      <c r="F27" s="65">
        <f>MC!H95</f>
        <v>96</v>
      </c>
      <c r="G27" s="181">
        <f t="shared" si="5"/>
        <v>12.91</v>
      </c>
      <c r="H27" s="66">
        <f t="shared" si="6"/>
        <v>15.39</v>
      </c>
      <c r="I27" s="66">
        <f t="shared" si="8"/>
        <v>1477.44</v>
      </c>
      <c r="J27" s="199"/>
      <c r="K27" s="187">
        <v>12.91</v>
      </c>
      <c r="L27" s="188">
        <v>12.62</v>
      </c>
    </row>
    <row r="28" spans="1:12" ht="28.9" customHeight="1" x14ac:dyDescent="0.2">
      <c r="A28" s="63" t="s">
        <v>636</v>
      </c>
      <c r="B28" s="63">
        <v>104916</v>
      </c>
      <c r="C28" s="63" t="s">
        <v>14</v>
      </c>
      <c r="D28" s="59" t="s">
        <v>634</v>
      </c>
      <c r="E28" s="63" t="s">
        <v>79</v>
      </c>
      <c r="F28" s="65">
        <f>MC!H100</f>
        <v>3</v>
      </c>
      <c r="G28" s="181">
        <f t="shared" si="5"/>
        <v>17.23</v>
      </c>
      <c r="H28" s="66">
        <f t="shared" si="6"/>
        <v>20.54</v>
      </c>
      <c r="I28" s="66">
        <f t="shared" si="8"/>
        <v>61.62</v>
      </c>
      <c r="J28" s="199"/>
      <c r="K28" s="187">
        <v>17.23</v>
      </c>
      <c r="L28" s="188">
        <v>16.559999999999999</v>
      </c>
    </row>
    <row r="29" spans="1:12" ht="28.15" customHeight="1" x14ac:dyDescent="0.2">
      <c r="A29" s="63" t="s">
        <v>637</v>
      </c>
      <c r="B29" s="63">
        <v>96558</v>
      </c>
      <c r="C29" s="63" t="s">
        <v>14</v>
      </c>
      <c r="D29" s="59" t="s">
        <v>635</v>
      </c>
      <c r="E29" s="63" t="s">
        <v>455</v>
      </c>
      <c r="F29" s="65">
        <f>MC!H108</f>
        <v>1.46</v>
      </c>
      <c r="G29" s="181">
        <f t="shared" si="5"/>
        <v>740.63</v>
      </c>
      <c r="H29" s="66">
        <f t="shared" si="6"/>
        <v>882.91</v>
      </c>
      <c r="I29" s="66">
        <f t="shared" si="7"/>
        <v>1289.04</v>
      </c>
      <c r="K29" s="191">
        <v>740.63</v>
      </c>
      <c r="L29" s="191">
        <v>737.6</v>
      </c>
    </row>
    <row r="30" spans="1:12" ht="27" customHeight="1" x14ac:dyDescent="0.2">
      <c r="A30" s="63" t="s">
        <v>638</v>
      </c>
      <c r="B30" s="177">
        <v>104737</v>
      </c>
      <c r="C30" s="63" t="s">
        <v>14</v>
      </c>
      <c r="D30" s="59" t="s">
        <v>27</v>
      </c>
      <c r="E30" s="63" t="s">
        <v>455</v>
      </c>
      <c r="F30" s="65">
        <f>MC!H116</f>
        <v>14.940000000000001</v>
      </c>
      <c r="G30" s="181">
        <f t="shared" si="5"/>
        <v>23.96</v>
      </c>
      <c r="H30" s="66">
        <f t="shared" si="6"/>
        <v>28.56</v>
      </c>
      <c r="I30" s="66">
        <f t="shared" si="7"/>
        <v>426.68</v>
      </c>
      <c r="K30" s="209">
        <v>23.96</v>
      </c>
      <c r="L30" s="209">
        <v>22.34</v>
      </c>
    </row>
    <row r="31" spans="1:12" ht="24" customHeight="1" x14ac:dyDescent="0.2">
      <c r="A31" s="82" t="s">
        <v>28</v>
      </c>
      <c r="B31" s="83"/>
      <c r="C31" s="83"/>
      <c r="D31" s="84" t="s">
        <v>29</v>
      </c>
      <c r="E31" s="83"/>
      <c r="F31" s="85"/>
      <c r="G31" s="183"/>
      <c r="H31" s="83"/>
      <c r="I31" s="86">
        <f>SUM(I32:I40)</f>
        <v>6431.1</v>
      </c>
      <c r="K31" s="192"/>
      <c r="L31" s="192"/>
    </row>
    <row r="32" spans="1:12" ht="27.75" customHeight="1" x14ac:dyDescent="0.2">
      <c r="A32" s="63" t="s">
        <v>30</v>
      </c>
      <c r="B32" s="177">
        <v>93358</v>
      </c>
      <c r="C32" s="63" t="s">
        <v>14</v>
      </c>
      <c r="D32" s="59" t="s">
        <v>622</v>
      </c>
      <c r="E32" s="63" t="s">
        <v>455</v>
      </c>
      <c r="F32" s="65">
        <f>MC!H123</f>
        <v>6.06</v>
      </c>
      <c r="G32" s="181">
        <f t="shared" ref="G32:G40" si="9">K32</f>
        <v>95.25</v>
      </c>
      <c r="H32" s="66">
        <f t="shared" si="6"/>
        <v>113.55</v>
      </c>
      <c r="I32" s="66">
        <f t="shared" si="7"/>
        <v>688.11</v>
      </c>
      <c r="K32" s="188">
        <v>95.25</v>
      </c>
      <c r="L32" s="188">
        <v>88.05</v>
      </c>
    </row>
    <row r="33" spans="1:12" ht="27.75" customHeight="1" x14ac:dyDescent="0.2">
      <c r="A33" s="63" t="s">
        <v>31</v>
      </c>
      <c r="B33" s="177">
        <v>101616</v>
      </c>
      <c r="C33" s="63" t="s">
        <v>14</v>
      </c>
      <c r="D33" s="59" t="s">
        <v>25</v>
      </c>
      <c r="E33" s="63" t="s">
        <v>458</v>
      </c>
      <c r="F33" s="65">
        <f>MC!H129</f>
        <v>17.3</v>
      </c>
      <c r="G33" s="181">
        <f t="shared" si="9"/>
        <v>6.93</v>
      </c>
      <c r="H33" s="66">
        <f t="shared" si="6"/>
        <v>8.26</v>
      </c>
      <c r="I33" s="66">
        <f t="shared" si="7"/>
        <v>142.88999999999999</v>
      </c>
      <c r="K33" s="209">
        <v>6.93</v>
      </c>
      <c r="L33" s="209">
        <v>6.38</v>
      </c>
    </row>
    <row r="34" spans="1:12" ht="28.9" customHeight="1" x14ac:dyDescent="0.2">
      <c r="A34" s="63" t="s">
        <v>32</v>
      </c>
      <c r="B34" s="177">
        <v>95241</v>
      </c>
      <c r="C34" s="63" t="s">
        <v>14</v>
      </c>
      <c r="D34" s="59" t="s">
        <v>33</v>
      </c>
      <c r="E34" s="63" t="s">
        <v>458</v>
      </c>
      <c r="F34" s="65">
        <f>MC!H134</f>
        <v>17.3</v>
      </c>
      <c r="G34" s="181">
        <f t="shared" si="9"/>
        <v>37.659999999999997</v>
      </c>
      <c r="H34" s="66">
        <f t="shared" si="6"/>
        <v>44.89</v>
      </c>
      <c r="I34" s="66">
        <f t="shared" si="7"/>
        <v>776.59</v>
      </c>
      <c r="K34" s="188">
        <v>37.659999999999997</v>
      </c>
      <c r="L34" s="188">
        <v>36.450000000000003</v>
      </c>
    </row>
    <row r="35" spans="1:12" ht="40.9" customHeight="1" x14ac:dyDescent="0.2">
      <c r="A35" s="63" t="s">
        <v>642</v>
      </c>
      <c r="B35" s="63">
        <v>96536</v>
      </c>
      <c r="C35" s="63" t="s">
        <v>14</v>
      </c>
      <c r="D35" s="59" t="s">
        <v>639</v>
      </c>
      <c r="E35" s="63" t="s">
        <v>458</v>
      </c>
      <c r="F35" s="65">
        <f>MC!H139</f>
        <v>18.8</v>
      </c>
      <c r="G35" s="181">
        <f t="shared" si="9"/>
        <v>75.709999999999994</v>
      </c>
      <c r="H35" s="66">
        <f t="shared" si="6"/>
        <v>90.25</v>
      </c>
      <c r="I35" s="66">
        <f t="shared" ref="I35:I38" si="10">ROUND(H35*F35,2)</f>
        <v>1696.7</v>
      </c>
      <c r="J35" s="199"/>
      <c r="K35" s="187">
        <v>75.709999999999994</v>
      </c>
      <c r="L35" s="188">
        <v>72.05</v>
      </c>
    </row>
    <row r="36" spans="1:12" ht="28.15" customHeight="1" x14ac:dyDescent="0.2">
      <c r="A36" s="63" t="s">
        <v>643</v>
      </c>
      <c r="B36" s="63">
        <v>104916</v>
      </c>
      <c r="C36" s="63" t="s">
        <v>14</v>
      </c>
      <c r="D36" s="59" t="s">
        <v>634</v>
      </c>
      <c r="E36" s="63" t="s">
        <v>79</v>
      </c>
      <c r="F36" s="65">
        <f>MC!H144</f>
        <v>29</v>
      </c>
      <c r="G36" s="181">
        <f t="shared" si="9"/>
        <v>17.23</v>
      </c>
      <c r="H36" s="66">
        <f t="shared" si="6"/>
        <v>20.54</v>
      </c>
      <c r="I36" s="66">
        <f t="shared" si="10"/>
        <v>595.66</v>
      </c>
      <c r="J36" s="199"/>
      <c r="K36" s="187">
        <v>17.23</v>
      </c>
      <c r="L36" s="188">
        <v>16.559999999999999</v>
      </c>
    </row>
    <row r="37" spans="1:12" ht="40.9" customHeight="1" x14ac:dyDescent="0.2">
      <c r="A37" s="63" t="s">
        <v>644</v>
      </c>
      <c r="B37" s="63">
        <v>104917</v>
      </c>
      <c r="C37" s="63" t="s">
        <v>14</v>
      </c>
      <c r="D37" s="59" t="s">
        <v>640</v>
      </c>
      <c r="E37" s="63" t="s">
        <v>79</v>
      </c>
      <c r="F37" s="65">
        <f>MC!H149</f>
        <v>1</v>
      </c>
      <c r="G37" s="181">
        <f t="shared" si="9"/>
        <v>15.83</v>
      </c>
      <c r="H37" s="66">
        <f t="shared" si="6"/>
        <v>18.87</v>
      </c>
      <c r="I37" s="66">
        <f t="shared" si="10"/>
        <v>18.87</v>
      </c>
      <c r="J37" s="199"/>
      <c r="K37" s="187">
        <v>15.83</v>
      </c>
      <c r="L37" s="188">
        <v>15.33</v>
      </c>
    </row>
    <row r="38" spans="1:12" ht="28.9" customHeight="1" x14ac:dyDescent="0.2">
      <c r="A38" s="63" t="s">
        <v>645</v>
      </c>
      <c r="B38" s="63">
        <v>104918</v>
      </c>
      <c r="C38" s="63" t="s">
        <v>14</v>
      </c>
      <c r="D38" s="59" t="s">
        <v>641</v>
      </c>
      <c r="E38" s="63" t="s">
        <v>79</v>
      </c>
      <c r="F38" s="65">
        <f>MC!H154</f>
        <v>63</v>
      </c>
      <c r="G38" s="181">
        <f t="shared" si="9"/>
        <v>14.56</v>
      </c>
      <c r="H38" s="66">
        <f t="shared" si="6"/>
        <v>17.36</v>
      </c>
      <c r="I38" s="66">
        <f t="shared" si="10"/>
        <v>1093.68</v>
      </c>
      <c r="J38" s="199"/>
      <c r="K38" s="187">
        <v>14.56</v>
      </c>
      <c r="L38" s="188">
        <v>14.2</v>
      </c>
    </row>
    <row r="39" spans="1:12" ht="40.9" customHeight="1" x14ac:dyDescent="0.2">
      <c r="A39" s="63" t="s">
        <v>646</v>
      </c>
      <c r="B39" s="63">
        <v>96557</v>
      </c>
      <c r="C39" s="63" t="s">
        <v>14</v>
      </c>
      <c r="D39" s="59" t="s">
        <v>648</v>
      </c>
      <c r="E39" s="63" t="s">
        <v>455</v>
      </c>
      <c r="F39" s="65">
        <f>MC!H159</f>
        <v>1.56</v>
      </c>
      <c r="G39" s="181">
        <f t="shared" si="9"/>
        <v>707.08</v>
      </c>
      <c r="H39" s="66">
        <f t="shared" si="6"/>
        <v>842.91</v>
      </c>
      <c r="I39" s="66">
        <f t="shared" si="7"/>
        <v>1314.93</v>
      </c>
      <c r="K39" s="188">
        <v>707.08</v>
      </c>
      <c r="L39" s="188">
        <v>705.36</v>
      </c>
    </row>
    <row r="40" spans="1:12" ht="28.15" customHeight="1" x14ac:dyDescent="0.2">
      <c r="A40" s="63" t="s">
        <v>647</v>
      </c>
      <c r="B40" s="177">
        <v>104737</v>
      </c>
      <c r="C40" s="63" t="s">
        <v>14</v>
      </c>
      <c r="D40" s="59" t="s">
        <v>27</v>
      </c>
      <c r="E40" s="63" t="s">
        <v>455</v>
      </c>
      <c r="F40" s="65">
        <f>MC!H166</f>
        <v>3.6299999999999994</v>
      </c>
      <c r="G40" s="181">
        <f t="shared" si="9"/>
        <v>23.96</v>
      </c>
      <c r="H40" s="66">
        <f t="shared" si="6"/>
        <v>28.56</v>
      </c>
      <c r="I40" s="66">
        <f t="shared" si="7"/>
        <v>103.67</v>
      </c>
      <c r="K40" s="188">
        <v>23.96</v>
      </c>
      <c r="L40" s="188">
        <v>22.34</v>
      </c>
    </row>
    <row r="41" spans="1:12" ht="24" customHeight="1" x14ac:dyDescent="0.2">
      <c r="A41" s="87" t="s">
        <v>401</v>
      </c>
      <c r="B41" s="78"/>
      <c r="C41" s="78"/>
      <c r="D41" s="79" t="s">
        <v>560</v>
      </c>
      <c r="E41" s="78"/>
      <c r="F41" s="80"/>
      <c r="G41" s="182"/>
      <c r="H41" s="78"/>
      <c r="I41" s="81">
        <f>SUM(I42,I47,I53,I55)</f>
        <v>31369.95</v>
      </c>
      <c r="K41" s="188"/>
      <c r="L41" s="188"/>
    </row>
    <row r="42" spans="1:12" ht="24" customHeight="1" x14ac:dyDescent="0.2">
      <c r="A42" s="82" t="s">
        <v>34</v>
      </c>
      <c r="B42" s="83"/>
      <c r="C42" s="83"/>
      <c r="D42" s="84" t="s">
        <v>35</v>
      </c>
      <c r="E42" s="83"/>
      <c r="F42" s="85"/>
      <c r="G42" s="183"/>
      <c r="H42" s="83"/>
      <c r="I42" s="86">
        <f>SUM(I43:I46)</f>
        <v>7565.1399999999994</v>
      </c>
      <c r="K42" s="188"/>
      <c r="L42" s="188"/>
    </row>
    <row r="43" spans="1:12" ht="51" x14ac:dyDescent="0.2">
      <c r="A43" s="63" t="s">
        <v>649</v>
      </c>
      <c r="B43" s="63">
        <v>92443</v>
      </c>
      <c r="C43" s="63" t="s">
        <v>14</v>
      </c>
      <c r="D43" s="59" t="s">
        <v>650</v>
      </c>
      <c r="E43" s="63" t="s">
        <v>458</v>
      </c>
      <c r="F43" s="65">
        <f>MC!H173</f>
        <v>37.6</v>
      </c>
      <c r="G43" s="181">
        <f>K43</f>
        <v>54.48</v>
      </c>
      <c r="H43" s="66">
        <f t="shared" ref="H43:H61" si="11">ROUND(G43*1.1921,2)</f>
        <v>64.95</v>
      </c>
      <c r="I43" s="66">
        <f t="shared" ref="I43:I45" si="12">ROUND(H43*F43,2)</f>
        <v>2442.12</v>
      </c>
      <c r="J43" s="199"/>
      <c r="K43" s="187">
        <v>54.48</v>
      </c>
      <c r="L43" s="188">
        <v>52.57</v>
      </c>
    </row>
    <row r="44" spans="1:12" ht="38.25" x14ac:dyDescent="0.2">
      <c r="A44" s="63" t="s">
        <v>651</v>
      </c>
      <c r="B44" s="63">
        <v>92759</v>
      </c>
      <c r="C44" s="63" t="s">
        <v>14</v>
      </c>
      <c r="D44" s="59" t="s">
        <v>652</v>
      </c>
      <c r="E44" s="63" t="s">
        <v>79</v>
      </c>
      <c r="F44" s="65">
        <f>MC!H178</f>
        <v>54</v>
      </c>
      <c r="G44" s="181">
        <f>K44</f>
        <v>14.39</v>
      </c>
      <c r="H44" s="66">
        <f t="shared" si="11"/>
        <v>17.149999999999999</v>
      </c>
      <c r="I44" s="66">
        <f t="shared" si="12"/>
        <v>926.1</v>
      </c>
      <c r="J44" s="199"/>
      <c r="K44" s="187">
        <v>14.39</v>
      </c>
      <c r="L44" s="188">
        <v>13.95</v>
      </c>
    </row>
    <row r="45" spans="1:12" ht="38.25" x14ac:dyDescent="0.2">
      <c r="A45" s="63" t="s">
        <v>653</v>
      </c>
      <c r="B45" s="63">
        <v>92762</v>
      </c>
      <c r="C45" s="63" t="s">
        <v>14</v>
      </c>
      <c r="D45" s="59" t="s">
        <v>654</v>
      </c>
      <c r="E45" s="63" t="s">
        <v>79</v>
      </c>
      <c r="F45" s="65">
        <f>MC!H183</f>
        <v>211</v>
      </c>
      <c r="G45" s="181">
        <f>K45</f>
        <v>11.09</v>
      </c>
      <c r="H45" s="66">
        <f t="shared" si="11"/>
        <v>13.22</v>
      </c>
      <c r="I45" s="66">
        <f t="shared" si="12"/>
        <v>2789.42</v>
      </c>
      <c r="J45" s="199"/>
      <c r="K45" s="187">
        <v>11.09</v>
      </c>
      <c r="L45" s="188">
        <v>10.94</v>
      </c>
    </row>
    <row r="46" spans="1:12" ht="28.15" customHeight="1" x14ac:dyDescent="0.2">
      <c r="A46" s="63" t="s">
        <v>655</v>
      </c>
      <c r="B46" s="63">
        <v>103672</v>
      </c>
      <c r="C46" s="63" t="s">
        <v>14</v>
      </c>
      <c r="D46" s="59" t="s">
        <v>656</v>
      </c>
      <c r="E46" s="63" t="s">
        <v>455</v>
      </c>
      <c r="F46" s="65">
        <f>MC!H188</f>
        <v>1.84</v>
      </c>
      <c r="G46" s="181">
        <f>K46</f>
        <v>641.67999999999995</v>
      </c>
      <c r="H46" s="66">
        <f t="shared" si="11"/>
        <v>764.95</v>
      </c>
      <c r="I46" s="66">
        <f t="shared" ref="I46:I61" si="13">TRUNC(H46*F46,2)</f>
        <v>1407.5</v>
      </c>
      <c r="K46" s="188">
        <v>641.67999999999995</v>
      </c>
      <c r="L46" s="188">
        <v>638.16</v>
      </c>
    </row>
    <row r="47" spans="1:12" ht="24" customHeight="1" x14ac:dyDescent="0.2">
      <c r="A47" s="82" t="s">
        <v>36</v>
      </c>
      <c r="B47" s="83"/>
      <c r="C47" s="83"/>
      <c r="D47" s="84" t="s">
        <v>37</v>
      </c>
      <c r="E47" s="83"/>
      <c r="F47" s="85"/>
      <c r="G47" s="183"/>
      <c r="H47" s="83"/>
      <c r="I47" s="86">
        <f>SUM(I48:I52)</f>
        <v>4361.9400000000005</v>
      </c>
      <c r="K47" s="188"/>
      <c r="L47" s="188"/>
    </row>
    <row r="48" spans="1:12" ht="40.15" customHeight="1" x14ac:dyDescent="0.2">
      <c r="A48" s="63" t="s">
        <v>657</v>
      </c>
      <c r="B48" s="63">
        <v>92479</v>
      </c>
      <c r="C48" s="63" t="s">
        <v>14</v>
      </c>
      <c r="D48" s="59" t="s">
        <v>658</v>
      </c>
      <c r="E48" s="63" t="s">
        <v>458</v>
      </c>
      <c r="F48" s="65">
        <f>MC!H194</f>
        <v>17.940000000000001</v>
      </c>
      <c r="G48" s="181">
        <f>K48</f>
        <v>71.709999999999994</v>
      </c>
      <c r="H48" s="66">
        <f t="shared" si="11"/>
        <v>85.49</v>
      </c>
      <c r="I48" s="66">
        <f t="shared" ref="I48:I51" si="14">ROUND(H48*F48,2)</f>
        <v>1533.69</v>
      </c>
      <c r="J48" s="199"/>
      <c r="K48" s="187">
        <v>71.709999999999994</v>
      </c>
      <c r="L48" s="188">
        <v>69.42</v>
      </c>
    </row>
    <row r="49" spans="1:12" ht="38.25" x14ac:dyDescent="0.2">
      <c r="A49" s="63" t="s">
        <v>659</v>
      </c>
      <c r="B49" s="63">
        <v>92759</v>
      </c>
      <c r="C49" s="63" t="s">
        <v>14</v>
      </c>
      <c r="D49" s="207" t="s">
        <v>660</v>
      </c>
      <c r="E49" s="63" t="s">
        <v>79</v>
      </c>
      <c r="F49" s="65">
        <f>MC!H199</f>
        <v>30</v>
      </c>
      <c r="G49" s="181">
        <f>K49</f>
        <v>14.39</v>
      </c>
      <c r="H49" s="66">
        <f t="shared" si="11"/>
        <v>17.149999999999999</v>
      </c>
      <c r="I49" s="66">
        <f t="shared" si="14"/>
        <v>514.5</v>
      </c>
      <c r="J49" s="199"/>
      <c r="K49" s="187">
        <v>14.39</v>
      </c>
      <c r="L49" s="188">
        <v>13.95</v>
      </c>
    </row>
    <row r="50" spans="1:12" ht="38.25" x14ac:dyDescent="0.2">
      <c r="A50" s="63" t="s">
        <v>661</v>
      </c>
      <c r="B50" s="63">
        <v>92761</v>
      </c>
      <c r="C50" s="63" t="s">
        <v>14</v>
      </c>
      <c r="D50" s="207" t="s">
        <v>663</v>
      </c>
      <c r="E50" s="63" t="s">
        <v>79</v>
      </c>
      <c r="F50" s="65">
        <f>MC!H204</f>
        <v>63</v>
      </c>
      <c r="G50" s="181">
        <f>K50</f>
        <v>12.51</v>
      </c>
      <c r="H50" s="66">
        <f t="shared" si="11"/>
        <v>14.91</v>
      </c>
      <c r="I50" s="66">
        <f t="shared" si="14"/>
        <v>939.33</v>
      </c>
      <c r="J50" s="199"/>
      <c r="K50" s="187">
        <v>12.51</v>
      </c>
      <c r="L50" s="188">
        <v>12.31</v>
      </c>
    </row>
    <row r="51" spans="1:12" ht="42" customHeight="1" x14ac:dyDescent="0.2">
      <c r="A51" s="63" t="s">
        <v>662</v>
      </c>
      <c r="B51" s="63">
        <v>92762</v>
      </c>
      <c r="C51" s="63" t="s">
        <v>14</v>
      </c>
      <c r="D51" s="207" t="s">
        <v>654</v>
      </c>
      <c r="E51" s="63" t="s">
        <v>79</v>
      </c>
      <c r="F51" s="65">
        <f>MC!H209</f>
        <v>7</v>
      </c>
      <c r="G51" s="181">
        <f>K51</f>
        <v>11.09</v>
      </c>
      <c r="H51" s="66">
        <f t="shared" si="11"/>
        <v>13.22</v>
      </c>
      <c r="I51" s="66">
        <f t="shared" si="14"/>
        <v>92.54</v>
      </c>
      <c r="J51" s="199"/>
      <c r="K51" s="187">
        <v>11.09</v>
      </c>
      <c r="L51" s="188">
        <v>10.94</v>
      </c>
    </row>
    <row r="52" spans="1:12" ht="40.9" customHeight="1" x14ac:dyDescent="0.2">
      <c r="A52" s="63" t="s">
        <v>664</v>
      </c>
      <c r="B52" s="63">
        <v>103674</v>
      </c>
      <c r="C52" s="63" t="s">
        <v>14</v>
      </c>
      <c r="D52" s="59" t="s">
        <v>665</v>
      </c>
      <c r="E52" s="63" t="s">
        <v>455</v>
      </c>
      <c r="F52" s="65">
        <f>MC!H214</f>
        <v>1.62</v>
      </c>
      <c r="G52" s="181">
        <f>K52</f>
        <v>663.78</v>
      </c>
      <c r="H52" s="66">
        <f t="shared" si="11"/>
        <v>791.29</v>
      </c>
      <c r="I52" s="66">
        <f t="shared" si="13"/>
        <v>1281.8800000000001</v>
      </c>
      <c r="K52" s="188">
        <v>663.78</v>
      </c>
      <c r="L52" s="188">
        <v>658.44</v>
      </c>
    </row>
    <row r="53" spans="1:12" ht="24" customHeight="1" x14ac:dyDescent="0.2">
      <c r="A53" s="82" t="s">
        <v>38</v>
      </c>
      <c r="B53" s="83"/>
      <c r="C53" s="83"/>
      <c r="D53" s="84" t="s">
        <v>39</v>
      </c>
      <c r="E53" s="83"/>
      <c r="F53" s="85"/>
      <c r="G53" s="183"/>
      <c r="H53" s="83"/>
      <c r="I53" s="86">
        <f>I54</f>
        <v>2261.4</v>
      </c>
      <c r="K53" s="192"/>
      <c r="L53" s="192"/>
    </row>
    <row r="54" spans="1:12" ht="41.25" customHeight="1" x14ac:dyDescent="0.2">
      <c r="A54" s="63" t="s">
        <v>40</v>
      </c>
      <c r="B54" s="177">
        <v>7393</v>
      </c>
      <c r="C54" s="63" t="s">
        <v>21</v>
      </c>
      <c r="D54" s="59" t="s">
        <v>429</v>
      </c>
      <c r="E54" s="63" t="s">
        <v>458</v>
      </c>
      <c r="F54" s="65">
        <f>MC!H220</f>
        <v>11.75</v>
      </c>
      <c r="G54" s="181">
        <f>K54</f>
        <v>161.44999999999999</v>
      </c>
      <c r="H54" s="66">
        <f t="shared" si="11"/>
        <v>192.46</v>
      </c>
      <c r="I54" s="66">
        <f t="shared" si="13"/>
        <v>2261.4</v>
      </c>
      <c r="K54" s="188">
        <v>161.44999999999999</v>
      </c>
      <c r="L54" s="188">
        <v>161.44999999999999</v>
      </c>
    </row>
    <row r="55" spans="1:12" ht="24" customHeight="1" x14ac:dyDescent="0.2">
      <c r="A55" s="82" t="s">
        <v>41</v>
      </c>
      <c r="B55" s="83"/>
      <c r="C55" s="83"/>
      <c r="D55" s="84" t="s">
        <v>42</v>
      </c>
      <c r="E55" s="83"/>
      <c r="F55" s="85"/>
      <c r="G55" s="183"/>
      <c r="H55" s="83"/>
      <c r="I55" s="86">
        <f>SUM(I56:I58)</f>
        <v>17181.47</v>
      </c>
      <c r="K55" s="188"/>
      <c r="L55" s="188"/>
    </row>
    <row r="56" spans="1:12" ht="40.5" customHeight="1" x14ac:dyDescent="0.2">
      <c r="A56" s="63" t="s">
        <v>43</v>
      </c>
      <c r="B56" s="177">
        <v>103328</v>
      </c>
      <c r="C56" s="63" t="s">
        <v>14</v>
      </c>
      <c r="D56" s="59" t="s">
        <v>44</v>
      </c>
      <c r="E56" s="63" t="s">
        <v>458</v>
      </c>
      <c r="F56" s="65">
        <f>MC!H233</f>
        <v>151.70999999999998</v>
      </c>
      <c r="G56" s="181">
        <f>K56</f>
        <v>93.39</v>
      </c>
      <c r="H56" s="66">
        <f t="shared" si="11"/>
        <v>111.33</v>
      </c>
      <c r="I56" s="66">
        <f t="shared" si="13"/>
        <v>16889.87</v>
      </c>
      <c r="K56" s="188">
        <v>93.39</v>
      </c>
      <c r="L56" s="188">
        <v>87.94</v>
      </c>
    </row>
    <row r="57" spans="1:12" ht="26.1" customHeight="1" x14ac:dyDescent="0.2">
      <c r="A57" s="63" t="s">
        <v>290</v>
      </c>
      <c r="B57" s="177">
        <v>93184</v>
      </c>
      <c r="C57" s="63" t="s">
        <v>14</v>
      </c>
      <c r="D57" s="59" t="s">
        <v>45</v>
      </c>
      <c r="E57" s="63" t="s">
        <v>19</v>
      </c>
      <c r="F57" s="65">
        <f>MC!H240</f>
        <v>6</v>
      </c>
      <c r="G57" s="181">
        <f>K57</f>
        <v>29.34</v>
      </c>
      <c r="H57" s="66">
        <f t="shared" si="11"/>
        <v>34.979999999999997</v>
      </c>
      <c r="I57" s="66">
        <f t="shared" si="13"/>
        <v>209.88</v>
      </c>
      <c r="K57" s="188">
        <v>29.34</v>
      </c>
      <c r="L57" s="188">
        <v>28.71</v>
      </c>
    </row>
    <row r="58" spans="1:12" ht="27.75" customHeight="1" x14ac:dyDescent="0.2">
      <c r="A58" s="63" t="s">
        <v>291</v>
      </c>
      <c r="B58" s="177">
        <v>93194</v>
      </c>
      <c r="C58" s="63" t="s">
        <v>14</v>
      </c>
      <c r="D58" s="59" t="s">
        <v>46</v>
      </c>
      <c r="E58" s="63" t="s">
        <v>19</v>
      </c>
      <c r="F58" s="65">
        <f>MC!H245</f>
        <v>2.4</v>
      </c>
      <c r="G58" s="181">
        <f>K58</f>
        <v>28.56</v>
      </c>
      <c r="H58" s="66">
        <f t="shared" si="11"/>
        <v>34.049999999999997</v>
      </c>
      <c r="I58" s="66">
        <f t="shared" si="13"/>
        <v>81.72</v>
      </c>
      <c r="K58" s="188">
        <v>28.56</v>
      </c>
      <c r="L58" s="188">
        <v>27.95</v>
      </c>
    </row>
    <row r="59" spans="1:12" ht="24" customHeight="1" x14ac:dyDescent="0.2">
      <c r="A59" s="87" t="s">
        <v>402</v>
      </c>
      <c r="B59" s="78"/>
      <c r="C59" s="78"/>
      <c r="D59" s="79" t="s">
        <v>562</v>
      </c>
      <c r="E59" s="78"/>
      <c r="F59" s="80"/>
      <c r="G59" s="182"/>
      <c r="H59" s="78"/>
      <c r="I59" s="81">
        <f>I60+I63</f>
        <v>14884.899999999998</v>
      </c>
      <c r="K59" s="188"/>
      <c r="L59" s="188"/>
    </row>
    <row r="60" spans="1:12" ht="24" customHeight="1" x14ac:dyDescent="0.2">
      <c r="A60" s="82" t="s">
        <v>811</v>
      </c>
      <c r="B60" s="83"/>
      <c r="C60" s="83"/>
      <c r="D60" s="84" t="s">
        <v>117</v>
      </c>
      <c r="E60" s="83"/>
      <c r="F60" s="85"/>
      <c r="G60" s="183"/>
      <c r="H60" s="83"/>
      <c r="I60" s="86">
        <f>SUM(I61:I62)</f>
        <v>3950.37</v>
      </c>
      <c r="K60" s="192"/>
      <c r="L60" s="192"/>
    </row>
    <row r="61" spans="1:12" ht="41.25" customHeight="1" x14ac:dyDescent="0.2">
      <c r="A61" s="63" t="s">
        <v>812</v>
      </c>
      <c r="B61" s="177">
        <v>87879</v>
      </c>
      <c r="C61" s="63" t="s">
        <v>14</v>
      </c>
      <c r="D61" s="59" t="s">
        <v>47</v>
      </c>
      <c r="E61" s="63" t="s">
        <v>458</v>
      </c>
      <c r="F61" s="65">
        <f>MC!H261</f>
        <v>97.3</v>
      </c>
      <c r="G61" s="181">
        <f>K61</f>
        <v>4.58</v>
      </c>
      <c r="H61" s="66">
        <f t="shared" si="11"/>
        <v>5.46</v>
      </c>
      <c r="I61" s="66">
        <f t="shared" si="13"/>
        <v>531.25</v>
      </c>
      <c r="K61" s="188">
        <v>4.58</v>
      </c>
      <c r="L61" s="188">
        <v>4.33</v>
      </c>
    </row>
    <row r="62" spans="1:12" ht="54.6" customHeight="1" x14ac:dyDescent="0.2">
      <c r="A62" s="63" t="s">
        <v>813</v>
      </c>
      <c r="B62" s="177">
        <v>87547</v>
      </c>
      <c r="C62" s="63" t="s">
        <v>14</v>
      </c>
      <c r="D62" s="59" t="s">
        <v>809</v>
      </c>
      <c r="E62" s="63" t="s">
        <v>458</v>
      </c>
      <c r="F62" s="65">
        <f>MC!H266</f>
        <v>97.3</v>
      </c>
      <c r="G62" s="181">
        <f>K62</f>
        <v>29.48</v>
      </c>
      <c r="H62" s="66">
        <f t="shared" ref="H62" si="15">ROUND(G62*1.1921,2)</f>
        <v>35.14</v>
      </c>
      <c r="I62" s="66">
        <f t="shared" ref="I62" si="16">TRUNC(H62*F62,2)</f>
        <v>3419.12</v>
      </c>
      <c r="K62" s="188">
        <v>29.48</v>
      </c>
      <c r="L62" s="188">
        <v>28.04</v>
      </c>
    </row>
    <row r="63" spans="1:12" ht="24" customHeight="1" x14ac:dyDescent="0.2">
      <c r="A63" s="82" t="s">
        <v>814</v>
      </c>
      <c r="B63" s="83"/>
      <c r="C63" s="83"/>
      <c r="D63" s="84" t="s">
        <v>131</v>
      </c>
      <c r="E63" s="83"/>
      <c r="F63" s="85"/>
      <c r="G63" s="183"/>
      <c r="H63" s="83"/>
      <c r="I63" s="86">
        <f>SUM(I64:I65)</f>
        <v>10934.529999999999</v>
      </c>
      <c r="K63" s="192"/>
      <c r="L63" s="192"/>
    </row>
    <row r="64" spans="1:12" ht="54" customHeight="1" x14ac:dyDescent="0.2">
      <c r="A64" s="63" t="s">
        <v>815</v>
      </c>
      <c r="B64" s="177">
        <v>87905</v>
      </c>
      <c r="C64" s="63" t="s">
        <v>14</v>
      </c>
      <c r="D64" s="59" t="s">
        <v>808</v>
      </c>
      <c r="E64" s="63" t="s">
        <v>458</v>
      </c>
      <c r="F64" s="65">
        <f>MC!H278</f>
        <v>123.61000000000001</v>
      </c>
      <c r="G64" s="181">
        <f>K64</f>
        <v>8.4600000000000009</v>
      </c>
      <c r="H64" s="66">
        <f t="shared" ref="H64" si="17">ROUND(G64*1.1921,2)</f>
        <v>10.09</v>
      </c>
      <c r="I64" s="66">
        <f t="shared" ref="I64" si="18">TRUNC(H64*F64,2)</f>
        <v>1247.22</v>
      </c>
      <c r="K64" s="188">
        <v>8.4600000000000009</v>
      </c>
      <c r="L64" s="188">
        <v>7.9</v>
      </c>
    </row>
    <row r="65" spans="1:12" ht="54.6" customHeight="1" x14ac:dyDescent="0.2">
      <c r="A65" s="63" t="s">
        <v>816</v>
      </c>
      <c r="B65" s="177">
        <v>87777</v>
      </c>
      <c r="C65" s="63" t="s">
        <v>14</v>
      </c>
      <c r="D65" s="59" t="s">
        <v>810</v>
      </c>
      <c r="E65" s="63" t="s">
        <v>458</v>
      </c>
      <c r="F65" s="65">
        <f>MC!H283</f>
        <v>123.61</v>
      </c>
      <c r="G65" s="181">
        <f>K65</f>
        <v>65.739999999999995</v>
      </c>
      <c r="H65" s="66">
        <f t="shared" ref="H65" si="19">ROUND(G65*1.1921,2)</f>
        <v>78.37</v>
      </c>
      <c r="I65" s="66">
        <f t="shared" ref="I65" si="20">TRUNC(H65*F65,2)</f>
        <v>9687.31</v>
      </c>
      <c r="K65" s="188">
        <v>65.739999999999995</v>
      </c>
      <c r="L65" s="188">
        <v>62.22</v>
      </c>
    </row>
    <row r="66" spans="1:12" ht="24" customHeight="1" x14ac:dyDescent="0.2">
      <c r="A66" s="87" t="s">
        <v>403</v>
      </c>
      <c r="B66" s="78"/>
      <c r="C66" s="78"/>
      <c r="D66" s="79" t="s">
        <v>48</v>
      </c>
      <c r="E66" s="78"/>
      <c r="F66" s="80"/>
      <c r="G66" s="182"/>
      <c r="H66" s="78"/>
      <c r="I66" s="81">
        <f>SUM(I67,I73,I76)</f>
        <v>204228.87999999998</v>
      </c>
      <c r="K66" s="188"/>
      <c r="L66" s="188"/>
    </row>
    <row r="67" spans="1:12" ht="24" customHeight="1" x14ac:dyDescent="0.2">
      <c r="A67" s="82" t="s">
        <v>49</v>
      </c>
      <c r="B67" s="83"/>
      <c r="C67" s="83"/>
      <c r="D67" s="84" t="s">
        <v>50</v>
      </c>
      <c r="E67" s="83"/>
      <c r="F67" s="85"/>
      <c r="G67" s="183"/>
      <c r="H67" s="83"/>
      <c r="I67" s="86">
        <f>SUM(I68:I72)</f>
        <v>161739.06</v>
      </c>
      <c r="K67" s="192"/>
      <c r="L67" s="192"/>
    </row>
    <row r="68" spans="1:12" ht="39" customHeight="1" x14ac:dyDescent="0.2">
      <c r="A68" s="63" t="s">
        <v>51</v>
      </c>
      <c r="B68" s="177">
        <v>97083</v>
      </c>
      <c r="C68" s="63" t="s">
        <v>14</v>
      </c>
      <c r="D68" s="60" t="s">
        <v>52</v>
      </c>
      <c r="E68" s="63" t="s">
        <v>458</v>
      </c>
      <c r="F68" s="68">
        <f>MC!H290</f>
        <v>564</v>
      </c>
      <c r="G68" s="184">
        <f>K68</f>
        <v>3.67</v>
      </c>
      <c r="H68" s="66">
        <f t="shared" ref="H68:H85" si="21">ROUND(G68*1.1921,2)</f>
        <v>4.38</v>
      </c>
      <c r="I68" s="69">
        <f t="shared" ref="I68:I85" si="22">TRUNC(H68*F68,2)</f>
        <v>2470.3200000000002</v>
      </c>
      <c r="K68" s="209">
        <v>3.67</v>
      </c>
      <c r="L68" s="209">
        <v>3.4</v>
      </c>
    </row>
    <row r="69" spans="1:12" ht="27.75" customHeight="1" x14ac:dyDescent="0.2">
      <c r="A69" s="63" t="s">
        <v>53</v>
      </c>
      <c r="B69" s="177">
        <v>96620</v>
      </c>
      <c r="C69" s="63" t="s">
        <v>14</v>
      </c>
      <c r="D69" s="60" t="s">
        <v>54</v>
      </c>
      <c r="E69" s="63" t="s">
        <v>455</v>
      </c>
      <c r="F69" s="65">
        <f>MC!H295</f>
        <v>56.4</v>
      </c>
      <c r="G69" s="184">
        <f>K69</f>
        <v>753.54</v>
      </c>
      <c r="H69" s="66">
        <f t="shared" si="21"/>
        <v>898.3</v>
      </c>
      <c r="I69" s="69">
        <f t="shared" si="22"/>
        <v>50664.12</v>
      </c>
      <c r="K69" s="188">
        <v>753.54</v>
      </c>
      <c r="L69" s="188">
        <v>729.29</v>
      </c>
    </row>
    <row r="70" spans="1:12" ht="27" customHeight="1" x14ac:dyDescent="0.2">
      <c r="A70" s="63" t="s">
        <v>55</v>
      </c>
      <c r="B70" s="177">
        <v>103913</v>
      </c>
      <c r="C70" s="63" t="s">
        <v>14</v>
      </c>
      <c r="D70" s="60" t="s">
        <v>56</v>
      </c>
      <c r="E70" s="63" t="s">
        <v>458</v>
      </c>
      <c r="F70" s="68">
        <f>MC!H300</f>
        <v>564</v>
      </c>
      <c r="G70" s="184">
        <f>K70</f>
        <v>120.31</v>
      </c>
      <c r="H70" s="66">
        <f t="shared" si="21"/>
        <v>143.41999999999999</v>
      </c>
      <c r="I70" s="236">
        <f t="shared" si="22"/>
        <v>80888.88</v>
      </c>
      <c r="K70" s="188">
        <v>120.31</v>
      </c>
      <c r="L70" s="188">
        <v>119.2</v>
      </c>
    </row>
    <row r="71" spans="1:12" ht="27.75" customHeight="1" x14ac:dyDescent="0.2">
      <c r="A71" s="63" t="s">
        <v>57</v>
      </c>
      <c r="B71" s="177">
        <v>97097</v>
      </c>
      <c r="C71" s="63" t="s">
        <v>14</v>
      </c>
      <c r="D71" s="60" t="s">
        <v>58</v>
      </c>
      <c r="E71" s="63" t="s">
        <v>458</v>
      </c>
      <c r="F71" s="68">
        <f>MC!H305</f>
        <v>564</v>
      </c>
      <c r="G71" s="184">
        <f>K71</f>
        <v>40.89</v>
      </c>
      <c r="H71" s="66">
        <f t="shared" si="21"/>
        <v>48.74</v>
      </c>
      <c r="I71" s="69">
        <f t="shared" si="22"/>
        <v>27489.360000000001</v>
      </c>
      <c r="K71" s="188">
        <v>40.89</v>
      </c>
      <c r="L71" s="188">
        <v>40.68</v>
      </c>
    </row>
    <row r="72" spans="1:12" ht="26.1" customHeight="1" x14ac:dyDescent="0.2">
      <c r="A72" s="63" t="s">
        <v>59</v>
      </c>
      <c r="B72" s="177">
        <v>3671</v>
      </c>
      <c r="C72" s="63" t="s">
        <v>395</v>
      </c>
      <c r="D72" s="60" t="s">
        <v>60</v>
      </c>
      <c r="E72" s="63" t="s">
        <v>19</v>
      </c>
      <c r="F72" s="70">
        <f>MC!H311</f>
        <v>154</v>
      </c>
      <c r="G72" s="184">
        <f>K72</f>
        <v>1.33</v>
      </c>
      <c r="H72" s="66">
        <f>ROUND(G72*1.1089,2)</f>
        <v>1.47</v>
      </c>
      <c r="I72" s="71">
        <f t="shared" si="22"/>
        <v>226.38</v>
      </c>
      <c r="K72" s="188">
        <v>1.33</v>
      </c>
      <c r="L72" s="188">
        <v>1.33</v>
      </c>
    </row>
    <row r="73" spans="1:12" ht="24" customHeight="1" x14ac:dyDescent="0.2">
      <c r="A73" s="82" t="s">
        <v>61</v>
      </c>
      <c r="B73" s="83"/>
      <c r="C73" s="83"/>
      <c r="D73" s="84" t="s">
        <v>62</v>
      </c>
      <c r="E73" s="83"/>
      <c r="F73" s="85"/>
      <c r="G73" s="183"/>
      <c r="H73" s="83"/>
      <c r="I73" s="88">
        <f>SUM(I74:I75)</f>
        <v>3056.02</v>
      </c>
      <c r="K73" s="192"/>
      <c r="L73" s="192"/>
    </row>
    <row r="74" spans="1:12" ht="28.15" customHeight="1" x14ac:dyDescent="0.2">
      <c r="A74" s="63" t="s">
        <v>63</v>
      </c>
      <c r="B74" s="177">
        <v>96620</v>
      </c>
      <c r="C74" s="63" t="s">
        <v>14</v>
      </c>
      <c r="D74" s="60" t="s">
        <v>54</v>
      </c>
      <c r="E74" s="63" t="s">
        <v>455</v>
      </c>
      <c r="F74" s="68">
        <f>MC!H320</f>
        <v>1.4</v>
      </c>
      <c r="G74" s="184">
        <f>K74</f>
        <v>753.54</v>
      </c>
      <c r="H74" s="66">
        <f t="shared" si="21"/>
        <v>898.3</v>
      </c>
      <c r="I74" s="69">
        <f t="shared" si="22"/>
        <v>1257.6199999999999</v>
      </c>
      <c r="K74" s="188">
        <v>753.54</v>
      </c>
      <c r="L74" s="188">
        <v>729.29</v>
      </c>
    </row>
    <row r="75" spans="1:12" ht="52.9" customHeight="1" x14ac:dyDescent="0.2">
      <c r="A75" s="63" t="s">
        <v>64</v>
      </c>
      <c r="B75" s="177">
        <v>87745</v>
      </c>
      <c r="C75" s="63" t="s">
        <v>14</v>
      </c>
      <c r="D75" s="60" t="s">
        <v>65</v>
      </c>
      <c r="E75" s="63" t="s">
        <v>458</v>
      </c>
      <c r="F75" s="68">
        <f>MC!H328</f>
        <v>28.03</v>
      </c>
      <c r="G75" s="184">
        <f>K75</f>
        <v>53.82</v>
      </c>
      <c r="H75" s="66">
        <f t="shared" si="21"/>
        <v>64.16</v>
      </c>
      <c r="I75" s="69">
        <f t="shared" si="22"/>
        <v>1798.4</v>
      </c>
      <c r="K75" s="188">
        <v>53.82</v>
      </c>
      <c r="L75" s="188">
        <v>51.58</v>
      </c>
    </row>
    <row r="76" spans="1:12" ht="24" customHeight="1" x14ac:dyDescent="0.2">
      <c r="A76" s="82" t="s">
        <v>66</v>
      </c>
      <c r="B76" s="83"/>
      <c r="C76" s="83"/>
      <c r="D76" s="84" t="s">
        <v>67</v>
      </c>
      <c r="E76" s="83"/>
      <c r="F76" s="85"/>
      <c r="G76" s="183"/>
      <c r="H76" s="83"/>
      <c r="I76" s="86">
        <f>SUM(I77:I80)</f>
        <v>39433.799999999996</v>
      </c>
      <c r="K76" s="188"/>
      <c r="L76" s="188"/>
    </row>
    <row r="77" spans="1:12" ht="27.75" customHeight="1" x14ac:dyDescent="0.2">
      <c r="A77" s="63" t="s">
        <v>669</v>
      </c>
      <c r="B77" s="177">
        <v>96620</v>
      </c>
      <c r="C77" s="63" t="s">
        <v>14</v>
      </c>
      <c r="D77" s="60" t="s">
        <v>54</v>
      </c>
      <c r="E77" s="63" t="s">
        <v>455</v>
      </c>
      <c r="F77" s="65">
        <f>MC!H334</f>
        <v>8.8800000000000008</v>
      </c>
      <c r="G77" s="184">
        <f>K77</f>
        <v>753.54</v>
      </c>
      <c r="H77" s="66">
        <f t="shared" si="21"/>
        <v>898.3</v>
      </c>
      <c r="I77" s="69">
        <f t="shared" ref="I77" si="23">TRUNC(H77*F77,2)</f>
        <v>7976.9</v>
      </c>
      <c r="K77" s="188">
        <v>753.54</v>
      </c>
      <c r="L77" s="188">
        <v>729.29</v>
      </c>
    </row>
    <row r="78" spans="1:12" ht="39.75" customHeight="1" x14ac:dyDescent="0.2">
      <c r="A78" s="63" t="s">
        <v>670</v>
      </c>
      <c r="B78" s="177">
        <v>94994</v>
      </c>
      <c r="C78" s="63" t="s">
        <v>14</v>
      </c>
      <c r="D78" s="60" t="s">
        <v>68</v>
      </c>
      <c r="E78" s="63" t="s">
        <v>458</v>
      </c>
      <c r="F78" s="68">
        <f>MC!H339</f>
        <v>177.6</v>
      </c>
      <c r="G78" s="184">
        <f>K78</f>
        <v>95.31</v>
      </c>
      <c r="H78" s="66">
        <f t="shared" si="21"/>
        <v>113.62</v>
      </c>
      <c r="I78" s="69">
        <f t="shared" si="22"/>
        <v>20178.91</v>
      </c>
      <c r="K78" s="188">
        <v>95.31</v>
      </c>
      <c r="L78" s="188">
        <v>93.23</v>
      </c>
    </row>
    <row r="79" spans="1:12" ht="41.25" customHeight="1" x14ac:dyDescent="0.2">
      <c r="A79" s="63" t="s">
        <v>671</v>
      </c>
      <c r="B79" s="177">
        <v>92396</v>
      </c>
      <c r="C79" s="63" t="s">
        <v>14</v>
      </c>
      <c r="D79" s="160" t="s">
        <v>574</v>
      </c>
      <c r="E79" s="63" t="s">
        <v>458</v>
      </c>
      <c r="F79" s="68">
        <f>MC!H344</f>
        <v>91.82</v>
      </c>
      <c r="G79" s="184">
        <f>K79</f>
        <v>83.63</v>
      </c>
      <c r="H79" s="66">
        <f t="shared" si="21"/>
        <v>99.7</v>
      </c>
      <c r="I79" s="69">
        <f t="shared" ref="I79" si="24">ROUND(H79*F79,2)</f>
        <v>9154.4500000000007</v>
      </c>
      <c r="K79" s="188">
        <v>83.63</v>
      </c>
      <c r="L79" s="188">
        <v>82.07</v>
      </c>
    </row>
    <row r="80" spans="1:12" ht="38.25" x14ac:dyDescent="0.2">
      <c r="A80" s="63" t="s">
        <v>801</v>
      </c>
      <c r="B80" s="63">
        <v>96624</v>
      </c>
      <c r="C80" s="63" t="s">
        <v>14</v>
      </c>
      <c r="D80" s="160" t="s">
        <v>800</v>
      </c>
      <c r="E80" s="63" t="s">
        <v>455</v>
      </c>
      <c r="F80" s="68">
        <f>MC!H349</f>
        <v>10.16</v>
      </c>
      <c r="G80" s="184">
        <v>175.33</v>
      </c>
      <c r="H80" s="66">
        <f t="shared" si="21"/>
        <v>209.01</v>
      </c>
      <c r="I80" s="69">
        <f t="shared" ref="I80" si="25">TRUNC(H80*F80,2)</f>
        <v>2123.54</v>
      </c>
      <c r="J80" s="19"/>
      <c r="K80" s="210">
        <v>183.1</v>
      </c>
      <c r="L80" s="209">
        <v>178.11</v>
      </c>
    </row>
    <row r="81" spans="1:12" ht="24" customHeight="1" x14ac:dyDescent="0.2">
      <c r="A81" s="87" t="s">
        <v>404</v>
      </c>
      <c r="B81" s="78"/>
      <c r="C81" s="78"/>
      <c r="D81" s="79" t="s">
        <v>69</v>
      </c>
      <c r="E81" s="78"/>
      <c r="F81" s="80"/>
      <c r="G81" s="182"/>
      <c r="H81" s="78"/>
      <c r="I81" s="81">
        <f>SUM(I82:I85)</f>
        <v>4278.2700000000004</v>
      </c>
      <c r="K81" s="188"/>
      <c r="L81" s="188"/>
    </row>
    <row r="82" spans="1:12" ht="54" customHeight="1" x14ac:dyDescent="0.2">
      <c r="A82" s="63" t="s">
        <v>70</v>
      </c>
      <c r="B82" s="177">
        <v>92580</v>
      </c>
      <c r="C82" s="63" t="s">
        <v>14</v>
      </c>
      <c r="D82" s="59" t="s">
        <v>71</v>
      </c>
      <c r="E82" s="63" t="s">
        <v>458</v>
      </c>
      <c r="F82" s="65">
        <f>MC!H355</f>
        <v>16.03</v>
      </c>
      <c r="G82" s="181">
        <f>K82</f>
        <v>47.11</v>
      </c>
      <c r="H82" s="66">
        <f t="shared" si="21"/>
        <v>56.16</v>
      </c>
      <c r="I82" s="66">
        <f t="shared" si="22"/>
        <v>900.24</v>
      </c>
      <c r="K82" s="188">
        <v>47.11</v>
      </c>
      <c r="L82" s="188">
        <v>46.51</v>
      </c>
    </row>
    <row r="83" spans="1:12" ht="27" customHeight="1" x14ac:dyDescent="0.2">
      <c r="A83" s="63" t="s">
        <v>72</v>
      </c>
      <c r="B83" s="177">
        <v>284</v>
      </c>
      <c r="C83" s="63" t="s">
        <v>21</v>
      </c>
      <c r="D83" s="59" t="s">
        <v>420</v>
      </c>
      <c r="E83" s="63" t="s">
        <v>458</v>
      </c>
      <c r="F83" s="65">
        <f>MC!H360</f>
        <v>16.03</v>
      </c>
      <c r="G83" s="181">
        <f>K83</f>
        <v>117.46</v>
      </c>
      <c r="H83" s="66">
        <f t="shared" si="21"/>
        <v>140.02000000000001</v>
      </c>
      <c r="I83" s="66">
        <f t="shared" si="22"/>
        <v>2244.52</v>
      </c>
      <c r="K83" s="209">
        <v>117.46</v>
      </c>
      <c r="L83" s="209">
        <v>117.46</v>
      </c>
    </row>
    <row r="84" spans="1:12" ht="27" customHeight="1" x14ac:dyDescent="0.2">
      <c r="A84" s="63" t="s">
        <v>73</v>
      </c>
      <c r="B84" s="177">
        <v>94231</v>
      </c>
      <c r="C84" s="63" t="s">
        <v>14</v>
      </c>
      <c r="D84" s="59" t="s">
        <v>95</v>
      </c>
      <c r="E84" s="63" t="s">
        <v>19</v>
      </c>
      <c r="F84" s="65">
        <f>MC!H365</f>
        <v>10.95</v>
      </c>
      <c r="G84" s="181">
        <f>K84</f>
        <v>46.95</v>
      </c>
      <c r="H84" s="66">
        <f t="shared" si="21"/>
        <v>55.97</v>
      </c>
      <c r="I84" s="66">
        <f t="shared" si="22"/>
        <v>612.87</v>
      </c>
      <c r="K84" s="188">
        <v>46.95</v>
      </c>
      <c r="L84" s="188">
        <v>46.24</v>
      </c>
    </row>
    <row r="85" spans="1:12" ht="41.45" customHeight="1" x14ac:dyDescent="0.2">
      <c r="A85" s="63" t="s">
        <v>74</v>
      </c>
      <c r="B85" s="177">
        <v>94228</v>
      </c>
      <c r="C85" s="63" t="s">
        <v>14</v>
      </c>
      <c r="D85" s="59" t="s">
        <v>75</v>
      </c>
      <c r="E85" s="63" t="s">
        <v>19</v>
      </c>
      <c r="F85" s="65">
        <f>MC!H370</f>
        <v>5.65</v>
      </c>
      <c r="G85" s="181">
        <f>K85</f>
        <v>77.3</v>
      </c>
      <c r="H85" s="66">
        <f t="shared" si="21"/>
        <v>92.15</v>
      </c>
      <c r="I85" s="66">
        <f t="shared" si="22"/>
        <v>520.64</v>
      </c>
      <c r="K85" s="188">
        <v>77.3</v>
      </c>
      <c r="L85" s="188">
        <v>75.91</v>
      </c>
    </row>
    <row r="86" spans="1:12" ht="24" customHeight="1" x14ac:dyDescent="0.2">
      <c r="A86" s="87" t="s">
        <v>405</v>
      </c>
      <c r="B86" s="78"/>
      <c r="C86" s="78"/>
      <c r="D86" s="79" t="s">
        <v>76</v>
      </c>
      <c r="E86" s="78"/>
      <c r="F86" s="80"/>
      <c r="G86" s="182"/>
      <c r="H86" s="78"/>
      <c r="I86" s="81">
        <f>SUM(I87,I97,I99,I102,I105)</f>
        <v>716866.6</v>
      </c>
      <c r="K86" s="188"/>
      <c r="L86" s="188"/>
    </row>
    <row r="87" spans="1:12" ht="24" customHeight="1" x14ac:dyDescent="0.2">
      <c r="A87" s="82" t="s">
        <v>77</v>
      </c>
      <c r="B87" s="83"/>
      <c r="C87" s="83"/>
      <c r="D87" s="84" t="s">
        <v>78</v>
      </c>
      <c r="E87" s="83"/>
      <c r="F87" s="85"/>
      <c r="G87" s="183"/>
      <c r="H87" s="83"/>
      <c r="I87" s="86">
        <f>SUM(I88:I96)</f>
        <v>60148.439999999995</v>
      </c>
      <c r="K87" s="188"/>
      <c r="L87" s="188"/>
    </row>
    <row r="88" spans="1:12" ht="26.1" customHeight="1" x14ac:dyDescent="0.2">
      <c r="A88" s="63" t="s">
        <v>285</v>
      </c>
      <c r="B88" s="177">
        <v>93358</v>
      </c>
      <c r="C88" s="63" t="s">
        <v>14</v>
      </c>
      <c r="D88" s="59" t="s">
        <v>622</v>
      </c>
      <c r="E88" s="63" t="s">
        <v>455</v>
      </c>
      <c r="F88" s="65">
        <f>MC!H380</f>
        <v>45.959999999999994</v>
      </c>
      <c r="G88" s="181">
        <f t="shared" ref="G88:G96" si="26">K88</f>
        <v>95.25</v>
      </c>
      <c r="H88" s="66">
        <f t="shared" ref="H88:H106" si="27">ROUND(G88*1.1921,2)</f>
        <v>113.55</v>
      </c>
      <c r="I88" s="66">
        <f t="shared" ref="I88:I104" si="28">TRUNC(H88*F88,2)</f>
        <v>5218.75</v>
      </c>
      <c r="K88" s="209">
        <v>95.25</v>
      </c>
      <c r="L88" s="209">
        <v>88.05</v>
      </c>
    </row>
    <row r="89" spans="1:12" ht="27" customHeight="1" x14ac:dyDescent="0.2">
      <c r="A89" s="63" t="s">
        <v>272</v>
      </c>
      <c r="B89" s="177">
        <v>101616</v>
      </c>
      <c r="C89" s="63" t="s">
        <v>14</v>
      </c>
      <c r="D89" s="59" t="s">
        <v>25</v>
      </c>
      <c r="E89" s="63" t="s">
        <v>458</v>
      </c>
      <c r="F89" s="65">
        <f>MC!H388</f>
        <v>111.11999999999999</v>
      </c>
      <c r="G89" s="181">
        <f t="shared" si="26"/>
        <v>6.93</v>
      </c>
      <c r="H89" s="66">
        <f t="shared" si="27"/>
        <v>8.26</v>
      </c>
      <c r="I89" s="66">
        <f t="shared" si="28"/>
        <v>917.85</v>
      </c>
      <c r="K89" s="188">
        <v>6.93</v>
      </c>
      <c r="L89" s="188">
        <v>6.38</v>
      </c>
    </row>
    <row r="90" spans="1:12" ht="28.5" customHeight="1" x14ac:dyDescent="0.2">
      <c r="A90" s="63" t="s">
        <v>273</v>
      </c>
      <c r="B90" s="177">
        <v>96619</v>
      </c>
      <c r="C90" s="63" t="s">
        <v>14</v>
      </c>
      <c r="D90" s="59" t="s">
        <v>26</v>
      </c>
      <c r="E90" s="63" t="s">
        <v>458</v>
      </c>
      <c r="F90" s="65">
        <f>MC!H393</f>
        <v>111.12</v>
      </c>
      <c r="G90" s="181">
        <f t="shared" si="26"/>
        <v>40.94</v>
      </c>
      <c r="H90" s="66">
        <f t="shared" si="27"/>
        <v>48.8</v>
      </c>
      <c r="I90" s="66">
        <f t="shared" si="28"/>
        <v>5422.65</v>
      </c>
      <c r="K90" s="188">
        <v>40.94</v>
      </c>
      <c r="L90" s="188">
        <v>39.47</v>
      </c>
    </row>
    <row r="91" spans="1:12" ht="40.9" customHeight="1" x14ac:dyDescent="0.2">
      <c r="A91" s="63" t="s">
        <v>274</v>
      </c>
      <c r="B91" s="63">
        <v>96535</v>
      </c>
      <c r="C91" s="63" t="s">
        <v>14</v>
      </c>
      <c r="D91" s="59" t="s">
        <v>632</v>
      </c>
      <c r="E91" s="63" t="s">
        <v>458</v>
      </c>
      <c r="F91" s="65">
        <f>MC!H401</f>
        <v>67.400000000000006</v>
      </c>
      <c r="G91" s="181">
        <f t="shared" si="26"/>
        <v>143.34</v>
      </c>
      <c r="H91" s="66">
        <f t="shared" si="27"/>
        <v>170.88</v>
      </c>
      <c r="I91" s="66">
        <f t="shared" ref="I91:I94" si="29">ROUND(H91*F91,2)</f>
        <v>11517.31</v>
      </c>
      <c r="J91" s="199"/>
      <c r="K91" s="187">
        <v>143.34</v>
      </c>
      <c r="L91" s="188">
        <v>134.78</v>
      </c>
    </row>
    <row r="92" spans="1:12" ht="40.9" customHeight="1" x14ac:dyDescent="0.2">
      <c r="A92" s="63" t="s">
        <v>275</v>
      </c>
      <c r="B92" s="63">
        <v>104919</v>
      </c>
      <c r="C92" s="63" t="s">
        <v>14</v>
      </c>
      <c r="D92" s="59" t="s">
        <v>633</v>
      </c>
      <c r="E92" s="63" t="s">
        <v>79</v>
      </c>
      <c r="F92" s="65">
        <f>MC!H406</f>
        <v>201</v>
      </c>
      <c r="G92" s="181">
        <f t="shared" si="26"/>
        <v>12.91</v>
      </c>
      <c r="H92" s="66">
        <f t="shared" si="27"/>
        <v>15.39</v>
      </c>
      <c r="I92" s="66">
        <f t="shared" si="29"/>
        <v>3093.39</v>
      </c>
      <c r="J92" s="199"/>
      <c r="K92" s="187">
        <v>12.91</v>
      </c>
      <c r="L92" s="188">
        <v>12.62</v>
      </c>
    </row>
    <row r="93" spans="1:12" ht="40.9" customHeight="1" x14ac:dyDescent="0.2">
      <c r="A93" s="63" t="s">
        <v>699</v>
      </c>
      <c r="B93" s="63">
        <v>104920</v>
      </c>
      <c r="C93" s="63" t="s">
        <v>14</v>
      </c>
      <c r="D93" s="59" t="s">
        <v>714</v>
      </c>
      <c r="E93" s="63" t="s">
        <v>79</v>
      </c>
      <c r="F93" s="65">
        <f>MC!H411</f>
        <v>753</v>
      </c>
      <c r="G93" s="181">
        <f t="shared" si="26"/>
        <v>10.91</v>
      </c>
      <c r="H93" s="66">
        <f t="shared" si="27"/>
        <v>13.01</v>
      </c>
      <c r="I93" s="66">
        <f t="shared" ref="I93" si="30">ROUND(H93*F93,2)</f>
        <v>9796.5300000000007</v>
      </c>
      <c r="J93" s="199"/>
      <c r="K93" s="187">
        <v>10.91</v>
      </c>
      <c r="L93" s="188">
        <v>10.69</v>
      </c>
    </row>
    <row r="94" spans="1:12" ht="27.6" customHeight="1" x14ac:dyDescent="0.2">
      <c r="A94" s="63" t="s">
        <v>700</v>
      </c>
      <c r="B94" s="63">
        <v>104916</v>
      </c>
      <c r="C94" s="63" t="s">
        <v>14</v>
      </c>
      <c r="D94" s="59" t="s">
        <v>634</v>
      </c>
      <c r="E94" s="63" t="s">
        <v>79</v>
      </c>
      <c r="F94" s="65">
        <f>MC!H416</f>
        <v>48</v>
      </c>
      <c r="G94" s="181">
        <f t="shared" si="26"/>
        <v>17.23</v>
      </c>
      <c r="H94" s="66">
        <f t="shared" si="27"/>
        <v>20.54</v>
      </c>
      <c r="I94" s="66">
        <f t="shared" si="29"/>
        <v>985.92</v>
      </c>
      <c r="J94" s="199"/>
      <c r="K94" s="187">
        <v>17.23</v>
      </c>
      <c r="L94" s="188">
        <v>16.559999999999999</v>
      </c>
    </row>
    <row r="95" spans="1:12" ht="28.15" customHeight="1" x14ac:dyDescent="0.2">
      <c r="A95" s="63" t="s">
        <v>701</v>
      </c>
      <c r="B95" s="63">
        <v>96558</v>
      </c>
      <c r="C95" s="63" t="s">
        <v>14</v>
      </c>
      <c r="D95" s="59" t="s">
        <v>635</v>
      </c>
      <c r="E95" s="63" t="s">
        <v>455</v>
      </c>
      <c r="F95" s="65">
        <f>MC!H424</f>
        <v>25.799999999999997</v>
      </c>
      <c r="G95" s="181">
        <f t="shared" si="26"/>
        <v>740.63</v>
      </c>
      <c r="H95" s="66">
        <f t="shared" si="27"/>
        <v>882.91</v>
      </c>
      <c r="I95" s="66">
        <f t="shared" si="28"/>
        <v>22779.07</v>
      </c>
      <c r="K95" s="209">
        <v>740.63</v>
      </c>
      <c r="L95" s="209">
        <v>737.6</v>
      </c>
    </row>
    <row r="96" spans="1:12" ht="28.15" customHeight="1" x14ac:dyDescent="0.2">
      <c r="A96" s="63" t="s">
        <v>715</v>
      </c>
      <c r="B96" s="177">
        <v>104737</v>
      </c>
      <c r="C96" s="63" t="s">
        <v>14</v>
      </c>
      <c r="D96" s="59" t="s">
        <v>27</v>
      </c>
      <c r="E96" s="63" t="s">
        <v>455</v>
      </c>
      <c r="F96" s="65">
        <f>MC!H431</f>
        <v>14.599999999999998</v>
      </c>
      <c r="G96" s="181">
        <f t="shared" si="26"/>
        <v>23.96</v>
      </c>
      <c r="H96" s="66">
        <f t="shared" si="27"/>
        <v>28.56</v>
      </c>
      <c r="I96" s="66">
        <f t="shared" si="28"/>
        <v>416.97</v>
      </c>
      <c r="K96" s="188">
        <v>23.96</v>
      </c>
      <c r="L96" s="188">
        <v>22.34</v>
      </c>
    </row>
    <row r="97" spans="1:12" ht="24" customHeight="1" x14ac:dyDescent="0.2">
      <c r="A97" s="82" t="s">
        <v>80</v>
      </c>
      <c r="B97" s="83"/>
      <c r="C97" s="83"/>
      <c r="D97" s="84" t="s">
        <v>81</v>
      </c>
      <c r="E97" s="83"/>
      <c r="F97" s="85"/>
      <c r="G97" s="183"/>
      <c r="H97" s="83"/>
      <c r="I97" s="86">
        <f>I98</f>
        <v>375313.41</v>
      </c>
      <c r="K97" s="188"/>
      <c r="L97" s="188"/>
    </row>
    <row r="98" spans="1:12" ht="66.599999999999994" customHeight="1" x14ac:dyDescent="0.2">
      <c r="A98" s="63" t="s">
        <v>82</v>
      </c>
      <c r="B98" s="147" t="s">
        <v>361</v>
      </c>
      <c r="C98" s="63" t="s">
        <v>397</v>
      </c>
      <c r="D98" s="59" t="s">
        <v>83</v>
      </c>
      <c r="E98" s="63" t="s">
        <v>79</v>
      </c>
      <c r="F98" s="65">
        <f>MC!H437</f>
        <v>24805.91</v>
      </c>
      <c r="G98" s="181">
        <f>COMPOSIÇÕES!H70</f>
        <v>12.687714290000001</v>
      </c>
      <c r="H98" s="66">
        <f t="shared" si="27"/>
        <v>15.13</v>
      </c>
      <c r="I98" s="236">
        <f t="shared" si="28"/>
        <v>375313.41</v>
      </c>
      <c r="K98" s="192"/>
      <c r="L98" s="192"/>
    </row>
    <row r="99" spans="1:12" ht="24" customHeight="1" x14ac:dyDescent="0.2">
      <c r="A99" s="82" t="s">
        <v>84</v>
      </c>
      <c r="B99" s="83"/>
      <c r="C99" s="83"/>
      <c r="D99" s="84" t="s">
        <v>85</v>
      </c>
      <c r="E99" s="83"/>
      <c r="F99" s="85"/>
      <c r="G99" s="183"/>
      <c r="H99" s="83"/>
      <c r="I99" s="86">
        <f>SUM(I100:I101)</f>
        <v>1800.9099999999999</v>
      </c>
      <c r="K99" s="188"/>
      <c r="L99" s="188"/>
    </row>
    <row r="100" spans="1:12" ht="54" customHeight="1" x14ac:dyDescent="0.2">
      <c r="A100" s="63" t="s">
        <v>86</v>
      </c>
      <c r="B100" s="177">
        <v>92427</v>
      </c>
      <c r="C100" s="64" t="s">
        <v>14</v>
      </c>
      <c r="D100" s="59" t="s">
        <v>87</v>
      </c>
      <c r="E100" s="63" t="s">
        <v>458</v>
      </c>
      <c r="F100" s="65">
        <f>MC!H444</f>
        <v>12.8</v>
      </c>
      <c r="G100" s="181">
        <f>K100</f>
        <v>69.19</v>
      </c>
      <c r="H100" s="66">
        <f t="shared" si="27"/>
        <v>82.48</v>
      </c>
      <c r="I100" s="66">
        <f t="shared" si="28"/>
        <v>1055.74</v>
      </c>
      <c r="K100" s="188">
        <v>69.19</v>
      </c>
      <c r="L100" s="188">
        <v>66.7</v>
      </c>
    </row>
    <row r="101" spans="1:12" ht="42" customHeight="1" x14ac:dyDescent="0.2">
      <c r="A101" s="63" t="s">
        <v>88</v>
      </c>
      <c r="B101" s="177">
        <v>90278</v>
      </c>
      <c r="C101" s="64" t="s">
        <v>14</v>
      </c>
      <c r="D101" s="59" t="s">
        <v>89</v>
      </c>
      <c r="E101" s="63" t="s">
        <v>455</v>
      </c>
      <c r="F101" s="65">
        <f>MC!H449</f>
        <v>1.2</v>
      </c>
      <c r="G101" s="181">
        <f>K101</f>
        <v>520.91</v>
      </c>
      <c r="H101" s="66">
        <f t="shared" si="27"/>
        <v>620.98</v>
      </c>
      <c r="I101" s="66">
        <f t="shared" si="28"/>
        <v>745.17</v>
      </c>
      <c r="K101" s="188">
        <v>520.91</v>
      </c>
      <c r="L101" s="188">
        <v>514.07000000000005</v>
      </c>
    </row>
    <row r="102" spans="1:12" ht="24" customHeight="1" x14ac:dyDescent="0.2">
      <c r="A102" s="82" t="s">
        <v>90</v>
      </c>
      <c r="B102" s="83"/>
      <c r="C102" s="83"/>
      <c r="D102" s="84" t="s">
        <v>91</v>
      </c>
      <c r="E102" s="83"/>
      <c r="F102" s="85"/>
      <c r="G102" s="183"/>
      <c r="H102" s="83"/>
      <c r="I102" s="86">
        <f>SUM(I103:I104)</f>
        <v>217782.55</v>
      </c>
      <c r="K102" s="188"/>
      <c r="L102" s="188"/>
    </row>
    <row r="103" spans="1:12" ht="26.1" customHeight="1" x14ac:dyDescent="0.2">
      <c r="A103" s="63" t="s">
        <v>92</v>
      </c>
      <c r="B103" s="177">
        <v>284</v>
      </c>
      <c r="C103" s="64" t="s">
        <v>21</v>
      </c>
      <c r="D103" s="59" t="s">
        <v>420</v>
      </c>
      <c r="E103" s="63" t="s">
        <v>458</v>
      </c>
      <c r="F103" s="65">
        <f>MC!H456</f>
        <v>1481.6100000000001</v>
      </c>
      <c r="G103" s="181">
        <f>K103</f>
        <v>117.46</v>
      </c>
      <c r="H103" s="66">
        <f t="shared" si="27"/>
        <v>140.02000000000001</v>
      </c>
      <c r="I103" s="65">
        <f t="shared" si="28"/>
        <v>207455.03</v>
      </c>
      <c r="K103" s="188">
        <v>117.46</v>
      </c>
      <c r="L103" s="188">
        <v>117.46</v>
      </c>
    </row>
    <row r="104" spans="1:12" ht="41.25" customHeight="1" x14ac:dyDescent="0.2">
      <c r="A104" s="63" t="s">
        <v>93</v>
      </c>
      <c r="B104" s="177">
        <v>100743</v>
      </c>
      <c r="C104" s="64" t="s">
        <v>14</v>
      </c>
      <c r="D104" s="59" t="s">
        <v>94</v>
      </c>
      <c r="E104" s="63" t="s">
        <v>458</v>
      </c>
      <c r="F104" s="65">
        <f>MC!H461</f>
        <v>647.9</v>
      </c>
      <c r="G104" s="185">
        <f>K104</f>
        <v>13.37</v>
      </c>
      <c r="H104" s="66">
        <f t="shared" si="27"/>
        <v>15.94</v>
      </c>
      <c r="I104" s="65">
        <f t="shared" si="28"/>
        <v>10327.52</v>
      </c>
      <c r="J104" s="19"/>
      <c r="K104" s="209">
        <v>13.37</v>
      </c>
      <c r="L104" s="209">
        <v>13.21</v>
      </c>
    </row>
    <row r="105" spans="1:12" ht="24" customHeight="1" x14ac:dyDescent="0.2">
      <c r="A105" s="82" t="s">
        <v>473</v>
      </c>
      <c r="B105" s="83"/>
      <c r="C105" s="83"/>
      <c r="D105" s="84" t="s">
        <v>438</v>
      </c>
      <c r="E105" s="83"/>
      <c r="F105" s="85"/>
      <c r="G105" s="183"/>
      <c r="H105" s="83"/>
      <c r="I105" s="86">
        <f>SUM(I106:I106)</f>
        <v>61821.29</v>
      </c>
      <c r="K105" s="188"/>
      <c r="L105" s="188"/>
    </row>
    <row r="106" spans="1:12" ht="133.9" customHeight="1" x14ac:dyDescent="0.2">
      <c r="A106" s="63" t="s">
        <v>474</v>
      </c>
      <c r="B106" s="147" t="s">
        <v>384</v>
      </c>
      <c r="C106" s="63" t="s">
        <v>397</v>
      </c>
      <c r="D106" s="59" t="s">
        <v>439</v>
      </c>
      <c r="E106" s="63" t="s">
        <v>19</v>
      </c>
      <c r="F106" s="148">
        <f>MC!H467</f>
        <v>89.85</v>
      </c>
      <c r="G106" s="185">
        <f>COMPOSIÇÕES!H27</f>
        <v>577.17344000000003</v>
      </c>
      <c r="H106" s="66">
        <f t="shared" si="27"/>
        <v>688.05</v>
      </c>
      <c r="I106" s="65">
        <f t="shared" ref="I106" si="31">TRUNC(H106*F106,2)</f>
        <v>61821.29</v>
      </c>
      <c r="K106" s="188"/>
      <c r="L106" s="188"/>
    </row>
    <row r="107" spans="1:12" ht="24" customHeight="1" x14ac:dyDescent="0.2">
      <c r="A107" s="87" t="s">
        <v>406</v>
      </c>
      <c r="B107" s="78"/>
      <c r="C107" s="78"/>
      <c r="D107" s="79" t="s">
        <v>96</v>
      </c>
      <c r="E107" s="78"/>
      <c r="F107" s="80"/>
      <c r="G107" s="182"/>
      <c r="H107" s="78"/>
      <c r="I107" s="81">
        <f>SUM(I108,I113)</f>
        <v>12128.1</v>
      </c>
      <c r="K107" s="192"/>
      <c r="L107" s="192"/>
    </row>
    <row r="108" spans="1:12" ht="24" customHeight="1" x14ac:dyDescent="0.2">
      <c r="A108" s="82" t="s">
        <v>97</v>
      </c>
      <c r="B108" s="83"/>
      <c r="C108" s="83"/>
      <c r="D108" s="84" t="s">
        <v>98</v>
      </c>
      <c r="E108" s="83"/>
      <c r="F108" s="85"/>
      <c r="G108" s="183"/>
      <c r="H108" s="83"/>
      <c r="I108" s="86">
        <f>SUM(I109:I112)</f>
        <v>11669.29</v>
      </c>
      <c r="K108" s="188"/>
      <c r="L108" s="188"/>
    </row>
    <row r="109" spans="1:12" ht="41.45" customHeight="1" x14ac:dyDescent="0.2">
      <c r="A109" s="63" t="s">
        <v>99</v>
      </c>
      <c r="B109" s="177">
        <v>91341</v>
      </c>
      <c r="C109" s="63" t="s">
        <v>14</v>
      </c>
      <c r="D109" s="113" t="s">
        <v>432</v>
      </c>
      <c r="E109" s="63" t="s">
        <v>458</v>
      </c>
      <c r="F109" s="68">
        <f>MC!H475</f>
        <v>11.22</v>
      </c>
      <c r="G109" s="184">
        <f>K109</f>
        <v>487.92</v>
      </c>
      <c r="H109" s="66">
        <f t="shared" ref="H109:H116" si="32">ROUND(G109*1.1921,2)</f>
        <v>581.65</v>
      </c>
      <c r="I109" s="69">
        <f t="shared" ref="I109" si="33">TRUNC(H109*F109,2)</f>
        <v>6526.11</v>
      </c>
      <c r="K109" s="188">
        <v>487.92</v>
      </c>
      <c r="L109" s="188">
        <v>486.65</v>
      </c>
    </row>
    <row r="110" spans="1:12" ht="54.6" customHeight="1" x14ac:dyDescent="0.2">
      <c r="A110" s="63" t="s">
        <v>300</v>
      </c>
      <c r="B110" s="177">
        <v>90790</v>
      </c>
      <c r="C110" s="64" t="s">
        <v>14</v>
      </c>
      <c r="D110" s="60" t="s">
        <v>100</v>
      </c>
      <c r="E110" s="63" t="s">
        <v>578</v>
      </c>
      <c r="F110" s="68">
        <f>MC!H480</f>
        <v>3</v>
      </c>
      <c r="G110" s="184">
        <f>K110</f>
        <v>635.88</v>
      </c>
      <c r="H110" s="66">
        <f t="shared" si="32"/>
        <v>758.03</v>
      </c>
      <c r="I110" s="69">
        <f t="shared" ref="I110:I116" si="34">TRUNC(H110*F110,2)</f>
        <v>2274.09</v>
      </c>
      <c r="K110" s="209">
        <v>635.88</v>
      </c>
      <c r="L110" s="209">
        <v>634.1</v>
      </c>
    </row>
    <row r="111" spans="1:12" ht="54.6" customHeight="1" x14ac:dyDescent="0.2">
      <c r="A111" s="63" t="s">
        <v>301</v>
      </c>
      <c r="B111" s="177">
        <v>10891</v>
      </c>
      <c r="C111" s="63" t="s">
        <v>21</v>
      </c>
      <c r="D111" s="60" t="s">
        <v>564</v>
      </c>
      <c r="E111" s="63" t="s">
        <v>458</v>
      </c>
      <c r="F111" s="68">
        <f>MC!H485</f>
        <v>4</v>
      </c>
      <c r="G111" s="184">
        <f>K111</f>
        <v>526.75</v>
      </c>
      <c r="H111" s="66">
        <f t="shared" si="32"/>
        <v>627.94000000000005</v>
      </c>
      <c r="I111" s="69">
        <f t="shared" ref="I111" si="35">TRUNC(H111*F111,2)</f>
        <v>2511.7600000000002</v>
      </c>
      <c r="K111" s="193">
        <v>526.75</v>
      </c>
      <c r="L111" s="188">
        <v>526.75</v>
      </c>
    </row>
    <row r="112" spans="1:12" ht="41.45" customHeight="1" x14ac:dyDescent="0.2">
      <c r="A112" s="63" t="s">
        <v>565</v>
      </c>
      <c r="B112" s="177">
        <v>91307</v>
      </c>
      <c r="C112" s="64" t="s">
        <v>14</v>
      </c>
      <c r="D112" s="60" t="s">
        <v>101</v>
      </c>
      <c r="E112" s="63" t="s">
        <v>578</v>
      </c>
      <c r="F112" s="68">
        <f>MC!H490</f>
        <v>3</v>
      </c>
      <c r="G112" s="184">
        <f>K112</f>
        <v>99.92</v>
      </c>
      <c r="H112" s="66">
        <f t="shared" si="32"/>
        <v>119.11</v>
      </c>
      <c r="I112" s="69">
        <f t="shared" si="34"/>
        <v>357.33</v>
      </c>
      <c r="K112" s="193">
        <v>99.92</v>
      </c>
      <c r="L112" s="188">
        <v>97.46</v>
      </c>
    </row>
    <row r="113" spans="1:12" ht="24" customHeight="1" x14ac:dyDescent="0.2">
      <c r="A113" s="82" t="s">
        <v>102</v>
      </c>
      <c r="B113" s="83"/>
      <c r="C113" s="83"/>
      <c r="D113" s="84" t="s">
        <v>103</v>
      </c>
      <c r="E113" s="83"/>
      <c r="F113" s="85"/>
      <c r="G113" s="183"/>
      <c r="H113" s="83"/>
      <c r="I113" s="86">
        <f>I114</f>
        <v>458.81</v>
      </c>
      <c r="K113" s="192"/>
      <c r="L113" s="192"/>
    </row>
    <row r="114" spans="1:12" ht="40.9" customHeight="1" x14ac:dyDescent="0.2">
      <c r="A114" s="63" t="s">
        <v>104</v>
      </c>
      <c r="B114" s="177">
        <v>94569</v>
      </c>
      <c r="C114" s="64" t="s">
        <v>14</v>
      </c>
      <c r="D114" s="60" t="s">
        <v>105</v>
      </c>
      <c r="E114" s="63" t="s">
        <v>458</v>
      </c>
      <c r="F114" s="68">
        <f>MC!H496</f>
        <v>0.8</v>
      </c>
      <c r="G114" s="184">
        <f>K114</f>
        <v>481.1</v>
      </c>
      <c r="H114" s="66">
        <f t="shared" si="32"/>
        <v>573.52</v>
      </c>
      <c r="I114" s="69">
        <f t="shared" si="34"/>
        <v>458.81</v>
      </c>
      <c r="K114" s="209">
        <v>481.1</v>
      </c>
      <c r="L114" s="209">
        <v>477.72</v>
      </c>
    </row>
    <row r="115" spans="1:12" ht="24" customHeight="1" x14ac:dyDescent="0.2">
      <c r="A115" s="87" t="s">
        <v>407</v>
      </c>
      <c r="B115" s="78"/>
      <c r="C115" s="78"/>
      <c r="D115" s="79" t="s">
        <v>106</v>
      </c>
      <c r="E115" s="78"/>
      <c r="F115" s="80"/>
      <c r="G115" s="182"/>
      <c r="H115" s="78"/>
      <c r="I115" s="81">
        <f>I116</f>
        <v>1602.47</v>
      </c>
      <c r="K115" s="188"/>
      <c r="L115" s="188"/>
    </row>
    <row r="116" spans="1:12" ht="27" customHeight="1" x14ac:dyDescent="0.2">
      <c r="A116" s="63" t="s">
        <v>107</v>
      </c>
      <c r="B116" s="177">
        <v>96113</v>
      </c>
      <c r="C116" s="64" t="s">
        <v>14</v>
      </c>
      <c r="D116" s="60" t="s">
        <v>108</v>
      </c>
      <c r="E116" s="63" t="s">
        <v>458</v>
      </c>
      <c r="F116" s="68">
        <f>MC!H502</f>
        <v>28.03</v>
      </c>
      <c r="G116" s="184">
        <f>K116</f>
        <v>47.96</v>
      </c>
      <c r="H116" s="66">
        <f t="shared" si="32"/>
        <v>57.17</v>
      </c>
      <c r="I116" s="69">
        <f t="shared" si="34"/>
        <v>1602.47</v>
      </c>
      <c r="K116" s="189">
        <v>47.96</v>
      </c>
      <c r="L116" s="189">
        <v>45.26</v>
      </c>
    </row>
    <row r="117" spans="1:12" ht="24" customHeight="1" x14ac:dyDescent="0.2">
      <c r="A117" s="87" t="s">
        <v>408</v>
      </c>
      <c r="B117" s="78"/>
      <c r="C117" s="78"/>
      <c r="D117" s="79" t="s">
        <v>109</v>
      </c>
      <c r="E117" s="78"/>
      <c r="F117" s="80"/>
      <c r="G117" s="182"/>
      <c r="H117" s="78"/>
      <c r="I117" s="81">
        <f>SUM(I118,I121,I123)</f>
        <v>15566.66</v>
      </c>
      <c r="K117" s="189"/>
      <c r="L117" s="189"/>
    </row>
    <row r="118" spans="1:12" ht="24" customHeight="1" x14ac:dyDescent="0.2">
      <c r="A118" s="82" t="s">
        <v>110</v>
      </c>
      <c r="B118" s="83"/>
      <c r="C118" s="83"/>
      <c r="D118" s="84" t="s">
        <v>111</v>
      </c>
      <c r="E118" s="83"/>
      <c r="F118" s="85"/>
      <c r="G118" s="183"/>
      <c r="H118" s="83"/>
      <c r="I118" s="86">
        <f>SUM(I119:I120)</f>
        <v>1896.6200000000001</v>
      </c>
      <c r="K118" s="188"/>
      <c r="L118" s="188"/>
    </row>
    <row r="119" spans="1:12" ht="40.15" customHeight="1" x14ac:dyDescent="0.2">
      <c r="A119" s="63" t="s">
        <v>112</v>
      </c>
      <c r="B119" s="177">
        <v>87251</v>
      </c>
      <c r="C119" s="64" t="s">
        <v>14</v>
      </c>
      <c r="D119" s="60" t="s">
        <v>113</v>
      </c>
      <c r="E119" s="63" t="s">
        <v>458</v>
      </c>
      <c r="F119" s="68">
        <f>MC!H509</f>
        <v>28.03</v>
      </c>
      <c r="G119" s="184">
        <f>K119</f>
        <v>56.34</v>
      </c>
      <c r="H119" s="66">
        <f t="shared" ref="H119:H124" si="36">ROUND(G119*1.1921,2)</f>
        <v>67.16</v>
      </c>
      <c r="I119" s="69">
        <f t="shared" ref="I119:I122" si="37">TRUNC(H119*F119,2)</f>
        <v>1882.49</v>
      </c>
      <c r="K119" s="193">
        <v>56.34</v>
      </c>
      <c r="L119" s="193">
        <v>55.5</v>
      </c>
    </row>
    <row r="120" spans="1:12" ht="27.6" customHeight="1" x14ac:dyDescent="0.2">
      <c r="A120" s="63" t="s">
        <v>114</v>
      </c>
      <c r="B120" s="177">
        <v>88649</v>
      </c>
      <c r="C120" s="64" t="s">
        <v>14</v>
      </c>
      <c r="D120" s="60" t="s">
        <v>115</v>
      </c>
      <c r="E120" s="63" t="s">
        <v>19</v>
      </c>
      <c r="F120" s="68">
        <f>MC!H516</f>
        <v>1.3000000000000003</v>
      </c>
      <c r="G120" s="184">
        <f>K120</f>
        <v>9.1199999999999992</v>
      </c>
      <c r="H120" s="66">
        <f t="shared" si="36"/>
        <v>10.87</v>
      </c>
      <c r="I120" s="69">
        <f t="shared" si="37"/>
        <v>14.13</v>
      </c>
      <c r="K120" s="193">
        <v>9.1199999999999992</v>
      </c>
      <c r="L120" s="188">
        <v>8.8800000000000008</v>
      </c>
    </row>
    <row r="121" spans="1:12" ht="24" customHeight="1" x14ac:dyDescent="0.2">
      <c r="A121" s="82" t="s">
        <v>116</v>
      </c>
      <c r="B121" s="83"/>
      <c r="C121" s="83"/>
      <c r="D121" s="84" t="s">
        <v>117</v>
      </c>
      <c r="E121" s="83"/>
      <c r="F121" s="85"/>
      <c r="G121" s="183"/>
      <c r="H121" s="83"/>
      <c r="I121" s="86">
        <f>I122</f>
        <v>7267.68</v>
      </c>
      <c r="K121" s="192"/>
      <c r="L121" s="192"/>
    </row>
    <row r="122" spans="1:12" ht="40.5" customHeight="1" x14ac:dyDescent="0.2">
      <c r="A122" s="63" t="s">
        <v>118</v>
      </c>
      <c r="B122" s="177">
        <v>87273</v>
      </c>
      <c r="C122" s="64" t="s">
        <v>14</v>
      </c>
      <c r="D122" s="60" t="s">
        <v>119</v>
      </c>
      <c r="E122" s="63" t="s">
        <v>458</v>
      </c>
      <c r="F122" s="68">
        <f>MC!H529</f>
        <v>87.31</v>
      </c>
      <c r="G122" s="184">
        <f>K122</f>
        <v>69.83</v>
      </c>
      <c r="H122" s="66">
        <f t="shared" si="36"/>
        <v>83.24</v>
      </c>
      <c r="I122" s="69">
        <f t="shared" si="37"/>
        <v>7267.68</v>
      </c>
      <c r="K122" s="188">
        <v>69.83</v>
      </c>
      <c r="L122" s="188">
        <v>67.58</v>
      </c>
    </row>
    <row r="123" spans="1:12" ht="24" customHeight="1" x14ac:dyDescent="0.2">
      <c r="A123" s="82" t="s">
        <v>527</v>
      </c>
      <c r="B123" s="83"/>
      <c r="C123" s="83"/>
      <c r="D123" s="84" t="s">
        <v>131</v>
      </c>
      <c r="E123" s="83"/>
      <c r="F123" s="85"/>
      <c r="G123" s="183"/>
      <c r="H123" s="83"/>
      <c r="I123" s="86">
        <f>I124</f>
        <v>6402.36</v>
      </c>
      <c r="K123" s="188"/>
      <c r="L123" s="188"/>
    </row>
    <row r="124" spans="1:12" ht="54" customHeight="1" x14ac:dyDescent="0.2">
      <c r="A124" s="63" t="s">
        <v>528</v>
      </c>
      <c r="B124" s="177">
        <v>11175</v>
      </c>
      <c r="C124" s="63" t="s">
        <v>21</v>
      </c>
      <c r="D124" s="60" t="s">
        <v>529</v>
      </c>
      <c r="E124" s="63" t="s">
        <v>458</v>
      </c>
      <c r="F124" s="68">
        <f>MC!H540</f>
        <v>43.349999999999994</v>
      </c>
      <c r="G124" s="184">
        <f>K124</f>
        <v>123.89</v>
      </c>
      <c r="H124" s="66">
        <f t="shared" si="36"/>
        <v>147.69</v>
      </c>
      <c r="I124" s="69">
        <f t="shared" ref="I124" si="38">TRUNC(H124*F124,2)</f>
        <v>6402.36</v>
      </c>
      <c r="K124" s="188">
        <v>123.89</v>
      </c>
      <c r="L124" s="188">
        <v>123.89</v>
      </c>
    </row>
    <row r="125" spans="1:12" ht="24" customHeight="1" x14ac:dyDescent="0.2">
      <c r="A125" s="87" t="s">
        <v>409</v>
      </c>
      <c r="B125" s="78"/>
      <c r="C125" s="78"/>
      <c r="D125" s="79" t="s">
        <v>563</v>
      </c>
      <c r="E125" s="78"/>
      <c r="F125" s="80"/>
      <c r="G125" s="182"/>
      <c r="H125" s="78"/>
      <c r="I125" s="81">
        <f>SUM(I128,I126,I132)</f>
        <v>61924.43</v>
      </c>
      <c r="K125" s="188"/>
      <c r="L125" s="188"/>
    </row>
    <row r="126" spans="1:12" ht="24" customHeight="1" x14ac:dyDescent="0.2">
      <c r="A126" s="82" t="s">
        <v>120</v>
      </c>
      <c r="B126" s="83"/>
      <c r="C126" s="83"/>
      <c r="D126" s="84" t="s">
        <v>50</v>
      </c>
      <c r="E126" s="83"/>
      <c r="F126" s="85"/>
      <c r="G126" s="183"/>
      <c r="H126" s="83"/>
      <c r="I126" s="86">
        <f>I127</f>
        <v>53422.080000000002</v>
      </c>
      <c r="K126" s="188"/>
      <c r="L126" s="188"/>
    </row>
    <row r="127" spans="1:12" ht="28.5" customHeight="1" x14ac:dyDescent="0.2">
      <c r="A127" s="63" t="s">
        <v>276</v>
      </c>
      <c r="B127" s="177">
        <v>102494</v>
      </c>
      <c r="C127" s="64" t="s">
        <v>14</v>
      </c>
      <c r="D127" s="60" t="s">
        <v>121</v>
      </c>
      <c r="E127" s="63" t="s">
        <v>458</v>
      </c>
      <c r="F127" s="68">
        <f>MC!H547</f>
        <v>564</v>
      </c>
      <c r="G127" s="184">
        <f>K127</f>
        <v>79.459999999999994</v>
      </c>
      <c r="H127" s="66">
        <f t="shared" ref="H127" si="39">ROUND(G127*1.1921,2)</f>
        <v>94.72</v>
      </c>
      <c r="I127" s="69">
        <f t="shared" ref="I127:I135" si="40">TRUNC(H127*F127,2)</f>
        <v>53422.080000000002</v>
      </c>
      <c r="K127" s="188">
        <v>79.459999999999994</v>
      </c>
      <c r="L127" s="188">
        <v>78.59</v>
      </c>
    </row>
    <row r="128" spans="1:12" ht="24" customHeight="1" x14ac:dyDescent="0.2">
      <c r="A128" s="82" t="s">
        <v>122</v>
      </c>
      <c r="B128" s="83"/>
      <c r="C128" s="83"/>
      <c r="D128" s="84" t="s">
        <v>123</v>
      </c>
      <c r="E128" s="83"/>
      <c r="F128" s="85"/>
      <c r="G128" s="183"/>
      <c r="H128" s="83"/>
      <c r="I128" s="86">
        <f>SUM(I129:I131)</f>
        <v>1869.31</v>
      </c>
      <c r="K128" s="196"/>
      <c r="L128" s="192"/>
    </row>
    <row r="129" spans="1:12" ht="27" customHeight="1" x14ac:dyDescent="0.2">
      <c r="A129" s="63" t="s">
        <v>124</v>
      </c>
      <c r="B129" s="177">
        <v>88484</v>
      </c>
      <c r="C129" s="64" t="s">
        <v>14</v>
      </c>
      <c r="D129" s="60" t="s">
        <v>125</v>
      </c>
      <c r="E129" s="63" t="s">
        <v>458</v>
      </c>
      <c r="F129" s="68">
        <f>MC!H553</f>
        <v>28.03</v>
      </c>
      <c r="G129" s="184">
        <f>K129</f>
        <v>5.41</v>
      </c>
      <c r="H129" s="66">
        <f t="shared" ref="H129:H135" si="41">ROUND(G129*1.1921,2)</f>
        <v>6.45</v>
      </c>
      <c r="I129" s="69">
        <f t="shared" si="40"/>
        <v>180.79</v>
      </c>
      <c r="K129" s="209">
        <v>5.41</v>
      </c>
      <c r="L129" s="209">
        <v>5.12</v>
      </c>
    </row>
    <row r="130" spans="1:12" ht="27.75" customHeight="1" x14ac:dyDescent="0.2">
      <c r="A130" s="63" t="s">
        <v>126</v>
      </c>
      <c r="B130" s="177">
        <v>88496</v>
      </c>
      <c r="C130" s="64" t="s">
        <v>14</v>
      </c>
      <c r="D130" s="60" t="s">
        <v>127</v>
      </c>
      <c r="E130" s="63" t="s">
        <v>458</v>
      </c>
      <c r="F130" s="68">
        <f>MC!H558</f>
        <v>28.03</v>
      </c>
      <c r="G130" s="184">
        <f>K130</f>
        <v>33.090000000000003</v>
      </c>
      <c r="H130" s="66">
        <f t="shared" si="41"/>
        <v>39.450000000000003</v>
      </c>
      <c r="I130" s="69">
        <f t="shared" si="40"/>
        <v>1105.78</v>
      </c>
      <c r="K130" s="188">
        <v>33.090000000000003</v>
      </c>
      <c r="L130" s="188">
        <v>30.84</v>
      </c>
    </row>
    <row r="131" spans="1:12" ht="27.75" customHeight="1" x14ac:dyDescent="0.2">
      <c r="A131" s="63" t="s">
        <v>128</v>
      </c>
      <c r="B131" s="177">
        <v>88488</v>
      </c>
      <c r="C131" s="64" t="s">
        <v>14</v>
      </c>
      <c r="D131" s="60" t="s">
        <v>129</v>
      </c>
      <c r="E131" s="63" t="s">
        <v>458</v>
      </c>
      <c r="F131" s="68">
        <f>MC!H563</f>
        <v>28.03</v>
      </c>
      <c r="G131" s="184">
        <f>K131</f>
        <v>17.440000000000001</v>
      </c>
      <c r="H131" s="66">
        <f t="shared" si="41"/>
        <v>20.79</v>
      </c>
      <c r="I131" s="69">
        <f t="shared" si="40"/>
        <v>582.74</v>
      </c>
      <c r="K131" s="208">
        <v>17.440000000000001</v>
      </c>
      <c r="L131" s="209">
        <v>16.75</v>
      </c>
    </row>
    <row r="132" spans="1:12" ht="24" customHeight="1" x14ac:dyDescent="0.2">
      <c r="A132" s="82" t="s">
        <v>130</v>
      </c>
      <c r="B132" s="83"/>
      <c r="C132" s="83"/>
      <c r="D132" s="84" t="s">
        <v>131</v>
      </c>
      <c r="E132" s="83"/>
      <c r="F132" s="85"/>
      <c r="G132" s="183"/>
      <c r="H132" s="83"/>
      <c r="I132" s="86">
        <f>SUM(I133:I135)</f>
        <v>6633.0399999999991</v>
      </c>
      <c r="K132" s="188"/>
      <c r="L132" s="188"/>
    </row>
    <row r="133" spans="1:12" ht="28.9" customHeight="1" x14ac:dyDescent="0.2">
      <c r="A133" s="63" t="s">
        <v>132</v>
      </c>
      <c r="B133" s="177">
        <v>88415</v>
      </c>
      <c r="C133" s="64" t="s">
        <v>14</v>
      </c>
      <c r="D133" s="60" t="s">
        <v>133</v>
      </c>
      <c r="E133" s="63" t="s">
        <v>458</v>
      </c>
      <c r="F133" s="68">
        <f>MC!H578</f>
        <v>106.35000000000001</v>
      </c>
      <c r="G133" s="184">
        <f>K133</f>
        <v>5.1100000000000003</v>
      </c>
      <c r="H133" s="66">
        <f t="shared" si="41"/>
        <v>6.09</v>
      </c>
      <c r="I133" s="69">
        <f t="shared" si="40"/>
        <v>647.66999999999996</v>
      </c>
      <c r="K133" s="210">
        <v>5.1100000000000003</v>
      </c>
      <c r="L133" s="210">
        <v>4.95</v>
      </c>
    </row>
    <row r="134" spans="1:12" ht="28.9" customHeight="1" x14ac:dyDescent="0.2">
      <c r="A134" s="63" t="s">
        <v>134</v>
      </c>
      <c r="B134" s="177">
        <v>96135</v>
      </c>
      <c r="C134" s="64" t="s">
        <v>14</v>
      </c>
      <c r="D134" s="60" t="s">
        <v>135</v>
      </c>
      <c r="E134" s="63" t="s">
        <v>458</v>
      </c>
      <c r="F134" s="68">
        <f>MC!H583</f>
        <v>106.35</v>
      </c>
      <c r="G134" s="184">
        <f>K134</f>
        <v>29.42</v>
      </c>
      <c r="H134" s="66">
        <f t="shared" si="41"/>
        <v>35.07</v>
      </c>
      <c r="I134" s="69">
        <f t="shared" si="40"/>
        <v>3729.69</v>
      </c>
      <c r="K134" s="189">
        <v>29.42</v>
      </c>
      <c r="L134" s="189">
        <v>27.7</v>
      </c>
    </row>
    <row r="135" spans="1:12" ht="28.9" customHeight="1" x14ac:dyDescent="0.2">
      <c r="A135" s="63" t="s">
        <v>136</v>
      </c>
      <c r="B135" s="177">
        <v>95626</v>
      </c>
      <c r="C135" s="64" t="s">
        <v>14</v>
      </c>
      <c r="D135" s="60" t="s">
        <v>137</v>
      </c>
      <c r="E135" s="63" t="s">
        <v>458</v>
      </c>
      <c r="F135" s="68">
        <f>MC!H588</f>
        <v>106.35</v>
      </c>
      <c r="G135" s="184">
        <f>K135</f>
        <v>17.79</v>
      </c>
      <c r="H135" s="66">
        <f t="shared" si="41"/>
        <v>21.21</v>
      </c>
      <c r="I135" s="69">
        <f t="shared" si="40"/>
        <v>2255.6799999999998</v>
      </c>
      <c r="K135" s="210">
        <v>17.79</v>
      </c>
      <c r="L135" s="209">
        <v>17.02</v>
      </c>
    </row>
    <row r="136" spans="1:12" ht="24" customHeight="1" x14ac:dyDescent="0.2">
      <c r="A136" s="87" t="s">
        <v>410</v>
      </c>
      <c r="B136" s="78"/>
      <c r="C136" s="78"/>
      <c r="D136" s="79" t="s">
        <v>138</v>
      </c>
      <c r="E136" s="78"/>
      <c r="F136" s="80"/>
      <c r="G136" s="182"/>
      <c r="H136" s="78"/>
      <c r="I136" s="81">
        <f>SUM(I137,I157,I179,I154,I175,I177)</f>
        <v>87442.549999999988</v>
      </c>
      <c r="K136" s="190"/>
      <c r="L136" s="192"/>
    </row>
    <row r="137" spans="1:12" ht="24" customHeight="1" x14ac:dyDescent="0.2">
      <c r="A137" s="82" t="s">
        <v>139</v>
      </c>
      <c r="B137" s="83"/>
      <c r="C137" s="83"/>
      <c r="D137" s="84" t="s">
        <v>140</v>
      </c>
      <c r="E137" s="83"/>
      <c r="F137" s="85"/>
      <c r="G137" s="183"/>
      <c r="H137" s="83"/>
      <c r="I137" s="86">
        <f>SUM(I138:I153)</f>
        <v>5814.4100000000008</v>
      </c>
      <c r="K137" s="190"/>
      <c r="L137" s="190"/>
    </row>
    <row r="138" spans="1:12" ht="39" customHeight="1" x14ac:dyDescent="0.2">
      <c r="A138" s="63" t="s">
        <v>141</v>
      </c>
      <c r="B138" s="177">
        <v>103948</v>
      </c>
      <c r="C138" s="64" t="s">
        <v>14</v>
      </c>
      <c r="D138" s="59" t="s">
        <v>142</v>
      </c>
      <c r="E138" s="63" t="s">
        <v>578</v>
      </c>
      <c r="F138" s="68">
        <f>MC!H595</f>
        <v>4</v>
      </c>
      <c r="G138" s="184">
        <f t="shared" ref="G138:G153" si="42">K138</f>
        <v>8.1999999999999993</v>
      </c>
      <c r="H138" s="66">
        <f t="shared" ref="H138:H194" si="43">ROUND(G138*1.1921,2)</f>
        <v>9.7799999999999994</v>
      </c>
      <c r="I138" s="69">
        <f t="shared" ref="I138:I173" si="44">TRUNC(H138*F138,2)</f>
        <v>39.119999999999997</v>
      </c>
      <c r="K138" s="209">
        <v>8.1999999999999993</v>
      </c>
      <c r="L138" s="209">
        <v>7.71</v>
      </c>
    </row>
    <row r="139" spans="1:12" ht="24" customHeight="1" x14ac:dyDescent="0.2">
      <c r="A139" s="63" t="s">
        <v>143</v>
      </c>
      <c r="B139" s="177">
        <v>1097</v>
      </c>
      <c r="C139" s="64" t="s">
        <v>21</v>
      </c>
      <c r="D139" s="59" t="s">
        <v>421</v>
      </c>
      <c r="E139" s="63" t="s">
        <v>578</v>
      </c>
      <c r="F139" s="68">
        <f>MC!H600</f>
        <v>1</v>
      </c>
      <c r="G139" s="184">
        <f t="shared" si="42"/>
        <v>10.07</v>
      </c>
      <c r="H139" s="66">
        <f t="shared" si="43"/>
        <v>12</v>
      </c>
      <c r="I139" s="69">
        <f t="shared" si="44"/>
        <v>12</v>
      </c>
      <c r="K139" s="209">
        <v>10.07</v>
      </c>
      <c r="L139" s="209">
        <v>10.07</v>
      </c>
    </row>
    <row r="140" spans="1:12" ht="40.9" customHeight="1" x14ac:dyDescent="0.2">
      <c r="A140" s="63" t="s">
        <v>144</v>
      </c>
      <c r="B140" s="177">
        <v>89362</v>
      </c>
      <c r="C140" s="64" t="s">
        <v>14</v>
      </c>
      <c r="D140" s="59" t="s">
        <v>145</v>
      </c>
      <c r="E140" s="63" t="s">
        <v>578</v>
      </c>
      <c r="F140" s="68">
        <f>MC!H605</f>
        <v>11</v>
      </c>
      <c r="G140" s="184">
        <f t="shared" si="42"/>
        <v>9.98</v>
      </c>
      <c r="H140" s="66">
        <f t="shared" si="43"/>
        <v>11.9</v>
      </c>
      <c r="I140" s="69">
        <f t="shared" si="44"/>
        <v>130.9</v>
      </c>
      <c r="K140" s="209">
        <v>9.98</v>
      </c>
      <c r="L140" s="209">
        <v>9.32</v>
      </c>
    </row>
    <row r="141" spans="1:12" ht="40.9" customHeight="1" x14ac:dyDescent="0.2">
      <c r="A141" s="63" t="s">
        <v>146</v>
      </c>
      <c r="B141" s="177">
        <v>89413</v>
      </c>
      <c r="C141" s="64" t="s">
        <v>14</v>
      </c>
      <c r="D141" s="59" t="s">
        <v>147</v>
      </c>
      <c r="E141" s="63" t="s">
        <v>578</v>
      </c>
      <c r="F141" s="68">
        <f>MC!H610</f>
        <v>16</v>
      </c>
      <c r="G141" s="184">
        <f t="shared" si="42"/>
        <v>12.58</v>
      </c>
      <c r="H141" s="66">
        <f t="shared" si="43"/>
        <v>15</v>
      </c>
      <c r="I141" s="69">
        <f t="shared" si="44"/>
        <v>240</v>
      </c>
      <c r="K141" s="209">
        <v>12.58</v>
      </c>
      <c r="L141" s="209">
        <v>11.87</v>
      </c>
    </row>
    <row r="142" spans="1:12" ht="40.9" customHeight="1" x14ac:dyDescent="0.2">
      <c r="A142" s="63" t="s">
        <v>148</v>
      </c>
      <c r="B142" s="177">
        <v>103984</v>
      </c>
      <c r="C142" s="64" t="s">
        <v>14</v>
      </c>
      <c r="D142" s="59" t="s">
        <v>149</v>
      </c>
      <c r="E142" s="63" t="s">
        <v>578</v>
      </c>
      <c r="F142" s="68">
        <f>MC!H615</f>
        <v>7</v>
      </c>
      <c r="G142" s="184">
        <f t="shared" si="42"/>
        <v>20.02</v>
      </c>
      <c r="H142" s="66">
        <f t="shared" si="43"/>
        <v>23.87</v>
      </c>
      <c r="I142" s="69">
        <f t="shared" si="44"/>
        <v>167.09</v>
      </c>
      <c r="K142" s="188">
        <v>20.02</v>
      </c>
      <c r="L142" s="188">
        <v>19.010000000000002</v>
      </c>
    </row>
    <row r="143" spans="1:12" ht="40.9" customHeight="1" x14ac:dyDescent="0.2">
      <c r="A143" s="63" t="s">
        <v>150</v>
      </c>
      <c r="B143" s="177">
        <v>89366</v>
      </c>
      <c r="C143" s="64" t="s">
        <v>14</v>
      </c>
      <c r="D143" s="59" t="s">
        <v>151</v>
      </c>
      <c r="E143" s="63" t="s">
        <v>578</v>
      </c>
      <c r="F143" s="68">
        <f>MC!H620</f>
        <v>10</v>
      </c>
      <c r="G143" s="184">
        <f t="shared" si="42"/>
        <v>16.489999999999998</v>
      </c>
      <c r="H143" s="66">
        <f t="shared" si="43"/>
        <v>19.66</v>
      </c>
      <c r="I143" s="69">
        <f t="shared" si="44"/>
        <v>196.6</v>
      </c>
      <c r="K143" s="188">
        <v>16.489999999999998</v>
      </c>
      <c r="L143" s="188">
        <v>15.87</v>
      </c>
    </row>
    <row r="144" spans="1:12" ht="40.9" customHeight="1" x14ac:dyDescent="0.2">
      <c r="A144" s="63" t="s">
        <v>152</v>
      </c>
      <c r="B144" s="177">
        <v>104008</v>
      </c>
      <c r="C144" s="64" t="s">
        <v>14</v>
      </c>
      <c r="D144" s="59" t="s">
        <v>153</v>
      </c>
      <c r="E144" s="63" t="s">
        <v>578</v>
      </c>
      <c r="F144" s="68">
        <f>MC!H625</f>
        <v>4</v>
      </c>
      <c r="G144" s="184">
        <f t="shared" si="42"/>
        <v>31.8</v>
      </c>
      <c r="H144" s="66">
        <f t="shared" si="43"/>
        <v>37.909999999999997</v>
      </c>
      <c r="I144" s="69">
        <f t="shared" si="44"/>
        <v>151.63999999999999</v>
      </c>
      <c r="K144" s="188">
        <v>31.8</v>
      </c>
      <c r="L144" s="188">
        <v>30.67</v>
      </c>
    </row>
    <row r="145" spans="1:12" ht="27" customHeight="1" x14ac:dyDescent="0.2">
      <c r="A145" s="63" t="s">
        <v>154</v>
      </c>
      <c r="B145" s="177">
        <v>89395</v>
      </c>
      <c r="C145" s="64" t="s">
        <v>14</v>
      </c>
      <c r="D145" s="59" t="s">
        <v>155</v>
      </c>
      <c r="E145" s="63" t="s">
        <v>578</v>
      </c>
      <c r="F145" s="68">
        <f>MC!H630</f>
        <v>7</v>
      </c>
      <c r="G145" s="184">
        <f t="shared" si="42"/>
        <v>13.72</v>
      </c>
      <c r="H145" s="66">
        <f t="shared" si="43"/>
        <v>16.36</v>
      </c>
      <c r="I145" s="69">
        <f t="shared" si="44"/>
        <v>114.52</v>
      </c>
      <c r="K145" s="209">
        <v>13.72</v>
      </c>
      <c r="L145" s="209">
        <v>12.84</v>
      </c>
    </row>
    <row r="146" spans="1:12" ht="40.9" customHeight="1" x14ac:dyDescent="0.2">
      <c r="A146" s="63" t="s">
        <v>156</v>
      </c>
      <c r="B146" s="177">
        <v>104004</v>
      </c>
      <c r="C146" s="64" t="s">
        <v>14</v>
      </c>
      <c r="D146" s="59" t="s">
        <v>157</v>
      </c>
      <c r="E146" s="63" t="s">
        <v>578</v>
      </c>
      <c r="F146" s="68">
        <f>MC!H635</f>
        <v>5</v>
      </c>
      <c r="G146" s="184">
        <f t="shared" si="42"/>
        <v>30.12</v>
      </c>
      <c r="H146" s="66">
        <f t="shared" si="43"/>
        <v>35.909999999999997</v>
      </c>
      <c r="I146" s="69">
        <f t="shared" si="44"/>
        <v>179.55</v>
      </c>
      <c r="K146" s="188">
        <v>30.12</v>
      </c>
      <c r="L146" s="188">
        <v>28.79</v>
      </c>
    </row>
    <row r="147" spans="1:12" ht="40.9" customHeight="1" x14ac:dyDescent="0.2">
      <c r="A147" s="63" t="s">
        <v>158</v>
      </c>
      <c r="B147" s="177">
        <v>90374</v>
      </c>
      <c r="C147" s="64" t="s">
        <v>14</v>
      </c>
      <c r="D147" s="59" t="s">
        <v>159</v>
      </c>
      <c r="E147" s="63" t="s">
        <v>578</v>
      </c>
      <c r="F147" s="68">
        <f>MC!H640</f>
        <v>2</v>
      </c>
      <c r="G147" s="184">
        <f t="shared" si="42"/>
        <v>22.41</v>
      </c>
      <c r="H147" s="66">
        <f t="shared" si="43"/>
        <v>26.71</v>
      </c>
      <c r="I147" s="69">
        <f t="shared" si="44"/>
        <v>53.42</v>
      </c>
      <c r="K147" s="188">
        <v>22.41</v>
      </c>
      <c r="L147" s="188">
        <v>21.6</v>
      </c>
    </row>
    <row r="148" spans="1:12" ht="27.6" customHeight="1" x14ac:dyDescent="0.2">
      <c r="A148" s="63" t="s">
        <v>160</v>
      </c>
      <c r="B148" s="177">
        <v>89356</v>
      </c>
      <c r="C148" s="64" t="s">
        <v>14</v>
      </c>
      <c r="D148" s="59" t="s">
        <v>161</v>
      </c>
      <c r="E148" s="63" t="s">
        <v>19</v>
      </c>
      <c r="F148" s="68">
        <f>MC!H645</f>
        <v>45.61</v>
      </c>
      <c r="G148" s="184">
        <f t="shared" si="42"/>
        <v>24.86</v>
      </c>
      <c r="H148" s="66">
        <f t="shared" si="43"/>
        <v>29.64</v>
      </c>
      <c r="I148" s="69">
        <f t="shared" si="44"/>
        <v>1351.88</v>
      </c>
      <c r="K148" s="188">
        <v>24.86</v>
      </c>
      <c r="L148" s="188">
        <v>23.21</v>
      </c>
    </row>
    <row r="149" spans="1:12" ht="27.6" customHeight="1" x14ac:dyDescent="0.2">
      <c r="A149" s="63" t="s">
        <v>162</v>
      </c>
      <c r="B149" s="177">
        <v>89357</v>
      </c>
      <c r="C149" s="64" t="s">
        <v>14</v>
      </c>
      <c r="D149" s="59" t="s">
        <v>163</v>
      </c>
      <c r="E149" s="63" t="s">
        <v>19</v>
      </c>
      <c r="F149" s="68">
        <f>MC!H650</f>
        <v>25.22</v>
      </c>
      <c r="G149" s="184">
        <f t="shared" si="42"/>
        <v>33.79</v>
      </c>
      <c r="H149" s="66">
        <f t="shared" si="43"/>
        <v>40.28</v>
      </c>
      <c r="I149" s="69">
        <f t="shared" si="44"/>
        <v>1015.86</v>
      </c>
      <c r="K149" s="209">
        <v>33.79</v>
      </c>
      <c r="L149" s="209">
        <v>31.81</v>
      </c>
    </row>
    <row r="150" spans="1:12" ht="40.9" customHeight="1" x14ac:dyDescent="0.2">
      <c r="A150" s="63" t="s">
        <v>517</v>
      </c>
      <c r="B150" s="177">
        <v>103979</v>
      </c>
      <c r="C150" s="64" t="s">
        <v>14</v>
      </c>
      <c r="D150" s="59" t="s">
        <v>164</v>
      </c>
      <c r="E150" s="63" t="s">
        <v>19</v>
      </c>
      <c r="F150" s="68">
        <f>MC!H655</f>
        <v>13.99</v>
      </c>
      <c r="G150" s="184">
        <f t="shared" si="42"/>
        <v>30.36</v>
      </c>
      <c r="H150" s="66">
        <f t="shared" si="43"/>
        <v>36.19</v>
      </c>
      <c r="I150" s="69">
        <f t="shared" si="44"/>
        <v>506.29</v>
      </c>
      <c r="K150" s="188">
        <v>30.36</v>
      </c>
      <c r="L150" s="188">
        <v>29.2</v>
      </c>
    </row>
    <row r="151" spans="1:12" ht="27.6" customHeight="1" x14ac:dyDescent="0.2">
      <c r="A151" s="63" t="s">
        <v>518</v>
      </c>
      <c r="B151" s="177">
        <v>94495</v>
      </c>
      <c r="C151" s="64" t="s">
        <v>14</v>
      </c>
      <c r="D151" s="59" t="s">
        <v>166</v>
      </c>
      <c r="E151" s="63" t="s">
        <v>578</v>
      </c>
      <c r="F151" s="68">
        <f>MC!H660</f>
        <v>4</v>
      </c>
      <c r="G151" s="184">
        <f t="shared" si="42"/>
        <v>71.099999999999994</v>
      </c>
      <c r="H151" s="66">
        <f t="shared" si="43"/>
        <v>84.76</v>
      </c>
      <c r="I151" s="69">
        <f t="shared" si="44"/>
        <v>339.04</v>
      </c>
      <c r="K151" s="188">
        <v>71.099999999999994</v>
      </c>
      <c r="L151" s="188">
        <v>70.459999999999994</v>
      </c>
    </row>
    <row r="152" spans="1:12" ht="28.15" customHeight="1" x14ac:dyDescent="0.2">
      <c r="A152" s="63" t="s">
        <v>519</v>
      </c>
      <c r="B152" s="177">
        <v>94492</v>
      </c>
      <c r="C152" s="64" t="s">
        <v>14</v>
      </c>
      <c r="D152" s="59" t="s">
        <v>167</v>
      </c>
      <c r="E152" s="63" t="s">
        <v>578</v>
      </c>
      <c r="F152" s="68">
        <f>MC!H665</f>
        <v>4</v>
      </c>
      <c r="G152" s="184">
        <f t="shared" si="42"/>
        <v>62.09</v>
      </c>
      <c r="H152" s="66">
        <f t="shared" si="43"/>
        <v>74.02</v>
      </c>
      <c r="I152" s="69">
        <f t="shared" si="44"/>
        <v>296.08</v>
      </c>
      <c r="K152" s="188">
        <v>62.09</v>
      </c>
      <c r="L152" s="188">
        <v>61.59</v>
      </c>
    </row>
    <row r="153" spans="1:12" ht="28.15" customHeight="1" x14ac:dyDescent="0.2">
      <c r="A153" s="63" t="s">
        <v>520</v>
      </c>
      <c r="B153" s="177">
        <v>102607</v>
      </c>
      <c r="C153" s="64" t="s">
        <v>14</v>
      </c>
      <c r="D153" s="59" t="s">
        <v>168</v>
      </c>
      <c r="E153" s="63" t="s">
        <v>578</v>
      </c>
      <c r="F153" s="68">
        <f>MC!H670</f>
        <v>2</v>
      </c>
      <c r="G153" s="184">
        <f t="shared" si="42"/>
        <v>427.99</v>
      </c>
      <c r="H153" s="66">
        <f t="shared" si="43"/>
        <v>510.21</v>
      </c>
      <c r="I153" s="69">
        <f t="shared" si="44"/>
        <v>1020.42</v>
      </c>
      <c r="K153" s="209">
        <v>427.99</v>
      </c>
      <c r="L153" s="209">
        <v>427.33</v>
      </c>
    </row>
    <row r="154" spans="1:12" ht="24" customHeight="1" x14ac:dyDescent="0.2">
      <c r="A154" s="82" t="s">
        <v>496</v>
      </c>
      <c r="B154" s="83"/>
      <c r="C154" s="83"/>
      <c r="D154" s="84" t="s">
        <v>494</v>
      </c>
      <c r="E154" s="83"/>
      <c r="F154" s="85"/>
      <c r="G154" s="183"/>
      <c r="H154" s="83"/>
      <c r="I154" s="86">
        <f>SUM(I155:I156)</f>
        <v>9954.67</v>
      </c>
      <c r="K154" s="192"/>
      <c r="L154" s="192"/>
    </row>
    <row r="155" spans="1:12" ht="26.25" customHeight="1" x14ac:dyDescent="0.2">
      <c r="A155" s="63" t="s">
        <v>495</v>
      </c>
      <c r="B155" s="177">
        <v>89509</v>
      </c>
      <c r="C155" s="64" t="s">
        <v>14</v>
      </c>
      <c r="D155" s="59" t="s">
        <v>844</v>
      </c>
      <c r="E155" s="63" t="s">
        <v>19</v>
      </c>
      <c r="F155" s="68">
        <f>MC!H676</f>
        <v>1.91</v>
      </c>
      <c r="G155" s="184">
        <f>K155</f>
        <v>22.08</v>
      </c>
      <c r="H155" s="66">
        <f t="shared" ref="H155" si="45">ROUND(G155*1.1921,2)</f>
        <v>26.32</v>
      </c>
      <c r="I155" s="69">
        <f t="shared" ref="I155" si="46">TRUNC(H155*F155,2)</f>
        <v>50.27</v>
      </c>
      <c r="K155" s="188">
        <v>22.08</v>
      </c>
      <c r="L155" s="188">
        <v>21.26</v>
      </c>
    </row>
    <row r="156" spans="1:12" ht="26.25" customHeight="1" x14ac:dyDescent="0.2">
      <c r="A156" s="63" t="s">
        <v>845</v>
      </c>
      <c r="B156" s="177">
        <v>89512</v>
      </c>
      <c r="C156" s="64" t="s">
        <v>14</v>
      </c>
      <c r="D156" s="59" t="s">
        <v>165</v>
      </c>
      <c r="E156" s="63" t="s">
        <v>19</v>
      </c>
      <c r="F156" s="68">
        <f>MC!H681</f>
        <v>174.22</v>
      </c>
      <c r="G156" s="184">
        <f>K156</f>
        <v>47.69</v>
      </c>
      <c r="H156" s="66">
        <f t="shared" si="43"/>
        <v>56.85</v>
      </c>
      <c r="I156" s="69">
        <f t="shared" ref="I156" si="47">TRUNC(H156*F156,2)</f>
        <v>9904.4</v>
      </c>
      <c r="K156" s="188">
        <v>47.69</v>
      </c>
      <c r="L156" s="188">
        <v>45.93</v>
      </c>
    </row>
    <row r="157" spans="1:12" ht="24" customHeight="1" x14ac:dyDescent="0.2">
      <c r="A157" s="82" t="s">
        <v>497</v>
      </c>
      <c r="B157" s="83"/>
      <c r="C157" s="83"/>
      <c r="D157" s="84" t="s">
        <v>169</v>
      </c>
      <c r="E157" s="83"/>
      <c r="F157" s="85"/>
      <c r="G157" s="183"/>
      <c r="H157" s="83"/>
      <c r="I157" s="86">
        <f>SUM(I158:I174)</f>
        <v>14002.48</v>
      </c>
      <c r="K157" s="188"/>
      <c r="L157" s="188"/>
    </row>
    <row r="158" spans="1:12" ht="39.75" customHeight="1" x14ac:dyDescent="0.2">
      <c r="A158" s="63" t="s">
        <v>498</v>
      </c>
      <c r="B158" s="177">
        <v>89726</v>
      </c>
      <c r="C158" s="64" t="s">
        <v>14</v>
      </c>
      <c r="D158" s="59" t="s">
        <v>170</v>
      </c>
      <c r="E158" s="63" t="s">
        <v>578</v>
      </c>
      <c r="F158" s="68">
        <f>MC!H687</f>
        <v>14</v>
      </c>
      <c r="G158" s="184">
        <f t="shared" ref="G158:G174" si="48">K158</f>
        <v>10.66</v>
      </c>
      <c r="H158" s="66">
        <f t="shared" si="43"/>
        <v>12.71</v>
      </c>
      <c r="I158" s="69">
        <f t="shared" si="44"/>
        <v>177.94</v>
      </c>
      <c r="K158" s="188">
        <v>10.66</v>
      </c>
      <c r="L158" s="188">
        <v>10.11</v>
      </c>
    </row>
    <row r="159" spans="1:12" ht="39.75" customHeight="1" x14ac:dyDescent="0.2">
      <c r="A159" s="63" t="s">
        <v>499</v>
      </c>
      <c r="B159" s="177">
        <v>89732</v>
      </c>
      <c r="C159" s="64" t="s">
        <v>14</v>
      </c>
      <c r="D159" s="59" t="s">
        <v>171</v>
      </c>
      <c r="E159" s="63" t="s">
        <v>578</v>
      </c>
      <c r="F159" s="68">
        <f>MC!H692</f>
        <v>13</v>
      </c>
      <c r="G159" s="184">
        <f t="shared" si="48"/>
        <v>16.399999999999999</v>
      </c>
      <c r="H159" s="66">
        <f t="shared" si="43"/>
        <v>19.55</v>
      </c>
      <c r="I159" s="69">
        <f t="shared" si="44"/>
        <v>254.15</v>
      </c>
      <c r="K159" s="188">
        <v>16.399999999999999</v>
      </c>
      <c r="L159" s="188">
        <v>15.81</v>
      </c>
    </row>
    <row r="160" spans="1:12" ht="40.5" customHeight="1" x14ac:dyDescent="0.2">
      <c r="A160" s="63" t="s">
        <v>500</v>
      </c>
      <c r="B160" s="177">
        <v>89746</v>
      </c>
      <c r="C160" s="64" t="s">
        <v>14</v>
      </c>
      <c r="D160" s="59" t="s">
        <v>172</v>
      </c>
      <c r="E160" s="63" t="s">
        <v>578</v>
      </c>
      <c r="F160" s="68">
        <f>MC!H697</f>
        <v>27</v>
      </c>
      <c r="G160" s="184">
        <f t="shared" si="48"/>
        <v>29.23</v>
      </c>
      <c r="H160" s="66">
        <f t="shared" si="43"/>
        <v>34.85</v>
      </c>
      <c r="I160" s="69">
        <f t="shared" si="44"/>
        <v>940.95</v>
      </c>
      <c r="K160" s="188">
        <v>29.23</v>
      </c>
      <c r="L160" s="188">
        <v>28.38</v>
      </c>
    </row>
    <row r="161" spans="1:12" ht="39.75" customHeight="1" x14ac:dyDescent="0.2">
      <c r="A161" s="63" t="s">
        <v>501</v>
      </c>
      <c r="B161" s="177">
        <v>89724</v>
      </c>
      <c r="C161" s="64" t="s">
        <v>14</v>
      </c>
      <c r="D161" s="59" t="s">
        <v>173</v>
      </c>
      <c r="E161" s="63" t="s">
        <v>578</v>
      </c>
      <c r="F161" s="68">
        <f>MC!H702</f>
        <v>6</v>
      </c>
      <c r="G161" s="184">
        <f t="shared" si="48"/>
        <v>10.45</v>
      </c>
      <c r="H161" s="66">
        <f t="shared" si="43"/>
        <v>12.46</v>
      </c>
      <c r="I161" s="69">
        <f t="shared" si="44"/>
        <v>74.760000000000005</v>
      </c>
      <c r="K161" s="188">
        <v>10.45</v>
      </c>
      <c r="L161" s="188">
        <v>9.9</v>
      </c>
    </row>
    <row r="162" spans="1:12" ht="41.25" customHeight="1" x14ac:dyDescent="0.2">
      <c r="A162" s="63" t="s">
        <v>502</v>
      </c>
      <c r="B162" s="177">
        <v>89744</v>
      </c>
      <c r="C162" s="64" t="s">
        <v>14</v>
      </c>
      <c r="D162" s="59" t="s">
        <v>174</v>
      </c>
      <c r="E162" s="63" t="s">
        <v>578</v>
      </c>
      <c r="F162" s="68">
        <f>MC!H707</f>
        <v>8</v>
      </c>
      <c r="G162" s="184">
        <f t="shared" si="48"/>
        <v>28.48</v>
      </c>
      <c r="H162" s="66">
        <f t="shared" si="43"/>
        <v>33.950000000000003</v>
      </c>
      <c r="I162" s="69">
        <f t="shared" si="44"/>
        <v>271.60000000000002</v>
      </c>
      <c r="K162" s="188">
        <v>28.48</v>
      </c>
      <c r="L162" s="188">
        <v>27.63</v>
      </c>
    </row>
    <row r="163" spans="1:12" ht="39.75" customHeight="1" x14ac:dyDescent="0.2">
      <c r="A163" s="63" t="s">
        <v>503</v>
      </c>
      <c r="B163" s="177">
        <v>89783</v>
      </c>
      <c r="C163" s="64" t="s">
        <v>14</v>
      </c>
      <c r="D163" s="59" t="s">
        <v>175</v>
      </c>
      <c r="E163" s="63" t="s">
        <v>578</v>
      </c>
      <c r="F163" s="68">
        <f>MC!H712</f>
        <v>2</v>
      </c>
      <c r="G163" s="184">
        <f t="shared" si="48"/>
        <v>15.1</v>
      </c>
      <c r="H163" s="66">
        <f t="shared" si="43"/>
        <v>18</v>
      </c>
      <c r="I163" s="69">
        <f t="shared" si="44"/>
        <v>36</v>
      </c>
      <c r="K163" s="188">
        <v>15.1</v>
      </c>
      <c r="L163" s="188">
        <v>14.37</v>
      </c>
    </row>
    <row r="164" spans="1:12" ht="26.1" customHeight="1" x14ac:dyDescent="0.2">
      <c r="A164" s="63" t="s">
        <v>504</v>
      </c>
      <c r="B164" s="177">
        <v>1562</v>
      </c>
      <c r="C164" s="64" t="s">
        <v>21</v>
      </c>
      <c r="D164" s="59" t="s">
        <v>422</v>
      </c>
      <c r="E164" s="63" t="s">
        <v>578</v>
      </c>
      <c r="F164" s="68">
        <f>MC!H717</f>
        <v>5</v>
      </c>
      <c r="G164" s="184">
        <f t="shared" si="48"/>
        <v>45.94</v>
      </c>
      <c r="H164" s="66">
        <f t="shared" si="43"/>
        <v>54.77</v>
      </c>
      <c r="I164" s="69">
        <f t="shared" si="44"/>
        <v>273.85000000000002</v>
      </c>
      <c r="K164" s="188">
        <v>45.94</v>
      </c>
      <c r="L164" s="188">
        <v>45.94</v>
      </c>
    </row>
    <row r="165" spans="1:12" ht="41.25" customHeight="1" x14ac:dyDescent="0.2">
      <c r="A165" s="63" t="s">
        <v>505</v>
      </c>
      <c r="B165" s="177">
        <v>89834</v>
      </c>
      <c r="C165" s="64" t="s">
        <v>14</v>
      </c>
      <c r="D165" s="59" t="s">
        <v>176</v>
      </c>
      <c r="E165" s="63" t="s">
        <v>578</v>
      </c>
      <c r="F165" s="68">
        <f>MC!H722</f>
        <v>7</v>
      </c>
      <c r="G165" s="184">
        <f t="shared" si="48"/>
        <v>53.12</v>
      </c>
      <c r="H165" s="66">
        <f t="shared" si="43"/>
        <v>63.32</v>
      </c>
      <c r="I165" s="69">
        <f t="shared" si="44"/>
        <v>443.24</v>
      </c>
      <c r="K165" s="188">
        <v>53.12</v>
      </c>
      <c r="L165" s="188">
        <v>51.86</v>
      </c>
    </row>
    <row r="166" spans="1:12" ht="39.75" customHeight="1" x14ac:dyDescent="0.2">
      <c r="A166" s="63" t="s">
        <v>506</v>
      </c>
      <c r="B166" s="177">
        <v>89753</v>
      </c>
      <c r="C166" s="64" t="s">
        <v>14</v>
      </c>
      <c r="D166" s="59" t="s">
        <v>177</v>
      </c>
      <c r="E166" s="63" t="s">
        <v>578</v>
      </c>
      <c r="F166" s="68">
        <f>MC!H727</f>
        <v>15</v>
      </c>
      <c r="G166" s="184">
        <f t="shared" si="48"/>
        <v>9.24</v>
      </c>
      <c r="H166" s="66">
        <f t="shared" si="43"/>
        <v>11.02</v>
      </c>
      <c r="I166" s="69">
        <f t="shared" si="44"/>
        <v>165.3</v>
      </c>
      <c r="K166" s="188">
        <v>9.24</v>
      </c>
      <c r="L166" s="188">
        <v>8.84</v>
      </c>
    </row>
    <row r="167" spans="1:12" ht="39" customHeight="1" x14ac:dyDescent="0.2">
      <c r="A167" s="63" t="s">
        <v>507</v>
      </c>
      <c r="B167" s="177">
        <v>89778</v>
      </c>
      <c r="C167" s="64" t="s">
        <v>14</v>
      </c>
      <c r="D167" s="59" t="s">
        <v>178</v>
      </c>
      <c r="E167" s="63" t="s">
        <v>578</v>
      </c>
      <c r="F167" s="68">
        <f>MC!H732</f>
        <v>47</v>
      </c>
      <c r="G167" s="184">
        <f t="shared" si="48"/>
        <v>17.329999999999998</v>
      </c>
      <c r="H167" s="66">
        <f t="shared" si="43"/>
        <v>20.66</v>
      </c>
      <c r="I167" s="69">
        <f t="shared" si="44"/>
        <v>971.02</v>
      </c>
      <c r="K167" s="188">
        <v>17.329999999999998</v>
      </c>
      <c r="L167" s="188">
        <v>16.760000000000002</v>
      </c>
    </row>
    <row r="168" spans="1:12" ht="39" customHeight="1" x14ac:dyDescent="0.2">
      <c r="A168" s="63" t="s">
        <v>508</v>
      </c>
      <c r="B168" s="177">
        <v>89825</v>
      </c>
      <c r="C168" s="64" t="s">
        <v>14</v>
      </c>
      <c r="D168" s="59" t="s">
        <v>179</v>
      </c>
      <c r="E168" s="63" t="s">
        <v>578</v>
      </c>
      <c r="F168" s="68">
        <f>MC!H737</f>
        <v>2</v>
      </c>
      <c r="G168" s="184">
        <f t="shared" si="48"/>
        <v>17.63</v>
      </c>
      <c r="H168" s="66">
        <f t="shared" si="43"/>
        <v>21.02</v>
      </c>
      <c r="I168" s="69">
        <f t="shared" si="44"/>
        <v>42.04</v>
      </c>
      <c r="K168" s="188">
        <v>17.63</v>
      </c>
      <c r="L168" s="188">
        <v>17.43</v>
      </c>
    </row>
    <row r="169" spans="1:12" ht="41.45" customHeight="1" x14ac:dyDescent="0.2">
      <c r="A169" s="63" t="s">
        <v>509</v>
      </c>
      <c r="B169" s="177">
        <v>89712</v>
      </c>
      <c r="C169" s="64" t="s">
        <v>14</v>
      </c>
      <c r="D169" s="59" t="s">
        <v>180</v>
      </c>
      <c r="E169" s="63" t="s">
        <v>19</v>
      </c>
      <c r="F169" s="68">
        <f>MC!H742</f>
        <v>11.7</v>
      </c>
      <c r="G169" s="184">
        <f t="shared" si="48"/>
        <v>27.25</v>
      </c>
      <c r="H169" s="66">
        <f t="shared" si="43"/>
        <v>32.479999999999997</v>
      </c>
      <c r="I169" s="69">
        <f t="shared" si="44"/>
        <v>380.01</v>
      </c>
      <c r="K169" s="188">
        <v>27.25</v>
      </c>
      <c r="L169" s="188">
        <v>25.87</v>
      </c>
    </row>
    <row r="170" spans="1:12" ht="40.9" customHeight="1" x14ac:dyDescent="0.2">
      <c r="A170" s="63" t="s">
        <v>510</v>
      </c>
      <c r="B170" s="177">
        <v>89711</v>
      </c>
      <c r="C170" s="64" t="s">
        <v>14</v>
      </c>
      <c r="D170" s="59" t="s">
        <v>181</v>
      </c>
      <c r="E170" s="63" t="s">
        <v>19</v>
      </c>
      <c r="F170" s="68">
        <f>MC!H747</f>
        <v>6.88</v>
      </c>
      <c r="G170" s="184">
        <f t="shared" si="48"/>
        <v>21.9</v>
      </c>
      <c r="H170" s="66">
        <f t="shared" si="43"/>
        <v>26.11</v>
      </c>
      <c r="I170" s="69">
        <f t="shared" si="44"/>
        <v>179.63</v>
      </c>
      <c r="K170" s="188">
        <v>21.9</v>
      </c>
      <c r="L170" s="188">
        <v>20.62</v>
      </c>
    </row>
    <row r="171" spans="1:12" ht="40.15" customHeight="1" x14ac:dyDescent="0.2">
      <c r="A171" s="63" t="s">
        <v>511</v>
      </c>
      <c r="B171" s="177">
        <v>89714</v>
      </c>
      <c r="C171" s="64" t="s">
        <v>14</v>
      </c>
      <c r="D171" s="59" t="s">
        <v>182</v>
      </c>
      <c r="E171" s="63" t="s">
        <v>19</v>
      </c>
      <c r="F171" s="68">
        <f>MC!H752</f>
        <v>28.57</v>
      </c>
      <c r="G171" s="184">
        <f t="shared" si="48"/>
        <v>37.979999999999997</v>
      </c>
      <c r="H171" s="66">
        <f t="shared" si="43"/>
        <v>45.28</v>
      </c>
      <c r="I171" s="69">
        <f t="shared" si="44"/>
        <v>1293.6400000000001</v>
      </c>
      <c r="K171" s="211">
        <v>37.979999999999997</v>
      </c>
      <c r="L171" s="209">
        <v>36.04</v>
      </c>
    </row>
    <row r="172" spans="1:12" ht="24" customHeight="1" x14ac:dyDescent="0.2">
      <c r="A172" s="63" t="s">
        <v>512</v>
      </c>
      <c r="B172" s="177">
        <v>4883</v>
      </c>
      <c r="C172" s="64" t="s">
        <v>21</v>
      </c>
      <c r="D172" s="59" t="s">
        <v>423</v>
      </c>
      <c r="E172" s="63" t="s">
        <v>578</v>
      </c>
      <c r="F172" s="68">
        <f>MC!H757</f>
        <v>10</v>
      </c>
      <c r="G172" s="184">
        <f t="shared" si="48"/>
        <v>663.09</v>
      </c>
      <c r="H172" s="66">
        <f t="shared" si="43"/>
        <v>790.47</v>
      </c>
      <c r="I172" s="69">
        <f t="shared" si="44"/>
        <v>7904.7</v>
      </c>
      <c r="K172" s="193">
        <v>663.09</v>
      </c>
      <c r="L172" s="193">
        <v>663.09</v>
      </c>
    </row>
    <row r="173" spans="1:12" ht="40.9" customHeight="1" x14ac:dyDescent="0.2">
      <c r="A173" s="63" t="s">
        <v>513</v>
      </c>
      <c r="B173" s="177">
        <v>89708</v>
      </c>
      <c r="C173" s="64" t="s">
        <v>14</v>
      </c>
      <c r="D173" s="59" t="s">
        <v>183</v>
      </c>
      <c r="E173" s="63" t="s">
        <v>578</v>
      </c>
      <c r="F173" s="68">
        <f>MC!H762</f>
        <v>5</v>
      </c>
      <c r="G173" s="184">
        <f t="shared" si="48"/>
        <v>88.09</v>
      </c>
      <c r="H173" s="66">
        <f t="shared" si="43"/>
        <v>105.01</v>
      </c>
      <c r="I173" s="69">
        <f t="shared" si="44"/>
        <v>525.04999999999995</v>
      </c>
      <c r="K173" s="193">
        <v>88.09</v>
      </c>
      <c r="L173" s="188">
        <v>86.01</v>
      </c>
    </row>
    <row r="174" spans="1:12" ht="27" customHeight="1" x14ac:dyDescent="0.2">
      <c r="A174" s="63" t="s">
        <v>514</v>
      </c>
      <c r="B174" s="177">
        <v>11738</v>
      </c>
      <c r="C174" s="64" t="s">
        <v>395</v>
      </c>
      <c r="D174" s="62" t="s">
        <v>184</v>
      </c>
      <c r="E174" s="63" t="s">
        <v>578</v>
      </c>
      <c r="F174" s="70">
        <f>MC!H767</f>
        <v>5</v>
      </c>
      <c r="G174" s="184">
        <f t="shared" si="48"/>
        <v>12.37</v>
      </c>
      <c r="H174" s="66">
        <f>ROUND(G174*1.1089,2)</f>
        <v>13.72</v>
      </c>
      <c r="I174" s="71">
        <f>TRUNC(H174*F174,2)</f>
        <v>68.599999999999994</v>
      </c>
      <c r="K174" s="193">
        <v>12.37</v>
      </c>
      <c r="L174" s="193">
        <v>12.37</v>
      </c>
    </row>
    <row r="175" spans="1:12" ht="24" customHeight="1" x14ac:dyDescent="0.2">
      <c r="A175" s="82" t="s">
        <v>515</v>
      </c>
      <c r="B175" s="83"/>
      <c r="C175" s="83"/>
      <c r="D175" s="84" t="s">
        <v>530</v>
      </c>
      <c r="E175" s="83"/>
      <c r="F175" s="85"/>
      <c r="G175" s="183"/>
      <c r="H175" s="83"/>
      <c r="I175" s="86">
        <f>I176</f>
        <v>14223.59</v>
      </c>
      <c r="K175" s="193"/>
      <c r="L175" s="188"/>
    </row>
    <row r="176" spans="1:12" ht="26.1" customHeight="1" x14ac:dyDescent="0.2">
      <c r="A176" s="63" t="s">
        <v>516</v>
      </c>
      <c r="B176" s="177">
        <v>10319</v>
      </c>
      <c r="C176" s="64" t="s">
        <v>21</v>
      </c>
      <c r="D176" s="59" t="s">
        <v>551</v>
      </c>
      <c r="E176" s="63" t="s">
        <v>578</v>
      </c>
      <c r="F176" s="70">
        <f>MC!H773</f>
        <v>1</v>
      </c>
      <c r="G176" s="184">
        <f>K176</f>
        <v>11931.54</v>
      </c>
      <c r="H176" s="66">
        <f t="shared" si="43"/>
        <v>14223.59</v>
      </c>
      <c r="I176" s="71">
        <f>TRUNC(H176*F176,2)</f>
        <v>14223.59</v>
      </c>
      <c r="K176" s="193">
        <v>11931.54</v>
      </c>
      <c r="L176" s="193">
        <v>11931.54</v>
      </c>
    </row>
    <row r="177" spans="1:12" ht="24" customHeight="1" x14ac:dyDescent="0.2">
      <c r="A177" s="82" t="s">
        <v>532</v>
      </c>
      <c r="B177" s="83"/>
      <c r="C177" s="83"/>
      <c r="D177" s="84" t="s">
        <v>531</v>
      </c>
      <c r="E177" s="83"/>
      <c r="F177" s="85"/>
      <c r="G177" s="183"/>
      <c r="H177" s="83"/>
      <c r="I177" s="86">
        <f>I178</f>
        <v>6448.31</v>
      </c>
      <c r="K177" s="193"/>
      <c r="L177" s="188"/>
    </row>
    <row r="178" spans="1:12" ht="26.1" customHeight="1" x14ac:dyDescent="0.2">
      <c r="A178" s="63" t="s">
        <v>533</v>
      </c>
      <c r="B178" s="177">
        <v>1747</v>
      </c>
      <c r="C178" s="64" t="s">
        <v>21</v>
      </c>
      <c r="D178" s="59" t="s">
        <v>552</v>
      </c>
      <c r="E178" s="63" t="s">
        <v>578</v>
      </c>
      <c r="F178" s="70">
        <f>MC!H779</f>
        <v>1</v>
      </c>
      <c r="G178" s="184">
        <f>K178</f>
        <v>5409.2</v>
      </c>
      <c r="H178" s="66">
        <f t="shared" si="43"/>
        <v>6448.31</v>
      </c>
      <c r="I178" s="71">
        <f>TRUNC(H178*F178,2)</f>
        <v>6448.31</v>
      </c>
      <c r="K178" s="193">
        <v>5409.2</v>
      </c>
      <c r="L178" s="193">
        <v>5409.2</v>
      </c>
    </row>
    <row r="179" spans="1:12" ht="24" customHeight="1" x14ac:dyDescent="0.2">
      <c r="A179" s="82" t="s">
        <v>534</v>
      </c>
      <c r="B179" s="83"/>
      <c r="C179" s="83"/>
      <c r="D179" s="84" t="s">
        <v>185</v>
      </c>
      <c r="E179" s="83"/>
      <c r="F179" s="85"/>
      <c r="G179" s="183"/>
      <c r="H179" s="83"/>
      <c r="I179" s="86">
        <f>SUM(I180:I195)</f>
        <v>36999.089999999997</v>
      </c>
      <c r="K179" s="193"/>
      <c r="L179" s="188"/>
    </row>
    <row r="180" spans="1:12" ht="24" customHeight="1" x14ac:dyDescent="0.2">
      <c r="A180" s="63" t="s">
        <v>535</v>
      </c>
      <c r="B180" s="177">
        <v>11150</v>
      </c>
      <c r="C180" s="64" t="s">
        <v>21</v>
      </c>
      <c r="D180" s="60" t="s">
        <v>424</v>
      </c>
      <c r="E180" s="63" t="s">
        <v>458</v>
      </c>
      <c r="F180" s="68">
        <f>MC!H785</f>
        <v>2</v>
      </c>
      <c r="G180" s="184">
        <f>K180</f>
        <v>816.25</v>
      </c>
      <c r="H180" s="66">
        <f t="shared" si="43"/>
        <v>973.05</v>
      </c>
      <c r="I180" s="69">
        <f t="shared" ref="I180:I194" si="49">TRUNC(H180*F180,2)</f>
        <v>1946.1</v>
      </c>
      <c r="K180" s="193">
        <v>816.25</v>
      </c>
      <c r="L180" s="193">
        <v>816.25</v>
      </c>
    </row>
    <row r="181" spans="1:12" ht="26.45" customHeight="1" x14ac:dyDescent="0.2">
      <c r="A181" s="63" t="s">
        <v>536</v>
      </c>
      <c r="B181" s="177">
        <v>2272</v>
      </c>
      <c r="C181" s="64" t="s">
        <v>21</v>
      </c>
      <c r="D181" s="60" t="s">
        <v>425</v>
      </c>
      <c r="E181" s="63" t="s">
        <v>19</v>
      </c>
      <c r="F181" s="68">
        <f>MC!H790</f>
        <v>5</v>
      </c>
      <c r="G181" s="184">
        <f>K181</f>
        <v>53.29</v>
      </c>
      <c r="H181" s="66">
        <f t="shared" si="43"/>
        <v>63.53</v>
      </c>
      <c r="I181" s="69">
        <f t="shared" si="49"/>
        <v>317.64999999999998</v>
      </c>
      <c r="K181" s="193">
        <v>53.29</v>
      </c>
      <c r="L181" s="193">
        <v>53.29</v>
      </c>
    </row>
    <row r="182" spans="1:12" ht="27" customHeight="1" x14ac:dyDescent="0.2">
      <c r="A182" s="63" t="s">
        <v>537</v>
      </c>
      <c r="B182" s="147" t="s">
        <v>613</v>
      </c>
      <c r="C182" s="63" t="s">
        <v>397</v>
      </c>
      <c r="D182" s="60" t="s">
        <v>187</v>
      </c>
      <c r="E182" s="63" t="s">
        <v>19</v>
      </c>
      <c r="F182" s="68">
        <f>MC!H795</f>
        <v>5</v>
      </c>
      <c r="G182" s="184">
        <f>COMPOSIÇÕES!H104</f>
        <v>158.13499999999999</v>
      </c>
      <c r="H182" s="66">
        <f t="shared" si="43"/>
        <v>188.51</v>
      </c>
      <c r="I182" s="69">
        <f t="shared" si="49"/>
        <v>942.55</v>
      </c>
      <c r="K182" s="193"/>
      <c r="L182" s="188"/>
    </row>
    <row r="183" spans="1:12" ht="52.9" customHeight="1" x14ac:dyDescent="0.2">
      <c r="A183" s="63" t="s">
        <v>538</v>
      </c>
      <c r="B183" s="177">
        <v>11365</v>
      </c>
      <c r="C183" s="64" t="s">
        <v>21</v>
      </c>
      <c r="D183" s="60" t="s">
        <v>426</v>
      </c>
      <c r="E183" s="63" t="s">
        <v>458</v>
      </c>
      <c r="F183" s="68">
        <f>MC!H805</f>
        <v>18.63</v>
      </c>
      <c r="G183" s="184">
        <f t="shared" ref="G183:G195" si="50">K183</f>
        <v>743.23</v>
      </c>
      <c r="H183" s="66">
        <f t="shared" si="43"/>
        <v>886</v>
      </c>
      <c r="I183" s="69">
        <f t="shared" ref="I183" si="51">TRUNC(H183*F183,2)</f>
        <v>16506.18</v>
      </c>
      <c r="K183" s="193">
        <v>743.23</v>
      </c>
      <c r="L183" s="193">
        <v>743.23</v>
      </c>
    </row>
    <row r="184" spans="1:12" ht="41.45" customHeight="1" x14ac:dyDescent="0.2">
      <c r="A184" s="63" t="s">
        <v>539</v>
      </c>
      <c r="B184" s="177">
        <v>86931</v>
      </c>
      <c r="C184" s="64" t="s">
        <v>14</v>
      </c>
      <c r="D184" s="60" t="s">
        <v>188</v>
      </c>
      <c r="E184" s="63" t="s">
        <v>578</v>
      </c>
      <c r="F184" s="68">
        <f>MC!H810</f>
        <v>6</v>
      </c>
      <c r="G184" s="184">
        <f t="shared" si="50"/>
        <v>514.41999999999996</v>
      </c>
      <c r="H184" s="66">
        <f t="shared" si="43"/>
        <v>613.24</v>
      </c>
      <c r="I184" s="69">
        <f t="shared" si="49"/>
        <v>3679.44</v>
      </c>
      <c r="J184" s="111"/>
      <c r="K184" s="193">
        <v>514.41999999999996</v>
      </c>
      <c r="L184" s="188">
        <v>511.28</v>
      </c>
    </row>
    <row r="185" spans="1:12" ht="53.45" customHeight="1" x14ac:dyDescent="0.2">
      <c r="A185" s="63" t="s">
        <v>540</v>
      </c>
      <c r="B185" s="177">
        <v>95472</v>
      </c>
      <c r="C185" s="64" t="s">
        <v>14</v>
      </c>
      <c r="D185" s="60" t="s">
        <v>189</v>
      </c>
      <c r="E185" s="63" t="s">
        <v>578</v>
      </c>
      <c r="F185" s="68">
        <f>MC!H815</f>
        <v>2</v>
      </c>
      <c r="G185" s="184">
        <f t="shared" si="50"/>
        <v>786.42</v>
      </c>
      <c r="H185" s="66">
        <f t="shared" si="43"/>
        <v>937.49</v>
      </c>
      <c r="I185" s="69">
        <f t="shared" si="49"/>
        <v>1874.98</v>
      </c>
      <c r="K185" s="193">
        <v>786.42</v>
      </c>
      <c r="L185" s="188">
        <v>782.61</v>
      </c>
    </row>
    <row r="186" spans="1:12" ht="27" customHeight="1" x14ac:dyDescent="0.2">
      <c r="A186" s="63" t="s">
        <v>541</v>
      </c>
      <c r="B186" s="177">
        <v>100849</v>
      </c>
      <c r="C186" s="64" t="s">
        <v>14</v>
      </c>
      <c r="D186" s="60" t="s">
        <v>190</v>
      </c>
      <c r="E186" s="63" t="s">
        <v>578</v>
      </c>
      <c r="F186" s="68">
        <f>MC!H820</f>
        <v>8</v>
      </c>
      <c r="G186" s="184">
        <f t="shared" si="50"/>
        <v>33.130000000000003</v>
      </c>
      <c r="H186" s="66">
        <f t="shared" si="43"/>
        <v>39.49</v>
      </c>
      <c r="I186" s="69">
        <f t="shared" si="49"/>
        <v>315.92</v>
      </c>
      <c r="K186" s="193">
        <v>33.130000000000003</v>
      </c>
      <c r="L186" s="188">
        <v>32.67</v>
      </c>
    </row>
    <row r="187" spans="1:12" ht="55.15" customHeight="1" x14ac:dyDescent="0.2">
      <c r="A187" s="63" t="s">
        <v>542</v>
      </c>
      <c r="B187" s="177">
        <v>86919</v>
      </c>
      <c r="C187" s="64" t="s">
        <v>14</v>
      </c>
      <c r="D187" s="60" t="s">
        <v>390</v>
      </c>
      <c r="E187" s="63" t="s">
        <v>578</v>
      </c>
      <c r="F187" s="68">
        <f>MC!H825</f>
        <v>1</v>
      </c>
      <c r="G187" s="184">
        <f t="shared" si="50"/>
        <v>958.91</v>
      </c>
      <c r="H187" s="66">
        <f t="shared" si="43"/>
        <v>1143.1199999999999</v>
      </c>
      <c r="I187" s="69">
        <f t="shared" ref="I187" si="52">TRUNC(H187*F187,2)</f>
        <v>1143.1199999999999</v>
      </c>
      <c r="K187" s="193">
        <v>958.91</v>
      </c>
      <c r="L187" s="188">
        <v>952.1</v>
      </c>
    </row>
    <row r="188" spans="1:12" ht="27" customHeight="1" x14ac:dyDescent="0.2">
      <c r="A188" s="63" t="s">
        <v>543</v>
      </c>
      <c r="B188" s="177">
        <v>86915</v>
      </c>
      <c r="C188" s="64" t="s">
        <v>14</v>
      </c>
      <c r="D188" s="60" t="s">
        <v>191</v>
      </c>
      <c r="E188" s="63" t="s">
        <v>578</v>
      </c>
      <c r="F188" s="68">
        <f>MC!H830</f>
        <v>6</v>
      </c>
      <c r="G188" s="184">
        <f t="shared" si="50"/>
        <v>158.69</v>
      </c>
      <c r="H188" s="66">
        <f t="shared" si="43"/>
        <v>189.17</v>
      </c>
      <c r="I188" s="69">
        <f t="shared" si="49"/>
        <v>1135.02</v>
      </c>
      <c r="K188" s="193">
        <v>158.69</v>
      </c>
      <c r="L188" s="188">
        <v>158.41</v>
      </c>
    </row>
    <row r="189" spans="1:12" ht="40.5" customHeight="1" x14ac:dyDescent="0.2">
      <c r="A189" s="63" t="s">
        <v>544</v>
      </c>
      <c r="B189" s="177">
        <v>86938</v>
      </c>
      <c r="C189" s="64" t="s">
        <v>14</v>
      </c>
      <c r="D189" s="60" t="s">
        <v>192</v>
      </c>
      <c r="E189" s="63" t="s">
        <v>578</v>
      </c>
      <c r="F189" s="68">
        <f>MC!H835</f>
        <v>6</v>
      </c>
      <c r="G189" s="184">
        <f t="shared" si="50"/>
        <v>469.13</v>
      </c>
      <c r="H189" s="66">
        <f t="shared" si="43"/>
        <v>559.25</v>
      </c>
      <c r="I189" s="69">
        <f t="shared" si="49"/>
        <v>3355.5</v>
      </c>
      <c r="K189" s="193">
        <v>469.13</v>
      </c>
      <c r="L189" s="188">
        <v>465.27</v>
      </c>
    </row>
    <row r="190" spans="1:12" ht="39" customHeight="1" x14ac:dyDescent="0.2">
      <c r="A190" s="63" t="s">
        <v>545</v>
      </c>
      <c r="B190" s="177">
        <v>95547</v>
      </c>
      <c r="C190" s="64" t="s">
        <v>14</v>
      </c>
      <c r="D190" s="60" t="s">
        <v>193</v>
      </c>
      <c r="E190" s="63" t="s">
        <v>578</v>
      </c>
      <c r="F190" s="68">
        <f>MC!H840</f>
        <v>2</v>
      </c>
      <c r="G190" s="184">
        <f t="shared" si="50"/>
        <v>96.5</v>
      </c>
      <c r="H190" s="66">
        <f t="shared" si="43"/>
        <v>115.04</v>
      </c>
      <c r="I190" s="69">
        <f t="shared" si="49"/>
        <v>230.08</v>
      </c>
      <c r="K190" s="193">
        <v>96.5</v>
      </c>
      <c r="L190" s="188">
        <v>95.55</v>
      </c>
    </row>
    <row r="191" spans="1:12" ht="26.1" customHeight="1" x14ac:dyDescent="0.2">
      <c r="A191" s="63" t="s">
        <v>546</v>
      </c>
      <c r="B191" s="177">
        <v>37401</v>
      </c>
      <c r="C191" s="64" t="s">
        <v>395</v>
      </c>
      <c r="D191" s="61" t="s">
        <v>194</v>
      </c>
      <c r="E191" s="63" t="s">
        <v>578</v>
      </c>
      <c r="F191" s="70">
        <f>MC!H845</f>
        <v>2</v>
      </c>
      <c r="G191" s="184">
        <f t="shared" si="50"/>
        <v>88.39</v>
      </c>
      <c r="H191" s="66">
        <f>ROUND(G191*1.1089,2)</f>
        <v>98.02</v>
      </c>
      <c r="I191" s="71">
        <f>TRUNC(H191*F191,2)</f>
        <v>196.04</v>
      </c>
      <c r="K191" s="188">
        <v>88.39</v>
      </c>
      <c r="L191" s="188">
        <v>88.39</v>
      </c>
    </row>
    <row r="192" spans="1:12" ht="28.5" customHeight="1" x14ac:dyDescent="0.2">
      <c r="A192" s="63" t="s">
        <v>547</v>
      </c>
      <c r="B192" s="177">
        <v>95544</v>
      </c>
      <c r="C192" s="64" t="s">
        <v>14</v>
      </c>
      <c r="D192" s="60" t="s">
        <v>303</v>
      </c>
      <c r="E192" s="63" t="s">
        <v>578</v>
      </c>
      <c r="F192" s="68">
        <f>MC!H850</f>
        <v>8</v>
      </c>
      <c r="G192" s="184">
        <f t="shared" si="50"/>
        <v>84.64</v>
      </c>
      <c r="H192" s="66">
        <f t="shared" si="43"/>
        <v>100.9</v>
      </c>
      <c r="I192" s="69">
        <f t="shared" ref="I192" si="53">TRUNC(H192*F192,2)</f>
        <v>807.2</v>
      </c>
      <c r="K192" s="193">
        <v>84.64</v>
      </c>
      <c r="L192" s="188">
        <v>83.69</v>
      </c>
    </row>
    <row r="193" spans="1:12" ht="39" customHeight="1" x14ac:dyDescent="0.2">
      <c r="A193" s="63" t="s">
        <v>548</v>
      </c>
      <c r="B193" s="177">
        <v>100868</v>
      </c>
      <c r="C193" s="64" t="s">
        <v>14</v>
      </c>
      <c r="D193" s="60" t="s">
        <v>195</v>
      </c>
      <c r="E193" s="63" t="s">
        <v>578</v>
      </c>
      <c r="F193" s="68">
        <f>MC!H855</f>
        <v>6</v>
      </c>
      <c r="G193" s="184">
        <f t="shared" si="50"/>
        <v>366.2</v>
      </c>
      <c r="H193" s="66">
        <f t="shared" si="43"/>
        <v>436.55</v>
      </c>
      <c r="I193" s="69">
        <f t="shared" si="49"/>
        <v>2619.3000000000002</v>
      </c>
      <c r="K193" s="193">
        <v>366.2</v>
      </c>
      <c r="L193" s="188">
        <v>363.37</v>
      </c>
    </row>
    <row r="194" spans="1:12" ht="27.75" customHeight="1" x14ac:dyDescent="0.2">
      <c r="A194" s="63" t="s">
        <v>549</v>
      </c>
      <c r="B194" s="177">
        <v>100874</v>
      </c>
      <c r="C194" s="64" t="s">
        <v>14</v>
      </c>
      <c r="D194" s="60" t="s">
        <v>196</v>
      </c>
      <c r="E194" s="63" t="s">
        <v>578</v>
      </c>
      <c r="F194" s="68">
        <f>MC!H860</f>
        <v>2</v>
      </c>
      <c r="G194" s="184">
        <f t="shared" si="50"/>
        <v>337.51</v>
      </c>
      <c r="H194" s="66">
        <f t="shared" si="43"/>
        <v>402.35</v>
      </c>
      <c r="I194" s="69">
        <f t="shared" si="49"/>
        <v>804.7</v>
      </c>
      <c r="K194" s="193">
        <v>337.51</v>
      </c>
      <c r="L194" s="188">
        <v>334.68</v>
      </c>
    </row>
    <row r="195" spans="1:12" ht="24" customHeight="1" x14ac:dyDescent="0.2">
      <c r="A195" s="63" t="s">
        <v>550</v>
      </c>
      <c r="B195" s="177">
        <v>11186</v>
      </c>
      <c r="C195" s="64" t="s">
        <v>395</v>
      </c>
      <c r="D195" s="61" t="s">
        <v>197</v>
      </c>
      <c r="E195" s="63" t="s">
        <v>458</v>
      </c>
      <c r="F195" s="70">
        <f>MC!H865</f>
        <v>2.4</v>
      </c>
      <c r="G195" s="184">
        <f t="shared" si="50"/>
        <v>422.83</v>
      </c>
      <c r="H195" s="66">
        <f>ROUND(G195*1.1089,2)</f>
        <v>468.88</v>
      </c>
      <c r="I195" s="71">
        <f>TRUNC(H195*F195,2)</f>
        <v>1125.31</v>
      </c>
      <c r="K195" s="188">
        <v>422.83</v>
      </c>
      <c r="L195" s="188">
        <v>422.83</v>
      </c>
    </row>
    <row r="196" spans="1:12" ht="24" customHeight="1" x14ac:dyDescent="0.2">
      <c r="A196" s="87" t="s">
        <v>411</v>
      </c>
      <c r="B196" s="78"/>
      <c r="C196" s="78"/>
      <c r="D196" s="79" t="s">
        <v>198</v>
      </c>
      <c r="E196" s="78"/>
      <c r="F196" s="80"/>
      <c r="G196" s="182"/>
      <c r="H196" s="78"/>
      <c r="I196" s="81">
        <f>SUM(I197,I207,I212,I216,I220,I224,I227,I233)</f>
        <v>47636.800000000003</v>
      </c>
      <c r="K196" s="193"/>
      <c r="L196" s="189"/>
    </row>
    <row r="197" spans="1:12" ht="24" customHeight="1" x14ac:dyDescent="0.2">
      <c r="A197" s="82" t="s">
        <v>199</v>
      </c>
      <c r="B197" s="83"/>
      <c r="C197" s="83"/>
      <c r="D197" s="84" t="s">
        <v>200</v>
      </c>
      <c r="E197" s="83"/>
      <c r="F197" s="85"/>
      <c r="G197" s="183"/>
      <c r="H197" s="83"/>
      <c r="I197" s="86">
        <f>SUM(I198:I206)</f>
        <v>3370.1800000000003</v>
      </c>
      <c r="K197" s="193"/>
      <c r="L197" s="189"/>
    </row>
    <row r="198" spans="1:12" ht="25.5" x14ac:dyDescent="0.2">
      <c r="A198" s="63" t="s">
        <v>589</v>
      </c>
      <c r="B198" s="177" t="s">
        <v>587</v>
      </c>
      <c r="C198" s="63" t="s">
        <v>21</v>
      </c>
      <c r="D198" s="59" t="s">
        <v>588</v>
      </c>
      <c r="E198" s="63" t="s">
        <v>578</v>
      </c>
      <c r="F198" s="68">
        <f>MC!H872</f>
        <v>8</v>
      </c>
      <c r="G198" s="184">
        <f t="shared" ref="G198:G206" si="54">K198</f>
        <v>92</v>
      </c>
      <c r="H198" s="66">
        <f t="shared" ref="H198:H238" si="55">ROUND(G198*1.1921,2)</f>
        <v>109.67</v>
      </c>
      <c r="I198" s="69">
        <f t="shared" ref="I198" si="56">TRUNC(H198*F198,2)</f>
        <v>877.36</v>
      </c>
      <c r="J198" s="159"/>
      <c r="K198" s="211">
        <v>92</v>
      </c>
      <c r="L198" s="209">
        <v>92</v>
      </c>
    </row>
    <row r="199" spans="1:12" ht="26.1" customHeight="1" x14ac:dyDescent="0.2">
      <c r="A199" s="63" t="s">
        <v>590</v>
      </c>
      <c r="B199" s="177">
        <v>91936</v>
      </c>
      <c r="C199" s="64" t="s">
        <v>14</v>
      </c>
      <c r="D199" s="59" t="s">
        <v>201</v>
      </c>
      <c r="E199" s="63" t="s">
        <v>578</v>
      </c>
      <c r="F199" s="68">
        <f>MC!H877</f>
        <v>12</v>
      </c>
      <c r="G199" s="184">
        <f t="shared" si="54"/>
        <v>21.41</v>
      </c>
      <c r="H199" s="66">
        <f t="shared" si="55"/>
        <v>25.52</v>
      </c>
      <c r="I199" s="69">
        <f t="shared" ref="I199:I229" si="57">TRUNC(H199*F199,2)</f>
        <v>306.24</v>
      </c>
      <c r="K199" s="211">
        <v>21.41</v>
      </c>
      <c r="L199" s="209">
        <v>20.43</v>
      </c>
    </row>
    <row r="200" spans="1:12" ht="26.1" customHeight="1" x14ac:dyDescent="0.2">
      <c r="A200" s="63" t="s">
        <v>591</v>
      </c>
      <c r="B200" s="177">
        <v>1872</v>
      </c>
      <c r="C200" s="64" t="s">
        <v>395</v>
      </c>
      <c r="D200" s="62" t="s">
        <v>202</v>
      </c>
      <c r="E200" s="63" t="s">
        <v>578</v>
      </c>
      <c r="F200" s="72">
        <f>MC!H882</f>
        <v>30</v>
      </c>
      <c r="G200" s="181">
        <f t="shared" si="54"/>
        <v>3.5</v>
      </c>
      <c r="H200" s="66">
        <f>ROUND(G200*1.1089,2)</f>
        <v>3.88</v>
      </c>
      <c r="I200" s="73">
        <f>TRUNC(H200*F200,2)</f>
        <v>116.4</v>
      </c>
      <c r="K200" s="211">
        <v>3.5</v>
      </c>
      <c r="L200" s="209">
        <v>3.5</v>
      </c>
    </row>
    <row r="201" spans="1:12" ht="39" customHeight="1" x14ac:dyDescent="0.2">
      <c r="A201" s="63" t="s">
        <v>828</v>
      </c>
      <c r="B201" s="177">
        <v>91884</v>
      </c>
      <c r="C201" s="64" t="s">
        <v>14</v>
      </c>
      <c r="D201" s="59" t="s">
        <v>829</v>
      </c>
      <c r="E201" s="63" t="s">
        <v>578</v>
      </c>
      <c r="F201" s="65">
        <f>MC!H887</f>
        <v>6</v>
      </c>
      <c r="G201" s="181">
        <f t="shared" ref="G201" si="58">K201</f>
        <v>12.73</v>
      </c>
      <c r="H201" s="66">
        <f t="shared" ref="H201" si="59">ROUND(G201*1.1921,2)</f>
        <v>15.18</v>
      </c>
      <c r="I201" s="66">
        <f t="shared" ref="I201" si="60">TRUNC(H201*F201,2)</f>
        <v>91.08</v>
      </c>
      <c r="K201" s="193">
        <v>12.73</v>
      </c>
      <c r="L201" s="188">
        <v>11.87</v>
      </c>
    </row>
    <row r="202" spans="1:12" ht="40.9" customHeight="1" x14ac:dyDescent="0.2">
      <c r="A202" s="63" t="s">
        <v>592</v>
      </c>
      <c r="B202" s="177">
        <v>91880</v>
      </c>
      <c r="C202" s="64" t="s">
        <v>14</v>
      </c>
      <c r="D202" s="59" t="s">
        <v>831</v>
      </c>
      <c r="E202" s="63" t="s">
        <v>578</v>
      </c>
      <c r="F202" s="65">
        <f>MC!H892</f>
        <v>74</v>
      </c>
      <c r="G202" s="181">
        <f t="shared" si="54"/>
        <v>9.75</v>
      </c>
      <c r="H202" s="66">
        <f t="shared" si="55"/>
        <v>11.62</v>
      </c>
      <c r="I202" s="66">
        <f t="shared" si="57"/>
        <v>859.88</v>
      </c>
      <c r="K202" s="193">
        <v>9.75</v>
      </c>
      <c r="L202" s="188">
        <v>9.16</v>
      </c>
    </row>
    <row r="203" spans="1:12" ht="41.45" customHeight="1" x14ac:dyDescent="0.2">
      <c r="A203" s="63" t="s">
        <v>593</v>
      </c>
      <c r="B203" s="177">
        <v>104405</v>
      </c>
      <c r="C203" s="64" t="s">
        <v>14</v>
      </c>
      <c r="D203" s="59" t="s">
        <v>203</v>
      </c>
      <c r="E203" s="63" t="s">
        <v>578</v>
      </c>
      <c r="F203" s="65">
        <f>MC!H897</f>
        <v>4</v>
      </c>
      <c r="G203" s="181">
        <f t="shared" si="54"/>
        <v>54.18</v>
      </c>
      <c r="H203" s="66">
        <f t="shared" si="55"/>
        <v>64.59</v>
      </c>
      <c r="I203" s="66">
        <f t="shared" si="57"/>
        <v>258.36</v>
      </c>
      <c r="K203" s="193">
        <v>54.18</v>
      </c>
      <c r="L203" s="188">
        <v>51.81</v>
      </c>
    </row>
    <row r="204" spans="1:12" ht="24" customHeight="1" x14ac:dyDescent="0.2">
      <c r="A204" s="63" t="s">
        <v>594</v>
      </c>
      <c r="B204" s="177">
        <v>7543</v>
      </c>
      <c r="C204" s="64" t="s">
        <v>395</v>
      </c>
      <c r="D204" s="62" t="s">
        <v>204</v>
      </c>
      <c r="E204" s="63" t="s">
        <v>578</v>
      </c>
      <c r="F204" s="72">
        <f>MC!H902</f>
        <v>4</v>
      </c>
      <c r="G204" s="181">
        <f t="shared" si="54"/>
        <v>7.88</v>
      </c>
      <c r="H204" s="66">
        <f>ROUND(G204*1.1089,2)</f>
        <v>8.74</v>
      </c>
      <c r="I204" s="73">
        <f>TRUNC(H204*F204,2)</f>
        <v>34.96</v>
      </c>
      <c r="K204" s="193">
        <v>7.88</v>
      </c>
      <c r="L204" s="188">
        <v>7.88</v>
      </c>
    </row>
    <row r="205" spans="1:12" ht="40.9" customHeight="1" x14ac:dyDescent="0.2">
      <c r="A205" s="63" t="s">
        <v>595</v>
      </c>
      <c r="B205" s="177">
        <v>91914</v>
      </c>
      <c r="C205" s="64" t="s">
        <v>14</v>
      </c>
      <c r="D205" s="59" t="s">
        <v>830</v>
      </c>
      <c r="E205" s="63" t="s">
        <v>578</v>
      </c>
      <c r="F205" s="65">
        <f>MC!H907</f>
        <v>3</v>
      </c>
      <c r="G205" s="181">
        <f t="shared" ref="G205" si="61">K205</f>
        <v>20.5</v>
      </c>
      <c r="H205" s="66">
        <f t="shared" ref="H205" si="62">ROUND(G205*1.1921,2)</f>
        <v>24.44</v>
      </c>
      <c r="I205" s="66">
        <f t="shared" ref="I205" si="63">TRUNC(H205*F205,2)</f>
        <v>73.319999999999993</v>
      </c>
      <c r="K205" s="193">
        <v>20.5</v>
      </c>
      <c r="L205" s="188">
        <v>19.190000000000001</v>
      </c>
    </row>
    <row r="206" spans="1:12" ht="39" customHeight="1" x14ac:dyDescent="0.2">
      <c r="A206" s="63" t="s">
        <v>827</v>
      </c>
      <c r="B206" s="177">
        <v>91905</v>
      </c>
      <c r="C206" s="64" t="s">
        <v>14</v>
      </c>
      <c r="D206" s="59" t="s">
        <v>832</v>
      </c>
      <c r="E206" s="63" t="s">
        <v>578</v>
      </c>
      <c r="F206" s="65">
        <f>MC!H912</f>
        <v>37</v>
      </c>
      <c r="G206" s="181">
        <f t="shared" si="54"/>
        <v>17.059999999999999</v>
      </c>
      <c r="H206" s="66">
        <f t="shared" si="55"/>
        <v>20.34</v>
      </c>
      <c r="I206" s="66">
        <f t="shared" si="57"/>
        <v>752.58</v>
      </c>
      <c r="K206" s="193">
        <v>17.059999999999999</v>
      </c>
      <c r="L206" s="188">
        <v>16.190000000000001</v>
      </c>
    </row>
    <row r="207" spans="1:12" ht="24" customHeight="1" x14ac:dyDescent="0.2">
      <c r="A207" s="82" t="s">
        <v>205</v>
      </c>
      <c r="B207" s="83"/>
      <c r="C207" s="83"/>
      <c r="D207" s="84" t="s">
        <v>206</v>
      </c>
      <c r="E207" s="83"/>
      <c r="F207" s="85"/>
      <c r="G207" s="183"/>
      <c r="H207" s="83"/>
      <c r="I207" s="86">
        <f>SUM(I208:I211)</f>
        <v>7968.39</v>
      </c>
      <c r="K207" s="193"/>
      <c r="L207" s="188"/>
    </row>
    <row r="208" spans="1:12" ht="39" customHeight="1" x14ac:dyDescent="0.2">
      <c r="A208" s="63" t="s">
        <v>207</v>
      </c>
      <c r="B208" s="177">
        <v>91924</v>
      </c>
      <c r="C208" s="64" t="s">
        <v>14</v>
      </c>
      <c r="D208" s="59" t="s">
        <v>208</v>
      </c>
      <c r="E208" s="63" t="s">
        <v>19</v>
      </c>
      <c r="F208" s="65">
        <f>MC!H922</f>
        <v>64.099999999999994</v>
      </c>
      <c r="G208" s="181">
        <f>K208</f>
        <v>3.17</v>
      </c>
      <c r="H208" s="66">
        <f t="shared" si="55"/>
        <v>3.78</v>
      </c>
      <c r="I208" s="66">
        <f t="shared" si="57"/>
        <v>242.29</v>
      </c>
      <c r="K208" s="193">
        <v>3.17</v>
      </c>
      <c r="L208" s="188">
        <v>3.07</v>
      </c>
    </row>
    <row r="209" spans="1:12" ht="39" customHeight="1" x14ac:dyDescent="0.2">
      <c r="A209" s="63" t="s">
        <v>596</v>
      </c>
      <c r="B209" s="177">
        <v>91926</v>
      </c>
      <c r="C209" s="64" t="s">
        <v>14</v>
      </c>
      <c r="D209" s="59" t="s">
        <v>209</v>
      </c>
      <c r="E209" s="63" t="s">
        <v>19</v>
      </c>
      <c r="F209" s="65">
        <f>MC!H931</f>
        <v>448.09999999999997</v>
      </c>
      <c r="G209" s="181">
        <f>K209</f>
        <v>4.59</v>
      </c>
      <c r="H209" s="66">
        <f t="shared" si="55"/>
        <v>5.47</v>
      </c>
      <c r="I209" s="66">
        <f t="shared" si="57"/>
        <v>2451.1</v>
      </c>
      <c r="K209" s="193">
        <v>4.59</v>
      </c>
      <c r="L209" s="188">
        <v>4.46</v>
      </c>
    </row>
    <row r="210" spans="1:12" ht="39" customHeight="1" x14ac:dyDescent="0.2">
      <c r="A210" s="63" t="s">
        <v>597</v>
      </c>
      <c r="B210" s="177">
        <v>91928</v>
      </c>
      <c r="C210" s="64" t="s">
        <v>14</v>
      </c>
      <c r="D210" s="59" t="s">
        <v>210</v>
      </c>
      <c r="E210" s="63" t="s">
        <v>19</v>
      </c>
      <c r="F210" s="65">
        <f>MC!H939</f>
        <v>502.4</v>
      </c>
      <c r="G210" s="181">
        <f>K210</f>
        <v>7.06</v>
      </c>
      <c r="H210" s="66">
        <f t="shared" si="55"/>
        <v>8.42</v>
      </c>
      <c r="I210" s="66">
        <f t="shared" si="57"/>
        <v>4230.2</v>
      </c>
      <c r="K210" s="193">
        <v>7.06</v>
      </c>
      <c r="L210" s="188">
        <v>6.89</v>
      </c>
    </row>
    <row r="211" spans="1:12" ht="39" customHeight="1" x14ac:dyDescent="0.2">
      <c r="A211" s="63" t="s">
        <v>598</v>
      </c>
      <c r="B211" s="177">
        <v>91932</v>
      </c>
      <c r="C211" s="64" t="s">
        <v>14</v>
      </c>
      <c r="D211" s="59" t="s">
        <v>211</v>
      </c>
      <c r="E211" s="63" t="s">
        <v>19</v>
      </c>
      <c r="F211" s="65">
        <f>MC!H948</f>
        <v>49.800000000000004</v>
      </c>
      <c r="G211" s="181">
        <f>K211</f>
        <v>17.600000000000001</v>
      </c>
      <c r="H211" s="66">
        <f t="shared" si="55"/>
        <v>20.98</v>
      </c>
      <c r="I211" s="66">
        <f t="shared" si="57"/>
        <v>1044.8</v>
      </c>
      <c r="K211" s="193">
        <v>17.600000000000001</v>
      </c>
      <c r="L211" s="193">
        <v>17.27</v>
      </c>
    </row>
    <row r="212" spans="1:12" ht="24" customHeight="1" x14ac:dyDescent="0.2">
      <c r="A212" s="82" t="s">
        <v>212</v>
      </c>
      <c r="B212" s="83"/>
      <c r="C212" s="83"/>
      <c r="D212" s="84" t="s">
        <v>213</v>
      </c>
      <c r="E212" s="83"/>
      <c r="F212" s="85"/>
      <c r="G212" s="183"/>
      <c r="H212" s="83"/>
      <c r="I212" s="86">
        <f>SUM(I213:I215)</f>
        <v>557.66000000000008</v>
      </c>
      <c r="K212" s="193"/>
      <c r="L212" s="188"/>
    </row>
    <row r="213" spans="1:12" ht="27.75" customHeight="1" x14ac:dyDescent="0.2">
      <c r="A213" s="63" t="s">
        <v>214</v>
      </c>
      <c r="B213" s="177">
        <v>91953</v>
      </c>
      <c r="C213" s="64" t="s">
        <v>14</v>
      </c>
      <c r="D213" s="59" t="s">
        <v>215</v>
      </c>
      <c r="E213" s="63" t="s">
        <v>578</v>
      </c>
      <c r="F213" s="65">
        <f>MC!H954</f>
        <v>4</v>
      </c>
      <c r="G213" s="181">
        <f>K213</f>
        <v>30.69</v>
      </c>
      <c r="H213" s="66">
        <f t="shared" si="55"/>
        <v>36.590000000000003</v>
      </c>
      <c r="I213" s="66">
        <f t="shared" si="57"/>
        <v>146.36000000000001</v>
      </c>
      <c r="K213" s="193">
        <v>30.69</v>
      </c>
      <c r="L213" s="193">
        <v>29.09</v>
      </c>
    </row>
    <row r="214" spans="1:12" ht="29.25" customHeight="1" x14ac:dyDescent="0.2">
      <c r="A214" s="63" t="s">
        <v>599</v>
      </c>
      <c r="B214" s="177">
        <v>92008</v>
      </c>
      <c r="C214" s="64" t="s">
        <v>14</v>
      </c>
      <c r="D214" s="59" t="s">
        <v>216</v>
      </c>
      <c r="E214" s="63" t="s">
        <v>578</v>
      </c>
      <c r="F214" s="65">
        <f>MC!H959</f>
        <v>2</v>
      </c>
      <c r="G214" s="181">
        <f>K214</f>
        <v>49.48</v>
      </c>
      <c r="H214" s="66">
        <f t="shared" si="55"/>
        <v>58.99</v>
      </c>
      <c r="I214" s="66">
        <f t="shared" si="57"/>
        <v>117.98</v>
      </c>
      <c r="K214" s="193">
        <v>49.48</v>
      </c>
      <c r="L214" s="188">
        <v>47.05</v>
      </c>
    </row>
    <row r="215" spans="1:12" ht="25.5" x14ac:dyDescent="0.2">
      <c r="A215" s="63" t="s">
        <v>600</v>
      </c>
      <c r="B215" s="177">
        <v>2975</v>
      </c>
      <c r="C215" s="64" t="s">
        <v>21</v>
      </c>
      <c r="D215" s="59" t="s">
        <v>586</v>
      </c>
      <c r="E215" s="63" t="s">
        <v>578</v>
      </c>
      <c r="F215" s="65">
        <f>MC!H964</f>
        <v>4</v>
      </c>
      <c r="G215" s="181">
        <f>K215</f>
        <v>61.51</v>
      </c>
      <c r="H215" s="66">
        <f t="shared" si="55"/>
        <v>73.33</v>
      </c>
      <c r="I215" s="66">
        <f t="shared" ref="I215" si="64">ROUND(H215*F215,2)</f>
        <v>293.32</v>
      </c>
      <c r="J215" s="56"/>
      <c r="K215" s="193">
        <v>61.51</v>
      </c>
      <c r="L215" s="193">
        <v>61.51</v>
      </c>
    </row>
    <row r="216" spans="1:12" ht="24" customHeight="1" x14ac:dyDescent="0.2">
      <c r="A216" s="82" t="s">
        <v>217</v>
      </c>
      <c r="B216" s="83"/>
      <c r="C216" s="83"/>
      <c r="D216" s="84" t="s">
        <v>218</v>
      </c>
      <c r="E216" s="83"/>
      <c r="F216" s="85"/>
      <c r="G216" s="183"/>
      <c r="H216" s="83"/>
      <c r="I216" s="86">
        <f>SUM(I217:I219)</f>
        <v>361.23</v>
      </c>
      <c r="K216" s="193"/>
      <c r="L216" s="188"/>
    </row>
    <row r="217" spans="1:12" ht="27" customHeight="1" x14ac:dyDescent="0.2">
      <c r="A217" s="63" t="s">
        <v>219</v>
      </c>
      <c r="B217" s="177">
        <v>93653</v>
      </c>
      <c r="C217" s="64" t="s">
        <v>14</v>
      </c>
      <c r="D217" s="59" t="s">
        <v>220</v>
      </c>
      <c r="E217" s="63" t="s">
        <v>578</v>
      </c>
      <c r="F217" s="65">
        <f>MC!H970</f>
        <v>9</v>
      </c>
      <c r="G217" s="181">
        <f>K217</f>
        <v>13.9</v>
      </c>
      <c r="H217" s="66">
        <f t="shared" si="55"/>
        <v>16.57</v>
      </c>
      <c r="I217" s="66">
        <f t="shared" si="57"/>
        <v>149.13</v>
      </c>
      <c r="K217" s="193">
        <v>13.9</v>
      </c>
      <c r="L217" s="193">
        <v>13.74</v>
      </c>
    </row>
    <row r="218" spans="1:12" ht="27.6" customHeight="1" x14ac:dyDescent="0.2">
      <c r="A218" s="63" t="s">
        <v>601</v>
      </c>
      <c r="B218" s="177">
        <v>93657</v>
      </c>
      <c r="C218" s="64" t="s">
        <v>14</v>
      </c>
      <c r="D218" s="59" t="s">
        <v>836</v>
      </c>
      <c r="E218" s="63" t="s">
        <v>578</v>
      </c>
      <c r="F218" s="65">
        <f>MC!H975</f>
        <v>1</v>
      </c>
      <c r="G218" s="181">
        <f>K218</f>
        <v>17.649999999999999</v>
      </c>
      <c r="H218" s="66">
        <f t="shared" si="55"/>
        <v>21.04</v>
      </c>
      <c r="I218" s="66">
        <f t="shared" si="57"/>
        <v>21.04</v>
      </c>
      <c r="K218" s="193">
        <v>17.649999999999999</v>
      </c>
      <c r="L218" s="188">
        <v>17.239999999999998</v>
      </c>
    </row>
    <row r="219" spans="1:12" ht="54" customHeight="1" x14ac:dyDescent="0.2">
      <c r="A219" s="63" t="s">
        <v>602</v>
      </c>
      <c r="B219" s="178" t="s">
        <v>616</v>
      </c>
      <c r="C219" s="63" t="s">
        <v>615</v>
      </c>
      <c r="D219" s="59" t="s">
        <v>614</v>
      </c>
      <c r="E219" s="63" t="s">
        <v>578</v>
      </c>
      <c r="F219" s="65">
        <f>MC!H980</f>
        <v>1</v>
      </c>
      <c r="G219" s="181">
        <f>K219</f>
        <v>160.27000000000001</v>
      </c>
      <c r="H219" s="66">
        <f t="shared" si="55"/>
        <v>191.06</v>
      </c>
      <c r="I219" s="66">
        <f t="shared" si="57"/>
        <v>191.06</v>
      </c>
      <c r="K219" s="193">
        <v>160.27000000000001</v>
      </c>
      <c r="L219" s="188">
        <v>159.27000000000001</v>
      </c>
    </row>
    <row r="220" spans="1:12" ht="24" customHeight="1" x14ac:dyDescent="0.2">
      <c r="A220" s="82" t="s">
        <v>221</v>
      </c>
      <c r="B220" s="83"/>
      <c r="C220" s="83"/>
      <c r="D220" s="84" t="s">
        <v>222</v>
      </c>
      <c r="E220" s="83"/>
      <c r="F220" s="85"/>
      <c r="G220" s="183"/>
      <c r="H220" s="83"/>
      <c r="I220" s="86">
        <f>SUM(I221:I223)</f>
        <v>6674.5</v>
      </c>
      <c r="K220" s="193"/>
      <c r="L220" s="193"/>
    </row>
    <row r="221" spans="1:12" ht="39" customHeight="1" x14ac:dyDescent="0.2">
      <c r="A221" s="63" t="s">
        <v>223</v>
      </c>
      <c r="B221" s="177">
        <v>91854</v>
      </c>
      <c r="C221" s="64" t="s">
        <v>14</v>
      </c>
      <c r="D221" s="59" t="s">
        <v>224</v>
      </c>
      <c r="E221" s="63" t="s">
        <v>19</v>
      </c>
      <c r="F221" s="65">
        <f>MC!H986</f>
        <v>118.94</v>
      </c>
      <c r="G221" s="181">
        <f>K221</f>
        <v>10.34</v>
      </c>
      <c r="H221" s="66">
        <f t="shared" si="55"/>
        <v>12.33</v>
      </c>
      <c r="I221" s="66">
        <f t="shared" si="57"/>
        <v>1466.53</v>
      </c>
      <c r="K221" s="209">
        <v>10.34</v>
      </c>
      <c r="L221" s="209">
        <v>9.74</v>
      </c>
    </row>
    <row r="222" spans="1:12" ht="41.45" customHeight="1" x14ac:dyDescent="0.2">
      <c r="A222" s="63" t="s">
        <v>608</v>
      </c>
      <c r="B222" s="177">
        <v>91867</v>
      </c>
      <c r="C222" s="64" t="s">
        <v>14</v>
      </c>
      <c r="D222" s="59" t="s">
        <v>833</v>
      </c>
      <c r="E222" s="63" t="s">
        <v>19</v>
      </c>
      <c r="F222" s="65">
        <f>MC!H991</f>
        <v>12.34</v>
      </c>
      <c r="G222" s="181">
        <f>K222</f>
        <v>10.74</v>
      </c>
      <c r="H222" s="66">
        <f t="shared" ref="H222" si="65">ROUND(G222*1.1921,2)</f>
        <v>12.8</v>
      </c>
      <c r="I222" s="66">
        <f>TRUNC(H222*F222,2)</f>
        <v>157.94999999999999</v>
      </c>
      <c r="J222" s="159"/>
      <c r="K222" s="188">
        <v>10.74</v>
      </c>
      <c r="L222" s="188">
        <v>10.33</v>
      </c>
    </row>
    <row r="223" spans="1:12" ht="41.45" customHeight="1" x14ac:dyDescent="0.2">
      <c r="A223" s="63" t="s">
        <v>835</v>
      </c>
      <c r="B223" s="177">
        <v>91868</v>
      </c>
      <c r="C223" s="64" t="s">
        <v>14</v>
      </c>
      <c r="D223" s="59" t="s">
        <v>834</v>
      </c>
      <c r="E223" s="63" t="s">
        <v>19</v>
      </c>
      <c r="F223" s="65">
        <f>MC!H996</f>
        <v>283.55</v>
      </c>
      <c r="G223" s="181">
        <f>K223</f>
        <v>14.94</v>
      </c>
      <c r="H223" s="66">
        <f t="shared" si="55"/>
        <v>17.809999999999999</v>
      </c>
      <c r="I223" s="66">
        <f>TRUNC(H223*F223,2)</f>
        <v>5050.0200000000004</v>
      </c>
      <c r="J223" s="159"/>
      <c r="K223" s="188">
        <v>14.94</v>
      </c>
      <c r="L223" s="188">
        <v>14.43</v>
      </c>
    </row>
    <row r="224" spans="1:12" ht="24" customHeight="1" x14ac:dyDescent="0.2">
      <c r="A224" s="82" t="s">
        <v>225</v>
      </c>
      <c r="B224" s="83"/>
      <c r="C224" s="83"/>
      <c r="D224" s="84" t="s">
        <v>226</v>
      </c>
      <c r="E224" s="83"/>
      <c r="F224" s="85"/>
      <c r="G224" s="183"/>
      <c r="H224" s="83"/>
      <c r="I224" s="86">
        <f>SUM(I225:I226)</f>
        <v>2469.94</v>
      </c>
      <c r="K224" s="188"/>
      <c r="L224" s="188"/>
    </row>
    <row r="225" spans="1:12" ht="26.1" customHeight="1" x14ac:dyDescent="0.2">
      <c r="A225" s="63" t="s">
        <v>227</v>
      </c>
      <c r="B225" s="177">
        <v>11386</v>
      </c>
      <c r="C225" s="64" t="s">
        <v>21</v>
      </c>
      <c r="D225" s="59" t="s">
        <v>427</v>
      </c>
      <c r="E225" s="63" t="s">
        <v>578</v>
      </c>
      <c r="F225" s="65">
        <f>MC!H1002</f>
        <v>1</v>
      </c>
      <c r="G225" s="181">
        <f>K225</f>
        <v>1816.4</v>
      </c>
      <c r="H225" s="66">
        <f t="shared" si="55"/>
        <v>2165.33</v>
      </c>
      <c r="I225" s="66">
        <f t="shared" si="57"/>
        <v>2165.33</v>
      </c>
      <c r="K225" s="210">
        <v>1816.4</v>
      </c>
      <c r="L225" s="210">
        <v>1816.4</v>
      </c>
    </row>
    <row r="226" spans="1:12" ht="41.45" customHeight="1" x14ac:dyDescent="0.2">
      <c r="A226" s="63" t="s">
        <v>228</v>
      </c>
      <c r="B226" s="177">
        <v>12224</v>
      </c>
      <c r="C226" s="64" t="s">
        <v>21</v>
      </c>
      <c r="D226" s="59" t="s">
        <v>718</v>
      </c>
      <c r="E226" s="63" t="s">
        <v>578</v>
      </c>
      <c r="F226" s="65">
        <f>MC!H1007</f>
        <v>1</v>
      </c>
      <c r="G226" s="181">
        <f>K226</f>
        <v>255.52</v>
      </c>
      <c r="H226" s="66">
        <f t="shared" si="55"/>
        <v>304.61</v>
      </c>
      <c r="I226" s="66">
        <f t="shared" si="57"/>
        <v>304.61</v>
      </c>
      <c r="K226" s="209">
        <v>255.52</v>
      </c>
      <c r="L226" s="209">
        <v>255.52</v>
      </c>
    </row>
    <row r="227" spans="1:12" ht="24" customHeight="1" x14ac:dyDescent="0.2">
      <c r="A227" s="82" t="s">
        <v>229</v>
      </c>
      <c r="B227" s="83"/>
      <c r="C227" s="83"/>
      <c r="D227" s="84" t="s">
        <v>230</v>
      </c>
      <c r="E227" s="83"/>
      <c r="F227" s="85"/>
      <c r="G227" s="183"/>
      <c r="H227" s="83"/>
      <c r="I227" s="86">
        <f>SUM(I228:I232)</f>
        <v>11261.86</v>
      </c>
      <c r="K227" s="188"/>
      <c r="L227" s="188"/>
    </row>
    <row r="228" spans="1:12" ht="25.5" x14ac:dyDescent="0.2">
      <c r="A228" s="63" t="s">
        <v>231</v>
      </c>
      <c r="B228" s="147" t="s">
        <v>558</v>
      </c>
      <c r="C228" s="63" t="s">
        <v>397</v>
      </c>
      <c r="D228" s="59" t="s">
        <v>232</v>
      </c>
      <c r="E228" s="63" t="s">
        <v>578</v>
      </c>
      <c r="F228" s="65">
        <f>MC!H1013</f>
        <v>10</v>
      </c>
      <c r="G228" s="181">
        <f>COMPOSIÇÕES!H87</f>
        <v>102.99</v>
      </c>
      <c r="H228" s="66">
        <f t="shared" si="55"/>
        <v>122.77</v>
      </c>
      <c r="I228" s="66">
        <f t="shared" si="57"/>
        <v>1227.7</v>
      </c>
      <c r="K228" s="188"/>
      <c r="L228" s="188"/>
    </row>
    <row r="229" spans="1:12" ht="26.1" customHeight="1" x14ac:dyDescent="0.2">
      <c r="A229" s="63" t="s">
        <v>603</v>
      </c>
      <c r="B229" s="177">
        <v>12808</v>
      </c>
      <c r="C229" s="64" t="s">
        <v>21</v>
      </c>
      <c r="D229" s="59" t="s">
        <v>428</v>
      </c>
      <c r="E229" s="63" t="s">
        <v>578</v>
      </c>
      <c r="F229" s="65">
        <f>MC!H1018</f>
        <v>20</v>
      </c>
      <c r="G229" s="181">
        <f>K229</f>
        <v>138.91</v>
      </c>
      <c r="H229" s="66">
        <f t="shared" si="55"/>
        <v>165.59</v>
      </c>
      <c r="I229" s="66">
        <f t="shared" si="57"/>
        <v>3311.8</v>
      </c>
      <c r="K229" s="209">
        <v>138.91</v>
      </c>
      <c r="L229" s="209">
        <v>138.91</v>
      </c>
    </row>
    <row r="230" spans="1:12" s="56" customFormat="1" ht="27" customHeight="1" x14ac:dyDescent="0.2">
      <c r="A230" s="63" t="s">
        <v>604</v>
      </c>
      <c r="B230" s="177" t="s">
        <v>584</v>
      </c>
      <c r="C230" s="63" t="s">
        <v>253</v>
      </c>
      <c r="D230" s="59" t="s">
        <v>585</v>
      </c>
      <c r="E230" s="63" t="s">
        <v>578</v>
      </c>
      <c r="F230" s="65">
        <f>MC!H1023</f>
        <v>2</v>
      </c>
      <c r="G230" s="181">
        <f>K230</f>
        <v>1369.34</v>
      </c>
      <c r="H230" s="66">
        <f t="shared" si="55"/>
        <v>1632.39</v>
      </c>
      <c r="I230" s="66">
        <f>ROUND(H230*F230,2)</f>
        <v>3264.78</v>
      </c>
      <c r="K230" s="189">
        <v>1369.34</v>
      </c>
      <c r="L230" s="189">
        <v>1310.8</v>
      </c>
    </row>
    <row r="231" spans="1:12" ht="53.45" customHeight="1" x14ac:dyDescent="0.2">
      <c r="A231" s="63" t="s">
        <v>605</v>
      </c>
      <c r="B231" s="177">
        <v>7294</v>
      </c>
      <c r="C231" s="64" t="s">
        <v>21</v>
      </c>
      <c r="D231" s="59" t="s">
        <v>606</v>
      </c>
      <c r="E231" s="63" t="s">
        <v>578</v>
      </c>
      <c r="F231" s="65">
        <f>MC!H1028</f>
        <v>19</v>
      </c>
      <c r="G231" s="181">
        <f>K231</f>
        <v>134.53</v>
      </c>
      <c r="H231" s="66">
        <f t="shared" si="55"/>
        <v>160.37</v>
      </c>
      <c r="I231" s="66">
        <f t="shared" ref="I231" si="66">TRUNC(H231*F231,2)</f>
        <v>3047.03</v>
      </c>
      <c r="K231" s="188">
        <v>134.53</v>
      </c>
      <c r="L231" s="188">
        <v>134.53</v>
      </c>
    </row>
    <row r="232" spans="1:12" ht="28.5" customHeight="1" x14ac:dyDescent="0.2">
      <c r="A232" s="63" t="s">
        <v>771</v>
      </c>
      <c r="B232" s="177">
        <v>10</v>
      </c>
      <c r="C232" s="64" t="s">
        <v>567</v>
      </c>
      <c r="D232" s="59" t="s">
        <v>770</v>
      </c>
      <c r="E232" s="63" t="s">
        <v>19</v>
      </c>
      <c r="F232" s="65">
        <f>MC!H1033</f>
        <v>8.5</v>
      </c>
      <c r="G232" s="181">
        <f>COMPOSIÇÕES!H192</f>
        <v>40.519999999999996</v>
      </c>
      <c r="H232" s="66">
        <f t="shared" si="55"/>
        <v>48.3</v>
      </c>
      <c r="I232" s="66">
        <f t="shared" ref="I232" si="67">ROUND(H232*F232,2)</f>
        <v>410.55</v>
      </c>
    </row>
    <row r="233" spans="1:12" ht="24" customHeight="1" x14ac:dyDescent="0.2">
      <c r="A233" s="82" t="s">
        <v>477</v>
      </c>
      <c r="B233" s="83"/>
      <c r="C233" s="83"/>
      <c r="D233" s="84" t="s">
        <v>475</v>
      </c>
      <c r="E233" s="83"/>
      <c r="F233" s="85"/>
      <c r="G233" s="183"/>
      <c r="H233" s="83"/>
      <c r="I233" s="86">
        <f>SUM(I234:I239)</f>
        <v>14973.04</v>
      </c>
      <c r="K233" s="192"/>
      <c r="L233" s="192"/>
    </row>
    <row r="234" spans="1:12" ht="27" customHeight="1" x14ac:dyDescent="0.2">
      <c r="A234" s="63" t="s">
        <v>478</v>
      </c>
      <c r="B234" s="177">
        <v>98111</v>
      </c>
      <c r="C234" s="63" t="s">
        <v>14</v>
      </c>
      <c r="D234" s="59" t="s">
        <v>487</v>
      </c>
      <c r="E234" s="63" t="s">
        <v>578</v>
      </c>
      <c r="F234" s="65">
        <f>MC!H1039</f>
        <v>14</v>
      </c>
      <c r="G234" s="181">
        <f t="shared" ref="G234:G239" si="68">K234</f>
        <v>42.75</v>
      </c>
      <c r="H234" s="66">
        <f t="shared" si="55"/>
        <v>50.96</v>
      </c>
      <c r="I234" s="66">
        <f t="shared" ref="I234:I236" si="69">TRUNC(H234*F234,2)</f>
        <v>713.44</v>
      </c>
      <c r="K234" s="211">
        <v>42.75</v>
      </c>
      <c r="L234" s="210">
        <v>42.07</v>
      </c>
    </row>
    <row r="235" spans="1:12" ht="28.5" customHeight="1" x14ac:dyDescent="0.2">
      <c r="A235" s="63" t="s">
        <v>479</v>
      </c>
      <c r="B235" s="177">
        <v>96986</v>
      </c>
      <c r="C235" s="63" t="s">
        <v>14</v>
      </c>
      <c r="D235" s="59" t="s">
        <v>488</v>
      </c>
      <c r="E235" s="63" t="s">
        <v>578</v>
      </c>
      <c r="F235" s="65">
        <f>MC!H1044</f>
        <v>14</v>
      </c>
      <c r="G235" s="181">
        <f t="shared" si="68"/>
        <v>164.13</v>
      </c>
      <c r="H235" s="66">
        <f t="shared" si="55"/>
        <v>195.66</v>
      </c>
      <c r="I235" s="66">
        <f t="shared" ref="I235" si="70">TRUNC(H235*F235,2)</f>
        <v>2739.24</v>
      </c>
      <c r="K235" s="208">
        <v>164.13</v>
      </c>
      <c r="L235" s="209">
        <v>162.41</v>
      </c>
    </row>
    <row r="236" spans="1:12" ht="28.5" customHeight="1" x14ac:dyDescent="0.2">
      <c r="A236" s="63" t="s">
        <v>480</v>
      </c>
      <c r="B236" s="178" t="s">
        <v>525</v>
      </c>
      <c r="C236" s="63" t="s">
        <v>253</v>
      </c>
      <c r="D236" s="59" t="s">
        <v>796</v>
      </c>
      <c r="E236" s="63" t="s">
        <v>578</v>
      </c>
      <c r="F236" s="65">
        <f>MC!H1049</f>
        <v>12</v>
      </c>
      <c r="G236" s="181">
        <f t="shared" si="68"/>
        <v>9.11</v>
      </c>
      <c r="H236" s="66">
        <f t="shared" si="55"/>
        <v>10.86</v>
      </c>
      <c r="I236" s="66">
        <f t="shared" si="69"/>
        <v>130.32</v>
      </c>
      <c r="K236" s="208">
        <v>9.11</v>
      </c>
      <c r="L236" s="209">
        <v>8.64</v>
      </c>
    </row>
    <row r="237" spans="1:12" ht="27" customHeight="1" x14ac:dyDescent="0.2">
      <c r="A237" s="63" t="s">
        <v>481</v>
      </c>
      <c r="B237" s="178">
        <v>11036</v>
      </c>
      <c r="C237" s="63" t="s">
        <v>21</v>
      </c>
      <c r="D237" s="59" t="s">
        <v>526</v>
      </c>
      <c r="E237" s="63" t="s">
        <v>578</v>
      </c>
      <c r="F237" s="65">
        <f>MC!H1054</f>
        <v>12</v>
      </c>
      <c r="G237" s="181">
        <f t="shared" si="68"/>
        <v>0.63</v>
      </c>
      <c r="H237" s="66">
        <f t="shared" si="55"/>
        <v>0.75</v>
      </c>
      <c r="I237" s="66">
        <f t="shared" ref="I237" si="71">TRUNC(H237*F237,2)</f>
        <v>9</v>
      </c>
      <c r="K237" s="188">
        <v>0.63</v>
      </c>
      <c r="L237" s="188">
        <v>0.63</v>
      </c>
    </row>
    <row r="238" spans="1:12" ht="27" customHeight="1" x14ac:dyDescent="0.2">
      <c r="A238" s="63" t="s">
        <v>490</v>
      </c>
      <c r="B238" s="177">
        <v>11131</v>
      </c>
      <c r="C238" s="64" t="s">
        <v>21</v>
      </c>
      <c r="D238" s="59" t="s">
        <v>489</v>
      </c>
      <c r="E238" s="63" t="s">
        <v>578</v>
      </c>
      <c r="F238" s="65">
        <f>MC!H1059</f>
        <v>28</v>
      </c>
      <c r="G238" s="181">
        <f t="shared" si="68"/>
        <v>13.92</v>
      </c>
      <c r="H238" s="66">
        <f t="shared" si="55"/>
        <v>16.59</v>
      </c>
      <c r="I238" s="66">
        <f t="shared" ref="I238" si="72">TRUNC(H238*F238,2)</f>
        <v>464.52</v>
      </c>
      <c r="K238" s="188">
        <v>13.92</v>
      </c>
      <c r="L238" s="188">
        <v>13.92</v>
      </c>
    </row>
    <row r="239" spans="1:12" ht="27" customHeight="1" x14ac:dyDescent="0.2">
      <c r="A239" s="63" t="s">
        <v>491</v>
      </c>
      <c r="B239" s="177">
        <v>867</v>
      </c>
      <c r="C239" s="63" t="s">
        <v>396</v>
      </c>
      <c r="D239" s="59" t="s">
        <v>476</v>
      </c>
      <c r="E239" s="63" t="s">
        <v>19</v>
      </c>
      <c r="F239" s="65">
        <f>MC!H1064</f>
        <v>177.62</v>
      </c>
      <c r="G239" s="181">
        <f t="shared" si="68"/>
        <v>55.42</v>
      </c>
      <c r="H239" s="66">
        <f>ROUND(G239*1.1089,2)</f>
        <v>61.46</v>
      </c>
      <c r="I239" s="66">
        <f t="shared" ref="I239" si="73">TRUNC(H239*F239,2)</f>
        <v>10916.52</v>
      </c>
      <c r="K239" s="188">
        <v>55.42</v>
      </c>
      <c r="L239" s="188">
        <v>55.42</v>
      </c>
    </row>
    <row r="240" spans="1:12" ht="24" customHeight="1" x14ac:dyDescent="0.2">
      <c r="A240" s="87" t="s">
        <v>412</v>
      </c>
      <c r="B240" s="78"/>
      <c r="C240" s="78"/>
      <c r="D240" s="79" t="s">
        <v>872</v>
      </c>
      <c r="E240" s="78"/>
      <c r="F240" s="80"/>
      <c r="G240" s="182"/>
      <c r="H240" s="78"/>
      <c r="I240" s="81">
        <f>SUM(I241,I250,I258,I263,I268,I270,I274,I277)</f>
        <v>153151.97</v>
      </c>
      <c r="K240" s="189"/>
      <c r="L240" s="188"/>
    </row>
    <row r="241" spans="1:12" ht="24" customHeight="1" x14ac:dyDescent="0.2">
      <c r="A241" s="82" t="s">
        <v>233</v>
      </c>
      <c r="B241" s="83"/>
      <c r="C241" s="83"/>
      <c r="D241" s="84" t="s">
        <v>23</v>
      </c>
      <c r="E241" s="83"/>
      <c r="F241" s="85"/>
      <c r="G241" s="183"/>
      <c r="H241" s="83"/>
      <c r="I241" s="86">
        <f>SUM(I242:I249)</f>
        <v>25542.749999999996</v>
      </c>
      <c r="K241" s="193"/>
      <c r="L241" s="188"/>
    </row>
    <row r="242" spans="1:12" ht="39" customHeight="1" x14ac:dyDescent="0.2">
      <c r="A242" s="63" t="s">
        <v>234</v>
      </c>
      <c r="B242" s="177">
        <v>96521</v>
      </c>
      <c r="C242" s="64" t="s">
        <v>14</v>
      </c>
      <c r="D242" s="59" t="s">
        <v>235</v>
      </c>
      <c r="E242" s="63" t="s">
        <v>455</v>
      </c>
      <c r="F242" s="65">
        <f>MC!H1072</f>
        <v>48.58</v>
      </c>
      <c r="G242" s="181">
        <f t="shared" ref="G242:G249" si="74">K242</f>
        <v>40.76</v>
      </c>
      <c r="H242" s="66">
        <f t="shared" ref="H242:H280" si="75">ROUND(G242*1.1921,2)</f>
        <v>48.59</v>
      </c>
      <c r="I242" s="66">
        <f t="shared" ref="I242:I280" si="76">TRUNC(H242*F242,2)</f>
        <v>2360.5</v>
      </c>
      <c r="K242" s="189">
        <v>40.76</v>
      </c>
      <c r="L242" s="188">
        <v>39.5</v>
      </c>
    </row>
    <row r="243" spans="1:12" ht="28.5" customHeight="1" x14ac:dyDescent="0.2">
      <c r="A243" s="63" t="s">
        <v>697</v>
      </c>
      <c r="B243" s="177">
        <v>101616</v>
      </c>
      <c r="C243" s="64" t="s">
        <v>14</v>
      </c>
      <c r="D243" s="59" t="s">
        <v>25</v>
      </c>
      <c r="E243" s="63" t="s">
        <v>458</v>
      </c>
      <c r="F243" s="65">
        <f>MC!H1078</f>
        <v>42.24</v>
      </c>
      <c r="G243" s="181">
        <f t="shared" si="74"/>
        <v>6.93</v>
      </c>
      <c r="H243" s="66">
        <f t="shared" si="75"/>
        <v>8.26</v>
      </c>
      <c r="I243" s="66">
        <f t="shared" si="76"/>
        <v>348.9</v>
      </c>
      <c r="K243" s="188">
        <v>6.93</v>
      </c>
      <c r="L243" s="188">
        <v>6.38</v>
      </c>
    </row>
    <row r="244" spans="1:12" ht="27" customHeight="1" x14ac:dyDescent="0.2">
      <c r="A244" s="63" t="s">
        <v>698</v>
      </c>
      <c r="B244" s="177">
        <v>96619</v>
      </c>
      <c r="C244" s="64" t="s">
        <v>14</v>
      </c>
      <c r="D244" s="59" t="s">
        <v>26</v>
      </c>
      <c r="E244" s="63" t="s">
        <v>458</v>
      </c>
      <c r="F244" s="65">
        <f>MC!H1083</f>
        <v>42.24</v>
      </c>
      <c r="G244" s="181">
        <f t="shared" si="74"/>
        <v>40.94</v>
      </c>
      <c r="H244" s="66">
        <f t="shared" si="75"/>
        <v>48.8</v>
      </c>
      <c r="I244" s="66">
        <f t="shared" si="76"/>
        <v>2061.31</v>
      </c>
      <c r="K244" s="188">
        <v>40.94</v>
      </c>
      <c r="L244" s="188">
        <v>39.47</v>
      </c>
    </row>
    <row r="245" spans="1:12" ht="41.45" customHeight="1" x14ac:dyDescent="0.2">
      <c r="A245" s="63" t="s">
        <v>678</v>
      </c>
      <c r="B245" s="63">
        <v>96535</v>
      </c>
      <c r="C245" s="64" t="s">
        <v>14</v>
      </c>
      <c r="D245" s="59" t="s">
        <v>632</v>
      </c>
      <c r="E245" s="63" t="s">
        <v>458</v>
      </c>
      <c r="F245" s="65">
        <f>MC!H1088</f>
        <v>24.96</v>
      </c>
      <c r="G245" s="181">
        <f t="shared" si="74"/>
        <v>143.34</v>
      </c>
      <c r="H245" s="66">
        <f t="shared" si="75"/>
        <v>170.88</v>
      </c>
      <c r="I245" s="66">
        <f t="shared" ref="I245:I247" si="77">ROUND(H245*F245,2)</f>
        <v>4265.16</v>
      </c>
      <c r="J245" s="199"/>
      <c r="K245" s="187">
        <v>143.34</v>
      </c>
      <c r="L245" s="188">
        <v>134.78</v>
      </c>
    </row>
    <row r="246" spans="1:12" ht="41.45" customHeight="1" x14ac:dyDescent="0.2">
      <c r="A246" s="63" t="s">
        <v>679</v>
      </c>
      <c r="B246" s="63">
        <v>104919</v>
      </c>
      <c r="C246" s="64" t="s">
        <v>14</v>
      </c>
      <c r="D246" s="59" t="s">
        <v>633</v>
      </c>
      <c r="E246" s="63" t="s">
        <v>79</v>
      </c>
      <c r="F246" s="65">
        <f>MC!H1093</f>
        <v>564</v>
      </c>
      <c r="G246" s="181">
        <f t="shared" si="74"/>
        <v>12.91</v>
      </c>
      <c r="H246" s="66">
        <f t="shared" si="75"/>
        <v>15.39</v>
      </c>
      <c r="I246" s="66">
        <f t="shared" si="77"/>
        <v>8679.9599999999991</v>
      </c>
      <c r="J246" s="199"/>
      <c r="K246" s="187">
        <v>12.91</v>
      </c>
      <c r="L246" s="188">
        <v>12.62</v>
      </c>
    </row>
    <row r="247" spans="1:12" ht="28.9" customHeight="1" x14ac:dyDescent="0.2">
      <c r="A247" s="63" t="s">
        <v>680</v>
      </c>
      <c r="B247" s="63">
        <v>104916</v>
      </c>
      <c r="C247" s="64" t="s">
        <v>14</v>
      </c>
      <c r="D247" s="59" t="s">
        <v>634</v>
      </c>
      <c r="E247" s="63" t="s">
        <v>79</v>
      </c>
      <c r="F247" s="65">
        <f>MC!H1098</f>
        <v>24</v>
      </c>
      <c r="G247" s="181">
        <f t="shared" si="74"/>
        <v>17.23</v>
      </c>
      <c r="H247" s="66">
        <f t="shared" si="75"/>
        <v>20.54</v>
      </c>
      <c r="I247" s="66">
        <f t="shared" si="77"/>
        <v>492.96</v>
      </c>
      <c r="J247" s="199"/>
      <c r="K247" s="187">
        <v>17.23</v>
      </c>
      <c r="L247" s="188">
        <v>16.559999999999999</v>
      </c>
    </row>
    <row r="248" spans="1:12" ht="28.9" customHeight="1" x14ac:dyDescent="0.2">
      <c r="A248" s="63" t="s">
        <v>681</v>
      </c>
      <c r="B248" s="63">
        <v>96558</v>
      </c>
      <c r="C248" s="63" t="s">
        <v>14</v>
      </c>
      <c r="D248" s="59" t="s">
        <v>635</v>
      </c>
      <c r="E248" s="63" t="s">
        <v>455</v>
      </c>
      <c r="F248" s="65">
        <f>MC!H1104</f>
        <v>6.91</v>
      </c>
      <c r="G248" s="181">
        <f t="shared" si="74"/>
        <v>740.63</v>
      </c>
      <c r="H248" s="66">
        <f t="shared" si="75"/>
        <v>882.91</v>
      </c>
      <c r="I248" s="66">
        <f t="shared" si="76"/>
        <v>6100.9</v>
      </c>
      <c r="K248" s="188">
        <v>740.63</v>
      </c>
      <c r="L248" s="188">
        <v>737.6</v>
      </c>
    </row>
    <row r="249" spans="1:12" ht="27" customHeight="1" x14ac:dyDescent="0.2">
      <c r="A249" s="63" t="s">
        <v>682</v>
      </c>
      <c r="B249" s="177">
        <v>93382</v>
      </c>
      <c r="C249" s="64" t="s">
        <v>14</v>
      </c>
      <c r="D249" s="59" t="s">
        <v>236</v>
      </c>
      <c r="E249" s="63" t="s">
        <v>455</v>
      </c>
      <c r="F249" s="65">
        <f>MC!H1112</f>
        <v>37.72</v>
      </c>
      <c r="G249" s="181">
        <f t="shared" si="74"/>
        <v>27.42</v>
      </c>
      <c r="H249" s="66">
        <f t="shared" si="75"/>
        <v>32.69</v>
      </c>
      <c r="I249" s="66">
        <f t="shared" si="76"/>
        <v>1233.06</v>
      </c>
      <c r="K249" s="209">
        <v>27.42</v>
      </c>
      <c r="L249" s="209">
        <v>25.56</v>
      </c>
    </row>
    <row r="250" spans="1:12" ht="24" customHeight="1" x14ac:dyDescent="0.2">
      <c r="A250" s="82" t="s">
        <v>237</v>
      </c>
      <c r="B250" s="83"/>
      <c r="C250" s="83"/>
      <c r="D250" s="84" t="s">
        <v>29</v>
      </c>
      <c r="E250" s="83"/>
      <c r="F250" s="85"/>
      <c r="G250" s="183"/>
      <c r="H250" s="83"/>
      <c r="I250" s="86">
        <f>SUM(I251:I257)</f>
        <v>41188.090000000004</v>
      </c>
      <c r="K250" s="188"/>
      <c r="L250" s="188"/>
    </row>
    <row r="251" spans="1:12" ht="39" customHeight="1" x14ac:dyDescent="0.2">
      <c r="A251" s="63" t="s">
        <v>238</v>
      </c>
      <c r="B251" s="177">
        <v>96525</v>
      </c>
      <c r="C251" s="64" t="s">
        <v>14</v>
      </c>
      <c r="D251" s="59" t="s">
        <v>239</v>
      </c>
      <c r="E251" s="63" t="s">
        <v>455</v>
      </c>
      <c r="F251" s="65">
        <f>MC!H1119</f>
        <v>5.52</v>
      </c>
      <c r="G251" s="181">
        <f t="shared" ref="G251:G257" si="78">K251</f>
        <v>54.62</v>
      </c>
      <c r="H251" s="66">
        <f t="shared" si="75"/>
        <v>65.11</v>
      </c>
      <c r="I251" s="66">
        <f t="shared" si="76"/>
        <v>359.4</v>
      </c>
      <c r="K251" s="188">
        <v>54.62</v>
      </c>
      <c r="L251" s="188">
        <v>52.98</v>
      </c>
    </row>
    <row r="252" spans="1:12" ht="27.6" customHeight="1" x14ac:dyDescent="0.2">
      <c r="A252" s="63" t="s">
        <v>695</v>
      </c>
      <c r="B252" s="177">
        <v>101616</v>
      </c>
      <c r="C252" s="64" t="s">
        <v>14</v>
      </c>
      <c r="D252" s="59" t="s">
        <v>25</v>
      </c>
      <c r="E252" s="63" t="s">
        <v>458</v>
      </c>
      <c r="F252" s="65">
        <f>MC!H1125</f>
        <v>110.41</v>
      </c>
      <c r="G252" s="181">
        <f t="shared" si="78"/>
        <v>6.93</v>
      </c>
      <c r="H252" s="66">
        <f t="shared" si="75"/>
        <v>8.26</v>
      </c>
      <c r="I252" s="66">
        <f t="shared" si="76"/>
        <v>911.98</v>
      </c>
      <c r="K252" s="188">
        <v>6.93</v>
      </c>
      <c r="L252" s="188">
        <v>6.38</v>
      </c>
    </row>
    <row r="253" spans="1:12" ht="27" customHeight="1" x14ac:dyDescent="0.2">
      <c r="A253" s="63" t="s">
        <v>696</v>
      </c>
      <c r="B253" s="177">
        <v>95241</v>
      </c>
      <c r="C253" s="64" t="s">
        <v>14</v>
      </c>
      <c r="D253" s="59" t="s">
        <v>33</v>
      </c>
      <c r="E253" s="63" t="s">
        <v>458</v>
      </c>
      <c r="F253" s="65">
        <f>MC!H1130</f>
        <v>110.41</v>
      </c>
      <c r="G253" s="181">
        <f t="shared" si="78"/>
        <v>37.659999999999997</v>
      </c>
      <c r="H253" s="66">
        <f t="shared" si="75"/>
        <v>44.89</v>
      </c>
      <c r="I253" s="66">
        <f t="shared" si="76"/>
        <v>4956.3</v>
      </c>
      <c r="K253" s="188">
        <v>37.659999999999997</v>
      </c>
      <c r="L253" s="188">
        <v>36.450000000000003</v>
      </c>
    </row>
    <row r="254" spans="1:12" ht="40.9" customHeight="1" x14ac:dyDescent="0.2">
      <c r="A254" s="63" t="s">
        <v>683</v>
      </c>
      <c r="B254" s="63">
        <v>96536</v>
      </c>
      <c r="C254" s="63" t="s">
        <v>14</v>
      </c>
      <c r="D254" s="59" t="s">
        <v>639</v>
      </c>
      <c r="E254" s="63" t="s">
        <v>458</v>
      </c>
      <c r="F254" s="65">
        <f>MC!H1135</f>
        <v>157</v>
      </c>
      <c r="G254" s="181">
        <f t="shared" si="78"/>
        <v>75.709999999999994</v>
      </c>
      <c r="H254" s="66">
        <f t="shared" si="75"/>
        <v>90.25</v>
      </c>
      <c r="I254" s="66">
        <f t="shared" ref="I254:I256" si="79">ROUND(H254*F254,2)</f>
        <v>14169.25</v>
      </c>
      <c r="J254" s="199"/>
      <c r="K254" s="187">
        <v>75.709999999999994</v>
      </c>
      <c r="L254" s="188">
        <v>72.05</v>
      </c>
    </row>
    <row r="255" spans="1:12" ht="28.15" customHeight="1" x14ac:dyDescent="0.2">
      <c r="A255" s="63" t="s">
        <v>684</v>
      </c>
      <c r="B255" s="63">
        <v>104916</v>
      </c>
      <c r="C255" s="63" t="s">
        <v>14</v>
      </c>
      <c r="D255" s="59" t="s">
        <v>634</v>
      </c>
      <c r="E255" s="63" t="s">
        <v>79</v>
      </c>
      <c r="F255" s="65">
        <f>MC!H1140</f>
        <v>176</v>
      </c>
      <c r="G255" s="181">
        <f t="shared" si="78"/>
        <v>17.23</v>
      </c>
      <c r="H255" s="66">
        <f t="shared" si="75"/>
        <v>20.54</v>
      </c>
      <c r="I255" s="66">
        <f t="shared" si="79"/>
        <v>3615.04</v>
      </c>
      <c r="J255" s="199"/>
      <c r="K255" s="187">
        <v>17.23</v>
      </c>
      <c r="L255" s="188">
        <v>16.559999999999999</v>
      </c>
    </row>
    <row r="256" spans="1:12" ht="28.9" customHeight="1" x14ac:dyDescent="0.2">
      <c r="A256" s="63" t="s">
        <v>685</v>
      </c>
      <c r="B256" s="63">
        <v>104918</v>
      </c>
      <c r="C256" s="63" t="s">
        <v>14</v>
      </c>
      <c r="D256" s="59" t="s">
        <v>641</v>
      </c>
      <c r="E256" s="63" t="s">
        <v>79</v>
      </c>
      <c r="F256" s="65">
        <f>MC!H1145</f>
        <v>432</v>
      </c>
      <c r="G256" s="181">
        <f t="shared" si="78"/>
        <v>14.56</v>
      </c>
      <c r="H256" s="66">
        <f t="shared" si="75"/>
        <v>17.36</v>
      </c>
      <c r="I256" s="66">
        <f t="shared" si="79"/>
        <v>7499.52</v>
      </c>
      <c r="J256" s="199"/>
      <c r="K256" s="187">
        <v>14.56</v>
      </c>
      <c r="L256" s="188">
        <v>14.2</v>
      </c>
    </row>
    <row r="257" spans="1:12" ht="39" customHeight="1" x14ac:dyDescent="0.2">
      <c r="A257" s="63" t="s">
        <v>686</v>
      </c>
      <c r="B257" s="63">
        <v>96557</v>
      </c>
      <c r="C257" s="63" t="s">
        <v>14</v>
      </c>
      <c r="D257" s="59" t="s">
        <v>648</v>
      </c>
      <c r="E257" s="63" t="s">
        <v>455</v>
      </c>
      <c r="F257" s="65">
        <f>MC!H1151</f>
        <v>11.48</v>
      </c>
      <c r="G257" s="181">
        <f t="shared" si="78"/>
        <v>707.08</v>
      </c>
      <c r="H257" s="66">
        <f t="shared" si="75"/>
        <v>842.91</v>
      </c>
      <c r="I257" s="66">
        <f t="shared" si="76"/>
        <v>9676.6</v>
      </c>
      <c r="K257" s="209">
        <v>707.08</v>
      </c>
      <c r="L257" s="209">
        <v>705.36</v>
      </c>
    </row>
    <row r="258" spans="1:12" ht="24" customHeight="1" x14ac:dyDescent="0.2">
      <c r="A258" s="82" t="s">
        <v>240</v>
      </c>
      <c r="B258" s="83"/>
      <c r="C258" s="83"/>
      <c r="D258" s="84" t="s">
        <v>35</v>
      </c>
      <c r="E258" s="83"/>
      <c r="F258" s="85"/>
      <c r="G258" s="183"/>
      <c r="H258" s="83"/>
      <c r="I258" s="86">
        <f>SUM(I259:I262)</f>
        <v>17494.66</v>
      </c>
      <c r="K258" s="188"/>
      <c r="L258" s="188"/>
    </row>
    <row r="259" spans="1:12" ht="51" x14ac:dyDescent="0.2">
      <c r="A259" s="63" t="s">
        <v>691</v>
      </c>
      <c r="B259" s="63">
        <v>92443</v>
      </c>
      <c r="C259" s="63" t="s">
        <v>14</v>
      </c>
      <c r="D259" s="59" t="s">
        <v>650</v>
      </c>
      <c r="E259" s="63" t="s">
        <v>458</v>
      </c>
      <c r="F259" s="65">
        <f>MC!H1158</f>
        <v>76.16</v>
      </c>
      <c r="G259" s="181">
        <f>K259</f>
        <v>54.48</v>
      </c>
      <c r="H259" s="66">
        <f t="shared" si="75"/>
        <v>64.95</v>
      </c>
      <c r="I259" s="66">
        <f t="shared" ref="I259:I261" si="80">ROUND(H259*F259,2)</f>
        <v>4946.59</v>
      </c>
      <c r="J259" s="199"/>
      <c r="K259" s="187">
        <v>54.48</v>
      </c>
      <c r="L259" s="188">
        <v>52.57</v>
      </c>
    </row>
    <row r="260" spans="1:12" ht="38.25" x14ac:dyDescent="0.2">
      <c r="A260" s="63" t="s">
        <v>692</v>
      </c>
      <c r="B260" s="63">
        <v>92759</v>
      </c>
      <c r="C260" s="63" t="s">
        <v>14</v>
      </c>
      <c r="D260" s="59" t="s">
        <v>652</v>
      </c>
      <c r="E260" s="63" t="s">
        <v>79</v>
      </c>
      <c r="F260" s="65">
        <f>MC!H1164</f>
        <v>164</v>
      </c>
      <c r="G260" s="181">
        <f>K260</f>
        <v>14.39</v>
      </c>
      <c r="H260" s="66">
        <f t="shared" si="75"/>
        <v>17.149999999999999</v>
      </c>
      <c r="I260" s="66">
        <f t="shared" si="80"/>
        <v>2812.6</v>
      </c>
      <c r="J260" s="199"/>
      <c r="K260" s="187">
        <v>14.39</v>
      </c>
      <c r="L260" s="188">
        <v>13.95</v>
      </c>
    </row>
    <row r="261" spans="1:12" ht="38.25" x14ac:dyDescent="0.2">
      <c r="A261" s="63" t="s">
        <v>693</v>
      </c>
      <c r="B261" s="63">
        <v>92762</v>
      </c>
      <c r="C261" s="63" t="s">
        <v>14</v>
      </c>
      <c r="D261" s="59" t="s">
        <v>654</v>
      </c>
      <c r="E261" s="63" t="s">
        <v>79</v>
      </c>
      <c r="F261" s="65">
        <f>MC!H1170</f>
        <v>542</v>
      </c>
      <c r="G261" s="181">
        <f>K261</f>
        <v>11.09</v>
      </c>
      <c r="H261" s="66">
        <f t="shared" si="75"/>
        <v>13.22</v>
      </c>
      <c r="I261" s="66">
        <f t="shared" si="80"/>
        <v>7165.24</v>
      </c>
      <c r="J261" s="199"/>
      <c r="K261" s="187">
        <v>11.09</v>
      </c>
      <c r="L261" s="188">
        <v>10.94</v>
      </c>
    </row>
    <row r="262" spans="1:12" ht="28.15" customHeight="1" x14ac:dyDescent="0.2">
      <c r="A262" s="63" t="s">
        <v>694</v>
      </c>
      <c r="B262" s="63">
        <v>103672</v>
      </c>
      <c r="C262" s="63" t="s">
        <v>14</v>
      </c>
      <c r="D262" s="59" t="s">
        <v>656</v>
      </c>
      <c r="E262" s="63" t="s">
        <v>455</v>
      </c>
      <c r="F262" s="65">
        <f>MC!H1176</f>
        <v>3.36</v>
      </c>
      <c r="G262" s="181">
        <f>K262</f>
        <v>641.67999999999995</v>
      </c>
      <c r="H262" s="66">
        <f t="shared" si="75"/>
        <v>764.95</v>
      </c>
      <c r="I262" s="66">
        <f t="shared" si="76"/>
        <v>2570.23</v>
      </c>
      <c r="K262" s="188">
        <v>641.67999999999995</v>
      </c>
      <c r="L262" s="188">
        <v>638.16</v>
      </c>
    </row>
    <row r="263" spans="1:12" ht="24" customHeight="1" x14ac:dyDescent="0.2">
      <c r="A263" s="82" t="s">
        <v>241</v>
      </c>
      <c r="B263" s="83"/>
      <c r="C263" s="83"/>
      <c r="D263" s="84" t="s">
        <v>37</v>
      </c>
      <c r="E263" s="83"/>
      <c r="F263" s="85"/>
      <c r="G263" s="183"/>
      <c r="H263" s="83"/>
      <c r="I263" s="86">
        <f>SUM(I264:I267)</f>
        <v>24522.190000000002</v>
      </c>
      <c r="K263" s="188"/>
      <c r="L263" s="188"/>
    </row>
    <row r="264" spans="1:12" ht="40.15" customHeight="1" x14ac:dyDescent="0.2">
      <c r="A264" s="63" t="s">
        <v>687</v>
      </c>
      <c r="B264" s="63">
        <v>92479</v>
      </c>
      <c r="C264" s="63" t="s">
        <v>14</v>
      </c>
      <c r="D264" s="59" t="s">
        <v>658</v>
      </c>
      <c r="E264" s="63" t="s">
        <v>458</v>
      </c>
      <c r="F264" s="65">
        <f>MC!H1182</f>
        <v>99.14</v>
      </c>
      <c r="G264" s="181">
        <f t="shared" ref="G264:G267" si="81">K264</f>
        <v>71.709999999999994</v>
      </c>
      <c r="H264" s="66">
        <f t="shared" si="75"/>
        <v>85.49</v>
      </c>
      <c r="I264" s="66">
        <f t="shared" ref="I264:I266" si="82">ROUND(H264*F264,2)</f>
        <v>8475.48</v>
      </c>
      <c r="J264" s="199"/>
      <c r="K264" s="187">
        <v>71.709999999999994</v>
      </c>
      <c r="L264" s="188">
        <v>69.42</v>
      </c>
    </row>
    <row r="265" spans="1:12" ht="38.25" x14ac:dyDescent="0.2">
      <c r="A265" s="63" t="s">
        <v>688</v>
      </c>
      <c r="B265" s="63">
        <v>92759</v>
      </c>
      <c r="C265" s="63" t="s">
        <v>14</v>
      </c>
      <c r="D265" s="207" t="s">
        <v>660</v>
      </c>
      <c r="E265" s="63" t="s">
        <v>79</v>
      </c>
      <c r="F265" s="65">
        <f>MC!H1187</f>
        <v>176</v>
      </c>
      <c r="G265" s="181">
        <f t="shared" si="81"/>
        <v>14.39</v>
      </c>
      <c r="H265" s="66">
        <f t="shared" si="75"/>
        <v>17.149999999999999</v>
      </c>
      <c r="I265" s="66">
        <f t="shared" si="82"/>
        <v>3018.4</v>
      </c>
      <c r="J265" s="199"/>
      <c r="K265" s="187">
        <v>14.39</v>
      </c>
      <c r="L265" s="188">
        <v>13.95</v>
      </c>
    </row>
    <row r="266" spans="1:12" ht="38.25" x14ac:dyDescent="0.2">
      <c r="A266" s="63" t="s">
        <v>689</v>
      </c>
      <c r="B266" s="63">
        <v>92761</v>
      </c>
      <c r="C266" s="63" t="s">
        <v>14</v>
      </c>
      <c r="D266" s="207" t="s">
        <v>663</v>
      </c>
      <c r="E266" s="63" t="s">
        <v>79</v>
      </c>
      <c r="F266" s="65">
        <f>MC!H1192</f>
        <v>428</v>
      </c>
      <c r="G266" s="181">
        <f t="shared" si="81"/>
        <v>12.51</v>
      </c>
      <c r="H266" s="66">
        <f t="shared" si="75"/>
        <v>14.91</v>
      </c>
      <c r="I266" s="66">
        <f t="shared" si="82"/>
        <v>6381.48</v>
      </c>
      <c r="J266" s="199"/>
      <c r="K266" s="187">
        <v>12.51</v>
      </c>
      <c r="L266" s="188">
        <v>12.31</v>
      </c>
    </row>
    <row r="267" spans="1:12" ht="41.45" customHeight="1" x14ac:dyDescent="0.2">
      <c r="A267" s="63" t="s">
        <v>690</v>
      </c>
      <c r="B267" s="63">
        <v>103674</v>
      </c>
      <c r="C267" s="63" t="s">
        <v>14</v>
      </c>
      <c r="D267" s="59" t="s">
        <v>665</v>
      </c>
      <c r="E267" s="63" t="s">
        <v>455</v>
      </c>
      <c r="F267" s="65">
        <f>MC!H1198</f>
        <v>8.4</v>
      </c>
      <c r="G267" s="181">
        <f t="shared" si="81"/>
        <v>663.78</v>
      </c>
      <c r="H267" s="66">
        <f t="shared" si="75"/>
        <v>791.29</v>
      </c>
      <c r="I267" s="66">
        <f t="shared" si="76"/>
        <v>6646.83</v>
      </c>
      <c r="K267" s="188">
        <v>663.78</v>
      </c>
      <c r="L267" s="188">
        <v>658.44</v>
      </c>
    </row>
    <row r="268" spans="1:12" ht="24" customHeight="1" x14ac:dyDescent="0.2">
      <c r="A268" s="82" t="s">
        <v>242</v>
      </c>
      <c r="B268" s="83"/>
      <c r="C268" s="83"/>
      <c r="D268" s="84" t="s">
        <v>243</v>
      </c>
      <c r="E268" s="83"/>
      <c r="F268" s="85"/>
      <c r="G268" s="183"/>
      <c r="H268" s="83"/>
      <c r="I268" s="86">
        <f>I269</f>
        <v>7367.36</v>
      </c>
      <c r="K268" s="188"/>
      <c r="L268" s="188"/>
    </row>
    <row r="269" spans="1:12" ht="41.25" customHeight="1" x14ac:dyDescent="0.2">
      <c r="A269" s="63" t="s">
        <v>244</v>
      </c>
      <c r="B269" s="177">
        <v>7393</v>
      </c>
      <c r="C269" s="64" t="s">
        <v>21</v>
      </c>
      <c r="D269" s="59" t="s">
        <v>429</v>
      </c>
      <c r="E269" s="63" t="s">
        <v>455</v>
      </c>
      <c r="F269" s="65">
        <f>MC!H1205</f>
        <v>38.28</v>
      </c>
      <c r="G269" s="181">
        <f>K269</f>
        <v>161.44999999999999</v>
      </c>
      <c r="H269" s="66">
        <f t="shared" si="75"/>
        <v>192.46</v>
      </c>
      <c r="I269" s="66">
        <f t="shared" si="76"/>
        <v>7367.36</v>
      </c>
      <c r="K269" s="188">
        <v>161.44999999999999</v>
      </c>
      <c r="L269" s="188">
        <v>161.44999999999999</v>
      </c>
    </row>
    <row r="270" spans="1:12" ht="24" customHeight="1" x14ac:dyDescent="0.2">
      <c r="A270" s="82" t="s">
        <v>245</v>
      </c>
      <c r="B270" s="83"/>
      <c r="C270" s="83"/>
      <c r="D270" s="84" t="s">
        <v>42</v>
      </c>
      <c r="E270" s="83"/>
      <c r="F270" s="85"/>
      <c r="G270" s="183"/>
      <c r="H270" s="83"/>
      <c r="I270" s="86">
        <f>SUM(I271:I273)</f>
        <v>4755.7199999999993</v>
      </c>
      <c r="K270" s="193"/>
      <c r="L270" s="188"/>
    </row>
    <row r="271" spans="1:12" ht="54" customHeight="1" x14ac:dyDescent="0.2">
      <c r="A271" s="63" t="s">
        <v>865</v>
      </c>
      <c r="B271" s="177">
        <v>103328</v>
      </c>
      <c r="C271" s="64" t="s">
        <v>14</v>
      </c>
      <c r="D271" s="59" t="s">
        <v>44</v>
      </c>
      <c r="E271" s="63" t="s">
        <v>458</v>
      </c>
      <c r="F271" s="65">
        <f>MC!H1216</f>
        <v>42</v>
      </c>
      <c r="G271" s="181">
        <f>K271</f>
        <v>93.39</v>
      </c>
      <c r="H271" s="66">
        <f t="shared" si="75"/>
        <v>111.33</v>
      </c>
      <c r="I271" s="66">
        <f t="shared" si="76"/>
        <v>4675.8599999999997</v>
      </c>
      <c r="K271" s="188">
        <v>93.39</v>
      </c>
      <c r="L271" s="188">
        <v>87.94</v>
      </c>
    </row>
    <row r="272" spans="1:12" ht="27" customHeight="1" x14ac:dyDescent="0.2">
      <c r="A272" s="63" t="s">
        <v>862</v>
      </c>
      <c r="B272" s="177">
        <v>94342</v>
      </c>
      <c r="C272" s="64" t="s">
        <v>14</v>
      </c>
      <c r="D272" s="59" t="s">
        <v>246</v>
      </c>
      <c r="E272" s="63" t="s">
        <v>455</v>
      </c>
      <c r="F272" s="65">
        <f>MC!H1222</f>
        <v>0.18</v>
      </c>
      <c r="G272" s="181">
        <f>K272</f>
        <v>121.17</v>
      </c>
      <c r="H272" s="66">
        <f t="shared" si="75"/>
        <v>144.44999999999999</v>
      </c>
      <c r="I272" s="66">
        <f t="shared" si="76"/>
        <v>26</v>
      </c>
      <c r="K272" s="211">
        <v>121.17</v>
      </c>
      <c r="L272" s="209">
        <v>119.31</v>
      </c>
    </row>
    <row r="273" spans="1:12" ht="27" customHeight="1" x14ac:dyDescent="0.2">
      <c r="A273" s="63" t="s">
        <v>863</v>
      </c>
      <c r="B273" s="177">
        <v>95241</v>
      </c>
      <c r="C273" s="64" t="s">
        <v>14</v>
      </c>
      <c r="D273" s="59" t="s">
        <v>33</v>
      </c>
      <c r="E273" s="63" t="s">
        <v>458</v>
      </c>
      <c r="F273" s="65">
        <f>MC!H1228</f>
        <v>1.2</v>
      </c>
      <c r="G273" s="181">
        <f>K273</f>
        <v>37.659999999999997</v>
      </c>
      <c r="H273" s="66">
        <f t="shared" si="75"/>
        <v>44.89</v>
      </c>
      <c r="I273" s="66">
        <f t="shared" si="76"/>
        <v>53.86</v>
      </c>
      <c r="J273" s="111"/>
      <c r="K273" s="188">
        <v>37.659999999999997</v>
      </c>
      <c r="L273" s="188">
        <v>36.450000000000003</v>
      </c>
    </row>
    <row r="274" spans="1:12" ht="24" customHeight="1" x14ac:dyDescent="0.2">
      <c r="A274" s="82" t="s">
        <v>247</v>
      </c>
      <c r="B274" s="83"/>
      <c r="C274" s="83"/>
      <c r="D274" s="84" t="s">
        <v>248</v>
      </c>
      <c r="E274" s="83"/>
      <c r="F274" s="85"/>
      <c r="G274" s="183"/>
      <c r="H274" s="83"/>
      <c r="I274" s="86">
        <f>SUM(I275:I276)</f>
        <v>19043.660000000003</v>
      </c>
      <c r="J274" s="58"/>
      <c r="K274" s="188"/>
      <c r="L274" s="188"/>
    </row>
    <row r="275" spans="1:12" ht="54" customHeight="1" x14ac:dyDescent="0.2">
      <c r="A275" s="63" t="s">
        <v>249</v>
      </c>
      <c r="B275" s="177">
        <v>87905</v>
      </c>
      <c r="C275" s="63" t="s">
        <v>14</v>
      </c>
      <c r="D275" s="59" t="s">
        <v>808</v>
      </c>
      <c r="E275" s="63" t="s">
        <v>458</v>
      </c>
      <c r="F275" s="65">
        <f>MC!H1243</f>
        <v>215.28</v>
      </c>
      <c r="G275" s="181">
        <f>K275</f>
        <v>8.4600000000000009</v>
      </c>
      <c r="H275" s="66">
        <f t="shared" si="75"/>
        <v>10.09</v>
      </c>
      <c r="I275" s="66">
        <f t="shared" si="76"/>
        <v>2172.17</v>
      </c>
      <c r="K275" s="188">
        <v>8.4600000000000009</v>
      </c>
      <c r="L275" s="188">
        <v>7.9</v>
      </c>
    </row>
    <row r="276" spans="1:12" ht="54" customHeight="1" x14ac:dyDescent="0.2">
      <c r="A276" s="63" t="s">
        <v>250</v>
      </c>
      <c r="B276" s="177">
        <v>87777</v>
      </c>
      <c r="C276" s="63" t="s">
        <v>14</v>
      </c>
      <c r="D276" s="59" t="s">
        <v>810</v>
      </c>
      <c r="E276" s="63" t="s">
        <v>458</v>
      </c>
      <c r="F276" s="65">
        <f>MC!H1248</f>
        <v>215.28</v>
      </c>
      <c r="G276" s="181">
        <f>K276</f>
        <v>65.739999999999995</v>
      </c>
      <c r="H276" s="66">
        <f t="shared" si="75"/>
        <v>78.37</v>
      </c>
      <c r="I276" s="66">
        <f t="shared" si="76"/>
        <v>16871.490000000002</v>
      </c>
      <c r="K276" s="193">
        <v>65.739999999999995</v>
      </c>
      <c r="L276" s="188">
        <v>62.22</v>
      </c>
    </row>
    <row r="277" spans="1:12" ht="24" customHeight="1" x14ac:dyDescent="0.2">
      <c r="A277" s="82" t="s">
        <v>906</v>
      </c>
      <c r="B277" s="83"/>
      <c r="C277" s="83"/>
      <c r="D277" s="84" t="s">
        <v>251</v>
      </c>
      <c r="E277" s="83"/>
      <c r="F277" s="85"/>
      <c r="G277" s="183"/>
      <c r="H277" s="83"/>
      <c r="I277" s="86">
        <f>SUM(I278:I280)</f>
        <v>13237.539999999999</v>
      </c>
      <c r="K277" s="189"/>
      <c r="L277" s="188"/>
    </row>
    <row r="278" spans="1:12" ht="27.75" customHeight="1" x14ac:dyDescent="0.2">
      <c r="A278" s="63" t="s">
        <v>907</v>
      </c>
      <c r="B278" s="177">
        <v>88485</v>
      </c>
      <c r="C278" s="64" t="s">
        <v>14</v>
      </c>
      <c r="D278" s="59" t="s">
        <v>252</v>
      </c>
      <c r="E278" s="63" t="s">
        <v>458</v>
      </c>
      <c r="F278" s="65">
        <f>MC!H1263</f>
        <v>215.28</v>
      </c>
      <c r="G278" s="181">
        <f>K278</f>
        <v>4.37</v>
      </c>
      <c r="H278" s="66">
        <f t="shared" si="75"/>
        <v>5.21</v>
      </c>
      <c r="I278" s="66">
        <f t="shared" si="76"/>
        <v>1121.5999999999999</v>
      </c>
      <c r="K278" s="188">
        <v>4.37</v>
      </c>
      <c r="L278" s="188">
        <v>4.17</v>
      </c>
    </row>
    <row r="279" spans="1:12" ht="27" customHeight="1" x14ac:dyDescent="0.2">
      <c r="A279" s="63" t="s">
        <v>908</v>
      </c>
      <c r="B279" s="177">
        <v>96135</v>
      </c>
      <c r="C279" s="64" t="s">
        <v>14</v>
      </c>
      <c r="D279" s="59" t="s">
        <v>135</v>
      </c>
      <c r="E279" s="63" t="s">
        <v>458</v>
      </c>
      <c r="F279" s="65">
        <f>MC!H1268</f>
        <v>215.28</v>
      </c>
      <c r="G279" s="181">
        <f>K279</f>
        <v>29.42</v>
      </c>
      <c r="H279" s="66">
        <f t="shared" si="75"/>
        <v>35.07</v>
      </c>
      <c r="I279" s="66">
        <f t="shared" si="76"/>
        <v>7549.86</v>
      </c>
      <c r="K279" s="188">
        <v>29.42</v>
      </c>
      <c r="L279" s="188">
        <v>27.7</v>
      </c>
    </row>
    <row r="280" spans="1:12" ht="27" customHeight="1" x14ac:dyDescent="0.2">
      <c r="A280" s="63" t="s">
        <v>909</v>
      </c>
      <c r="B280" s="177">
        <v>95626</v>
      </c>
      <c r="C280" s="64" t="s">
        <v>14</v>
      </c>
      <c r="D280" s="59" t="s">
        <v>137</v>
      </c>
      <c r="E280" s="63" t="s">
        <v>458</v>
      </c>
      <c r="F280" s="65">
        <f>MC!H1273</f>
        <v>215.28</v>
      </c>
      <c r="G280" s="181">
        <f>K280</f>
        <v>17.79</v>
      </c>
      <c r="H280" s="66">
        <f t="shared" si="75"/>
        <v>21.21</v>
      </c>
      <c r="I280" s="66">
        <f t="shared" si="76"/>
        <v>4566.08</v>
      </c>
      <c r="K280" s="209">
        <v>17.79</v>
      </c>
      <c r="L280" s="209">
        <v>17.02</v>
      </c>
    </row>
    <row r="281" spans="1:12" ht="24" customHeight="1" x14ac:dyDescent="0.2">
      <c r="A281" s="87" t="s">
        <v>413</v>
      </c>
      <c r="B281" s="78"/>
      <c r="C281" s="78"/>
      <c r="D281" s="79" t="s">
        <v>971</v>
      </c>
      <c r="E281" s="78"/>
      <c r="F281" s="80"/>
      <c r="G281" s="182"/>
      <c r="H281" s="78"/>
      <c r="I281" s="81">
        <f>SUM(I282,I291,I301,I306,I311,I314,I317)</f>
        <v>249958.43</v>
      </c>
      <c r="K281" s="189"/>
      <c r="L281" s="188"/>
    </row>
    <row r="282" spans="1:12" ht="24" customHeight="1" x14ac:dyDescent="0.2">
      <c r="A282" s="82" t="s">
        <v>805</v>
      </c>
      <c r="B282" s="83"/>
      <c r="C282" s="83"/>
      <c r="D282" s="84" t="s">
        <v>23</v>
      </c>
      <c r="E282" s="83"/>
      <c r="F282" s="85"/>
      <c r="G282" s="183"/>
      <c r="H282" s="83"/>
      <c r="I282" s="86">
        <f>SUM(I283:I290)</f>
        <v>18012.710000000003</v>
      </c>
      <c r="K282" s="193"/>
      <c r="L282" s="188"/>
    </row>
    <row r="283" spans="1:12" ht="39" customHeight="1" x14ac:dyDescent="0.2">
      <c r="A283" s="63" t="s">
        <v>873</v>
      </c>
      <c r="B283" s="177">
        <v>96521</v>
      </c>
      <c r="C283" s="64" t="s">
        <v>14</v>
      </c>
      <c r="D283" s="59" t="s">
        <v>235</v>
      </c>
      <c r="E283" s="63" t="s">
        <v>455</v>
      </c>
      <c r="F283" s="65">
        <f>MC!H1284</f>
        <v>56.49</v>
      </c>
      <c r="G283" s="181">
        <f t="shared" ref="G283:G290" si="83">K283</f>
        <v>40.76</v>
      </c>
      <c r="H283" s="66">
        <f t="shared" ref="H283:H290" si="84">ROUND(G283*1.1921,2)</f>
        <v>48.59</v>
      </c>
      <c r="I283" s="66">
        <f t="shared" ref="I283:I285" si="85">TRUNC(H283*F283,2)</f>
        <v>2744.84</v>
      </c>
      <c r="K283" s="189">
        <v>40.76</v>
      </c>
      <c r="L283" s="188">
        <v>39.5</v>
      </c>
    </row>
    <row r="284" spans="1:12" ht="28.5" customHeight="1" x14ac:dyDescent="0.2">
      <c r="A284" s="63" t="s">
        <v>874</v>
      </c>
      <c r="B284" s="177">
        <v>101616</v>
      </c>
      <c r="C284" s="64" t="s">
        <v>14</v>
      </c>
      <c r="D284" s="59" t="s">
        <v>25</v>
      </c>
      <c r="E284" s="63" t="s">
        <v>458</v>
      </c>
      <c r="F284" s="65">
        <f>MC!H1293</f>
        <v>36.450000000000003</v>
      </c>
      <c r="G284" s="181">
        <f t="shared" si="83"/>
        <v>6.93</v>
      </c>
      <c r="H284" s="66">
        <f t="shared" si="84"/>
        <v>8.26</v>
      </c>
      <c r="I284" s="66">
        <f t="shared" si="85"/>
        <v>301.07</v>
      </c>
      <c r="K284" s="188">
        <v>6.93</v>
      </c>
      <c r="L284" s="188">
        <v>6.38</v>
      </c>
    </row>
    <row r="285" spans="1:12" ht="27" customHeight="1" x14ac:dyDescent="0.2">
      <c r="A285" s="63" t="s">
        <v>875</v>
      </c>
      <c r="B285" s="177">
        <v>96619</v>
      </c>
      <c r="C285" s="64" t="s">
        <v>14</v>
      </c>
      <c r="D285" s="59" t="s">
        <v>26</v>
      </c>
      <c r="E285" s="63" t="s">
        <v>458</v>
      </c>
      <c r="F285" s="65">
        <f>MC!H1298</f>
        <v>36.450000000000003</v>
      </c>
      <c r="G285" s="181">
        <f t="shared" si="83"/>
        <v>40.94</v>
      </c>
      <c r="H285" s="66">
        <f t="shared" si="84"/>
        <v>48.8</v>
      </c>
      <c r="I285" s="66">
        <f t="shared" si="85"/>
        <v>1778.76</v>
      </c>
      <c r="K285" s="188">
        <v>40.94</v>
      </c>
      <c r="L285" s="188">
        <v>39.47</v>
      </c>
    </row>
    <row r="286" spans="1:12" ht="41.45" customHeight="1" x14ac:dyDescent="0.2">
      <c r="A286" s="63" t="s">
        <v>876</v>
      </c>
      <c r="B286" s="63">
        <v>96535</v>
      </c>
      <c r="C286" s="64" t="s">
        <v>14</v>
      </c>
      <c r="D286" s="59" t="s">
        <v>632</v>
      </c>
      <c r="E286" s="63" t="s">
        <v>458</v>
      </c>
      <c r="F286" s="65">
        <f>MC!H1305</f>
        <v>27</v>
      </c>
      <c r="G286" s="181">
        <f t="shared" si="83"/>
        <v>143.34</v>
      </c>
      <c r="H286" s="66">
        <f t="shared" si="84"/>
        <v>170.88</v>
      </c>
      <c r="I286" s="66">
        <f t="shared" ref="I286:I288" si="86">ROUND(H286*F286,2)</f>
        <v>4613.76</v>
      </c>
      <c r="J286" s="199"/>
      <c r="K286" s="187">
        <v>143.34</v>
      </c>
      <c r="L286" s="188">
        <v>134.78</v>
      </c>
    </row>
    <row r="287" spans="1:12" ht="41.45" customHeight="1" x14ac:dyDescent="0.2">
      <c r="A287" s="63" t="s">
        <v>877</v>
      </c>
      <c r="B287" s="63">
        <v>104919</v>
      </c>
      <c r="C287" s="64" t="s">
        <v>14</v>
      </c>
      <c r="D287" s="59" t="s">
        <v>633</v>
      </c>
      <c r="E287" s="63" t="s">
        <v>79</v>
      </c>
      <c r="F287" s="65">
        <f>MC!H1312</f>
        <v>238</v>
      </c>
      <c r="G287" s="181">
        <f t="shared" si="83"/>
        <v>12.91</v>
      </c>
      <c r="H287" s="66">
        <f t="shared" si="84"/>
        <v>15.39</v>
      </c>
      <c r="I287" s="66">
        <f t="shared" si="86"/>
        <v>3662.82</v>
      </c>
      <c r="J287" s="199"/>
      <c r="K287" s="187">
        <v>12.91</v>
      </c>
      <c r="L287" s="188">
        <v>12.62</v>
      </c>
    </row>
    <row r="288" spans="1:12" ht="28.9" customHeight="1" x14ac:dyDescent="0.2">
      <c r="A288" s="63" t="s">
        <v>878</v>
      </c>
      <c r="B288" s="63">
        <v>104916</v>
      </c>
      <c r="C288" s="64" t="s">
        <v>14</v>
      </c>
      <c r="D288" s="59" t="s">
        <v>634</v>
      </c>
      <c r="E288" s="63" t="s">
        <v>79</v>
      </c>
      <c r="F288" s="65">
        <f>MC!H1318</f>
        <v>15</v>
      </c>
      <c r="G288" s="181">
        <f t="shared" si="83"/>
        <v>17.23</v>
      </c>
      <c r="H288" s="66">
        <f t="shared" si="84"/>
        <v>20.54</v>
      </c>
      <c r="I288" s="66">
        <f t="shared" si="86"/>
        <v>308.10000000000002</v>
      </c>
      <c r="J288" s="199"/>
      <c r="K288" s="187">
        <v>17.23</v>
      </c>
      <c r="L288" s="188">
        <v>16.559999999999999</v>
      </c>
    </row>
    <row r="289" spans="1:12" ht="28.9" customHeight="1" x14ac:dyDescent="0.2">
      <c r="A289" s="63" t="s">
        <v>879</v>
      </c>
      <c r="B289" s="63">
        <v>96558</v>
      </c>
      <c r="C289" s="63" t="s">
        <v>14</v>
      </c>
      <c r="D289" s="59" t="s">
        <v>635</v>
      </c>
      <c r="E289" s="63" t="s">
        <v>455</v>
      </c>
      <c r="F289" s="65">
        <f>MC!H1327</f>
        <v>3.38</v>
      </c>
      <c r="G289" s="181">
        <f t="shared" si="83"/>
        <v>740.63</v>
      </c>
      <c r="H289" s="66">
        <f t="shared" si="84"/>
        <v>882.91</v>
      </c>
      <c r="I289" s="66">
        <f t="shared" ref="I289:I290" si="87">TRUNC(H289*F289,2)</f>
        <v>2984.23</v>
      </c>
      <c r="K289" s="188">
        <v>740.63</v>
      </c>
      <c r="L289" s="188">
        <v>737.6</v>
      </c>
    </row>
    <row r="290" spans="1:12" ht="27" customHeight="1" x14ac:dyDescent="0.2">
      <c r="A290" s="63" t="s">
        <v>880</v>
      </c>
      <c r="B290" s="177">
        <v>93382</v>
      </c>
      <c r="C290" s="64" t="s">
        <v>14</v>
      </c>
      <c r="D290" s="59" t="s">
        <v>236</v>
      </c>
      <c r="E290" s="63" t="s">
        <v>455</v>
      </c>
      <c r="F290" s="65">
        <f>MC!H1336</f>
        <v>49.53</v>
      </c>
      <c r="G290" s="181">
        <f t="shared" si="83"/>
        <v>27.42</v>
      </c>
      <c r="H290" s="66">
        <f t="shared" si="84"/>
        <v>32.69</v>
      </c>
      <c r="I290" s="66">
        <f t="shared" si="87"/>
        <v>1619.13</v>
      </c>
      <c r="K290" s="209">
        <v>27.42</v>
      </c>
      <c r="L290" s="209">
        <v>25.56</v>
      </c>
    </row>
    <row r="291" spans="1:12" ht="24" customHeight="1" x14ac:dyDescent="0.2">
      <c r="A291" s="82" t="s">
        <v>806</v>
      </c>
      <c r="B291" s="83"/>
      <c r="C291" s="83"/>
      <c r="D291" s="84" t="s">
        <v>29</v>
      </c>
      <c r="E291" s="83"/>
      <c r="F291" s="85"/>
      <c r="G291" s="183"/>
      <c r="H291" s="83"/>
      <c r="I291" s="86">
        <f>SUM(I292:I300)</f>
        <v>21917.210000000003</v>
      </c>
      <c r="K291" s="188"/>
      <c r="L291" s="188"/>
    </row>
    <row r="292" spans="1:12" ht="39" customHeight="1" x14ac:dyDescent="0.2">
      <c r="A292" s="63" t="s">
        <v>881</v>
      </c>
      <c r="B292" s="177">
        <v>96525</v>
      </c>
      <c r="C292" s="64" t="s">
        <v>14</v>
      </c>
      <c r="D292" s="59" t="s">
        <v>239</v>
      </c>
      <c r="E292" s="63" t="s">
        <v>455</v>
      </c>
      <c r="F292" s="65">
        <f>MC!H1346</f>
        <v>25.8</v>
      </c>
      <c r="G292" s="181">
        <f t="shared" ref="G292:G300" si="88">K292</f>
        <v>54.62</v>
      </c>
      <c r="H292" s="66">
        <f t="shared" ref="H292:H300" si="89">ROUND(G292*1.1921,2)</f>
        <v>65.11</v>
      </c>
      <c r="I292" s="66">
        <f t="shared" ref="I292:I294" si="90">TRUNC(H292*F292,2)</f>
        <v>1679.83</v>
      </c>
      <c r="K292" s="188">
        <v>54.62</v>
      </c>
      <c r="L292" s="188">
        <v>52.98</v>
      </c>
    </row>
    <row r="293" spans="1:12" ht="27.6" customHeight="1" x14ac:dyDescent="0.2">
      <c r="A293" s="63" t="s">
        <v>882</v>
      </c>
      <c r="B293" s="177">
        <v>101616</v>
      </c>
      <c r="C293" s="64" t="s">
        <v>14</v>
      </c>
      <c r="D293" s="59" t="s">
        <v>25</v>
      </c>
      <c r="E293" s="63" t="s">
        <v>458</v>
      </c>
      <c r="F293" s="65">
        <f>MC!H1355</f>
        <v>65.94</v>
      </c>
      <c r="G293" s="181">
        <f t="shared" si="88"/>
        <v>6.93</v>
      </c>
      <c r="H293" s="66">
        <f t="shared" si="89"/>
        <v>8.26</v>
      </c>
      <c r="I293" s="66">
        <f t="shared" si="90"/>
        <v>544.66</v>
      </c>
      <c r="K293" s="188">
        <v>6.93</v>
      </c>
      <c r="L293" s="188">
        <v>6.38</v>
      </c>
    </row>
    <row r="294" spans="1:12" ht="27" customHeight="1" x14ac:dyDescent="0.2">
      <c r="A294" s="63" t="s">
        <v>883</v>
      </c>
      <c r="B294" s="177">
        <v>95241</v>
      </c>
      <c r="C294" s="64" t="s">
        <v>14</v>
      </c>
      <c r="D294" s="59" t="s">
        <v>33</v>
      </c>
      <c r="E294" s="63" t="s">
        <v>458</v>
      </c>
      <c r="F294" s="65">
        <f>MC!H1360</f>
        <v>65.94</v>
      </c>
      <c r="G294" s="181">
        <f t="shared" si="88"/>
        <v>37.659999999999997</v>
      </c>
      <c r="H294" s="66">
        <f t="shared" si="89"/>
        <v>44.89</v>
      </c>
      <c r="I294" s="66">
        <f t="shared" si="90"/>
        <v>2960.04</v>
      </c>
      <c r="K294" s="188">
        <v>37.659999999999997</v>
      </c>
      <c r="L294" s="188">
        <v>36.450000000000003</v>
      </c>
    </row>
    <row r="295" spans="1:12" ht="40.9" customHeight="1" x14ac:dyDescent="0.2">
      <c r="A295" s="63" t="s">
        <v>884</v>
      </c>
      <c r="B295" s="63">
        <v>96536</v>
      </c>
      <c r="C295" s="63" t="s">
        <v>14</v>
      </c>
      <c r="D295" s="59" t="s">
        <v>639</v>
      </c>
      <c r="E295" s="63" t="s">
        <v>458</v>
      </c>
      <c r="F295" s="65">
        <f>MC!H1367</f>
        <v>65.680000000000007</v>
      </c>
      <c r="G295" s="181">
        <f t="shared" si="88"/>
        <v>75.709999999999994</v>
      </c>
      <c r="H295" s="66">
        <f t="shared" si="89"/>
        <v>90.25</v>
      </c>
      <c r="I295" s="66">
        <f t="shared" ref="I295:I298" si="91">ROUND(H295*F295,2)</f>
        <v>5927.62</v>
      </c>
      <c r="J295" s="199"/>
      <c r="K295" s="187">
        <v>75.709999999999994</v>
      </c>
      <c r="L295" s="188">
        <v>72.05</v>
      </c>
    </row>
    <row r="296" spans="1:12" ht="28.15" customHeight="1" x14ac:dyDescent="0.2">
      <c r="A296" s="63" t="s">
        <v>885</v>
      </c>
      <c r="B296" s="63">
        <v>104916</v>
      </c>
      <c r="C296" s="63" t="s">
        <v>14</v>
      </c>
      <c r="D296" s="59" t="s">
        <v>634</v>
      </c>
      <c r="E296" s="63" t="s">
        <v>79</v>
      </c>
      <c r="F296" s="65">
        <f>MC!H1374</f>
        <v>134</v>
      </c>
      <c r="G296" s="181">
        <f t="shared" si="88"/>
        <v>17.23</v>
      </c>
      <c r="H296" s="66">
        <f t="shared" si="89"/>
        <v>20.54</v>
      </c>
      <c r="I296" s="66">
        <f t="shared" si="91"/>
        <v>2752.36</v>
      </c>
      <c r="J296" s="199"/>
      <c r="K296" s="187">
        <v>17.23</v>
      </c>
      <c r="L296" s="188">
        <v>16.559999999999999</v>
      </c>
    </row>
    <row r="297" spans="1:12" ht="40.9" customHeight="1" x14ac:dyDescent="0.2">
      <c r="A297" s="63" t="s">
        <v>886</v>
      </c>
      <c r="B297" s="63">
        <v>104917</v>
      </c>
      <c r="C297" s="63" t="s">
        <v>14</v>
      </c>
      <c r="D297" s="59" t="s">
        <v>640</v>
      </c>
      <c r="E297" s="63" t="s">
        <v>79</v>
      </c>
      <c r="F297" s="65">
        <f>MC!H1381</f>
        <v>194</v>
      </c>
      <c r="G297" s="181">
        <f t="shared" si="88"/>
        <v>15.83</v>
      </c>
      <c r="H297" s="66">
        <f t="shared" si="89"/>
        <v>18.87</v>
      </c>
      <c r="I297" s="66">
        <f t="shared" si="91"/>
        <v>3660.78</v>
      </c>
      <c r="J297" s="199"/>
      <c r="K297" s="187">
        <v>15.83</v>
      </c>
      <c r="L297" s="188">
        <v>15.33</v>
      </c>
    </row>
    <row r="298" spans="1:12" ht="28.9" customHeight="1" x14ac:dyDescent="0.2">
      <c r="A298" s="63" t="s">
        <v>887</v>
      </c>
      <c r="B298" s="63">
        <v>104918</v>
      </c>
      <c r="C298" s="63" t="s">
        <v>14</v>
      </c>
      <c r="D298" s="59" t="s">
        <v>641</v>
      </c>
      <c r="E298" s="63" t="s">
        <v>79</v>
      </c>
      <c r="F298" s="65">
        <f>MC!H1386</f>
        <v>2</v>
      </c>
      <c r="G298" s="181">
        <f t="shared" si="88"/>
        <v>14.56</v>
      </c>
      <c r="H298" s="66">
        <f t="shared" si="89"/>
        <v>17.36</v>
      </c>
      <c r="I298" s="66">
        <f t="shared" si="91"/>
        <v>34.72</v>
      </c>
      <c r="J298" s="199"/>
      <c r="K298" s="187">
        <v>14.56</v>
      </c>
      <c r="L298" s="188">
        <v>14.2</v>
      </c>
    </row>
    <row r="299" spans="1:12" ht="39" customHeight="1" x14ac:dyDescent="0.2">
      <c r="A299" s="63" t="s">
        <v>888</v>
      </c>
      <c r="B299" s="63">
        <v>96557</v>
      </c>
      <c r="C299" s="63" t="s">
        <v>14</v>
      </c>
      <c r="D299" s="59" t="s">
        <v>648</v>
      </c>
      <c r="E299" s="63" t="s">
        <v>455</v>
      </c>
      <c r="F299" s="65">
        <f>MC!H1395</f>
        <v>4.47</v>
      </c>
      <c r="G299" s="181">
        <f t="shared" si="88"/>
        <v>707.08</v>
      </c>
      <c r="H299" s="66">
        <f t="shared" si="89"/>
        <v>842.91</v>
      </c>
      <c r="I299" s="66">
        <f t="shared" ref="I299:I300" si="92">TRUNC(H299*F299,2)</f>
        <v>3767.8</v>
      </c>
      <c r="K299" s="209">
        <v>707.08</v>
      </c>
      <c r="L299" s="209">
        <v>705.36</v>
      </c>
    </row>
    <row r="300" spans="1:12" ht="27.75" customHeight="1" x14ac:dyDescent="0.2">
      <c r="A300" s="63" t="s">
        <v>889</v>
      </c>
      <c r="B300" s="177">
        <v>93382</v>
      </c>
      <c r="C300" s="64" t="s">
        <v>14</v>
      </c>
      <c r="D300" s="59" t="s">
        <v>236</v>
      </c>
      <c r="E300" s="63" t="s">
        <v>455</v>
      </c>
      <c r="F300" s="65">
        <f>MC!H1404</f>
        <v>18.03</v>
      </c>
      <c r="G300" s="181">
        <f t="shared" si="88"/>
        <v>27.42</v>
      </c>
      <c r="H300" s="66">
        <f t="shared" si="89"/>
        <v>32.69</v>
      </c>
      <c r="I300" s="66">
        <f t="shared" si="92"/>
        <v>589.4</v>
      </c>
      <c r="K300" s="188">
        <v>27.42</v>
      </c>
      <c r="L300" s="188">
        <v>25.56</v>
      </c>
    </row>
    <row r="301" spans="1:12" ht="24" customHeight="1" x14ac:dyDescent="0.2">
      <c r="A301" s="82" t="s">
        <v>807</v>
      </c>
      <c r="B301" s="83"/>
      <c r="C301" s="83"/>
      <c r="D301" s="84" t="s">
        <v>35</v>
      </c>
      <c r="E301" s="83"/>
      <c r="F301" s="85"/>
      <c r="G301" s="183"/>
      <c r="H301" s="83"/>
      <c r="I301" s="86">
        <f>SUM(I302:I305)</f>
        <v>28489.850000000002</v>
      </c>
      <c r="K301" s="188"/>
      <c r="L301" s="188"/>
    </row>
    <row r="302" spans="1:12" ht="51" x14ac:dyDescent="0.2">
      <c r="A302" s="63" t="s">
        <v>890</v>
      </c>
      <c r="B302" s="63">
        <v>92443</v>
      </c>
      <c r="C302" s="63" t="s">
        <v>14</v>
      </c>
      <c r="D302" s="59" t="s">
        <v>650</v>
      </c>
      <c r="E302" s="63" t="s">
        <v>458</v>
      </c>
      <c r="F302" s="65">
        <f>MC!H1414</f>
        <v>150</v>
      </c>
      <c r="G302" s="181">
        <f>K302</f>
        <v>54.48</v>
      </c>
      <c r="H302" s="66">
        <f t="shared" ref="H302:H305" si="93">ROUND(G302*1.1921,2)</f>
        <v>64.95</v>
      </c>
      <c r="I302" s="66">
        <f t="shared" ref="I302:I304" si="94">ROUND(H302*F302,2)</f>
        <v>9742.5</v>
      </c>
      <c r="J302" s="199"/>
      <c r="K302" s="187">
        <v>54.48</v>
      </c>
      <c r="L302" s="188">
        <v>52.57</v>
      </c>
    </row>
    <row r="303" spans="1:12" ht="38.25" x14ac:dyDescent="0.2">
      <c r="A303" s="63" t="s">
        <v>891</v>
      </c>
      <c r="B303" s="63">
        <v>92759</v>
      </c>
      <c r="C303" s="63" t="s">
        <v>14</v>
      </c>
      <c r="D303" s="59" t="s">
        <v>652</v>
      </c>
      <c r="E303" s="63" t="s">
        <v>79</v>
      </c>
      <c r="F303" s="65">
        <f>MC!H1423</f>
        <v>211</v>
      </c>
      <c r="G303" s="181">
        <f>K303</f>
        <v>14.39</v>
      </c>
      <c r="H303" s="66">
        <f t="shared" si="93"/>
        <v>17.149999999999999</v>
      </c>
      <c r="I303" s="66">
        <f t="shared" si="94"/>
        <v>3618.65</v>
      </c>
      <c r="J303" s="199"/>
      <c r="K303" s="187">
        <v>14.39</v>
      </c>
      <c r="L303" s="188">
        <v>13.95</v>
      </c>
    </row>
    <row r="304" spans="1:12" ht="38.25" x14ac:dyDescent="0.2">
      <c r="A304" s="63" t="s">
        <v>892</v>
      </c>
      <c r="B304" s="63">
        <v>92762</v>
      </c>
      <c r="C304" s="63" t="s">
        <v>14</v>
      </c>
      <c r="D304" s="59" t="s">
        <v>654</v>
      </c>
      <c r="E304" s="63" t="s">
        <v>79</v>
      </c>
      <c r="F304" s="65">
        <f>MC!H1432</f>
        <v>781</v>
      </c>
      <c r="G304" s="181">
        <f>K304</f>
        <v>11.09</v>
      </c>
      <c r="H304" s="66">
        <f t="shared" si="93"/>
        <v>13.22</v>
      </c>
      <c r="I304" s="66">
        <f t="shared" si="94"/>
        <v>10324.82</v>
      </c>
      <c r="J304" s="199"/>
      <c r="K304" s="187">
        <v>11.09</v>
      </c>
      <c r="L304" s="188">
        <v>10.94</v>
      </c>
    </row>
    <row r="305" spans="1:12" ht="28.15" customHeight="1" x14ac:dyDescent="0.2">
      <c r="A305" s="63" t="s">
        <v>893</v>
      </c>
      <c r="B305" s="63">
        <v>103672</v>
      </c>
      <c r="C305" s="63" t="s">
        <v>14</v>
      </c>
      <c r="D305" s="59" t="s">
        <v>656</v>
      </c>
      <c r="E305" s="63" t="s">
        <v>455</v>
      </c>
      <c r="F305" s="65">
        <f>MC!H1441</f>
        <v>6.2799999999999994</v>
      </c>
      <c r="G305" s="181">
        <f>K305</f>
        <v>641.67999999999995</v>
      </c>
      <c r="H305" s="66">
        <f t="shared" si="93"/>
        <v>764.95</v>
      </c>
      <c r="I305" s="66">
        <f t="shared" ref="I305" si="95">TRUNC(H305*F305,2)</f>
        <v>4803.88</v>
      </c>
      <c r="K305" s="188">
        <v>641.67999999999995</v>
      </c>
      <c r="L305" s="188">
        <v>638.16</v>
      </c>
    </row>
    <row r="306" spans="1:12" ht="24" customHeight="1" x14ac:dyDescent="0.2">
      <c r="A306" s="82" t="s">
        <v>851</v>
      </c>
      <c r="B306" s="83"/>
      <c r="C306" s="83"/>
      <c r="D306" s="84" t="s">
        <v>37</v>
      </c>
      <c r="E306" s="83"/>
      <c r="F306" s="85"/>
      <c r="G306" s="183"/>
      <c r="H306" s="83"/>
      <c r="I306" s="86">
        <f>SUM(I307:I310)</f>
        <v>6731.08</v>
      </c>
      <c r="K306" s="188"/>
      <c r="L306" s="188"/>
    </row>
    <row r="307" spans="1:12" ht="40.15" customHeight="1" x14ac:dyDescent="0.2">
      <c r="A307" s="63" t="s">
        <v>894</v>
      </c>
      <c r="B307" s="63">
        <v>92479</v>
      </c>
      <c r="C307" s="63" t="s">
        <v>14</v>
      </c>
      <c r="D307" s="59" t="s">
        <v>658</v>
      </c>
      <c r="E307" s="63" t="s">
        <v>458</v>
      </c>
      <c r="F307" s="65">
        <f>MC!H1447</f>
        <v>31.42</v>
      </c>
      <c r="G307" s="181">
        <f t="shared" ref="G307:G310" si="96">K307</f>
        <v>71.709999999999994</v>
      </c>
      <c r="H307" s="66">
        <f t="shared" ref="H307:H310" si="97">ROUND(G307*1.1921,2)</f>
        <v>85.49</v>
      </c>
      <c r="I307" s="66">
        <f t="shared" ref="I307:I309" si="98">ROUND(H307*F307,2)</f>
        <v>2686.1</v>
      </c>
      <c r="J307" s="199"/>
      <c r="K307" s="187">
        <v>71.709999999999994</v>
      </c>
      <c r="L307" s="188">
        <v>69.42</v>
      </c>
    </row>
    <row r="308" spans="1:12" ht="38.25" x14ac:dyDescent="0.2">
      <c r="A308" s="63" t="s">
        <v>895</v>
      </c>
      <c r="B308" s="63">
        <v>92759</v>
      </c>
      <c r="C308" s="63" t="s">
        <v>14</v>
      </c>
      <c r="D308" s="207" t="s">
        <v>660</v>
      </c>
      <c r="E308" s="63" t="s">
        <v>79</v>
      </c>
      <c r="F308" s="65">
        <f>MC!H1452</f>
        <v>41</v>
      </c>
      <c r="G308" s="181">
        <f t="shared" si="96"/>
        <v>14.39</v>
      </c>
      <c r="H308" s="66">
        <f t="shared" si="97"/>
        <v>17.149999999999999</v>
      </c>
      <c r="I308" s="66">
        <f t="shared" si="98"/>
        <v>703.15</v>
      </c>
      <c r="J308" s="199"/>
      <c r="K308" s="187">
        <v>14.39</v>
      </c>
      <c r="L308" s="188">
        <v>13.95</v>
      </c>
    </row>
    <row r="309" spans="1:12" ht="41.45" customHeight="1" x14ac:dyDescent="0.2">
      <c r="A309" s="63" t="s">
        <v>896</v>
      </c>
      <c r="B309" s="63">
        <v>92760</v>
      </c>
      <c r="C309" s="63" t="s">
        <v>14</v>
      </c>
      <c r="D309" s="207" t="s">
        <v>731</v>
      </c>
      <c r="E309" s="63" t="s">
        <v>79</v>
      </c>
      <c r="F309" s="65">
        <f>MC!H1457</f>
        <v>100</v>
      </c>
      <c r="G309" s="181">
        <f t="shared" si="96"/>
        <v>13.43</v>
      </c>
      <c r="H309" s="66">
        <f t="shared" si="97"/>
        <v>16.010000000000002</v>
      </c>
      <c r="I309" s="66">
        <f t="shared" si="98"/>
        <v>1601</v>
      </c>
      <c r="J309" s="199"/>
      <c r="K309" s="187">
        <v>13.43</v>
      </c>
      <c r="L309" s="188">
        <v>13.13</v>
      </c>
    </row>
    <row r="310" spans="1:12" ht="41.45" customHeight="1" x14ac:dyDescent="0.2">
      <c r="A310" s="63" t="s">
        <v>897</v>
      </c>
      <c r="B310" s="63">
        <v>103674</v>
      </c>
      <c r="C310" s="63" t="s">
        <v>14</v>
      </c>
      <c r="D310" s="59" t="s">
        <v>665</v>
      </c>
      <c r="E310" s="63" t="s">
        <v>455</v>
      </c>
      <c r="F310" s="65">
        <f>MC!H1463</f>
        <v>2.2000000000000002</v>
      </c>
      <c r="G310" s="181">
        <f t="shared" si="96"/>
        <v>663.78</v>
      </c>
      <c r="H310" s="66">
        <f t="shared" si="97"/>
        <v>791.29</v>
      </c>
      <c r="I310" s="66">
        <f t="shared" ref="I310" si="99">TRUNC(H310*F310,2)</f>
        <v>1740.83</v>
      </c>
      <c r="K310" s="188">
        <v>663.78</v>
      </c>
      <c r="L310" s="188">
        <v>658.44</v>
      </c>
    </row>
    <row r="311" spans="1:12" ht="24" customHeight="1" x14ac:dyDescent="0.2">
      <c r="A311" s="82" t="s">
        <v>898</v>
      </c>
      <c r="B311" s="83"/>
      <c r="C311" s="83"/>
      <c r="D311" s="84" t="s">
        <v>42</v>
      </c>
      <c r="E311" s="83"/>
      <c r="F311" s="85"/>
      <c r="G311" s="183"/>
      <c r="H311" s="83"/>
      <c r="I311" s="86">
        <f>SUM(I312:I313)</f>
        <v>58542.369999999995</v>
      </c>
      <c r="K311" s="193"/>
      <c r="L311" s="188"/>
    </row>
    <row r="312" spans="1:12" ht="68.45" customHeight="1" x14ac:dyDescent="0.2">
      <c r="A312" s="63" t="s">
        <v>899</v>
      </c>
      <c r="B312" s="179" t="s">
        <v>389</v>
      </c>
      <c r="C312" s="63" t="s">
        <v>397</v>
      </c>
      <c r="D312" s="59" t="s">
        <v>864</v>
      </c>
      <c r="E312" s="63" t="s">
        <v>458</v>
      </c>
      <c r="F312" s="65">
        <f>MC!H1474</f>
        <v>119.95</v>
      </c>
      <c r="G312" s="181">
        <f>COMPOSIÇÕES!H45</f>
        <v>184.45792</v>
      </c>
      <c r="H312" s="66">
        <f t="shared" ref="H312:H313" si="100">ROUND(G312*1.1921,2)</f>
        <v>219.89</v>
      </c>
      <c r="I312" s="66">
        <f t="shared" ref="I312:I313" si="101">TRUNC(H312*F312,2)</f>
        <v>26375.8</v>
      </c>
      <c r="K312" s="188">
        <v>93.39</v>
      </c>
      <c r="L312" s="188">
        <v>87.94</v>
      </c>
    </row>
    <row r="313" spans="1:12" ht="54" customHeight="1" x14ac:dyDescent="0.2">
      <c r="A313" s="63" t="s">
        <v>953</v>
      </c>
      <c r="B313" s="177">
        <v>103328</v>
      </c>
      <c r="C313" s="64" t="s">
        <v>14</v>
      </c>
      <c r="D313" s="59" t="s">
        <v>44</v>
      </c>
      <c r="E313" s="63" t="s">
        <v>458</v>
      </c>
      <c r="F313" s="65">
        <f>MC!H1487</f>
        <v>288.93</v>
      </c>
      <c r="G313" s="181">
        <f>K313</f>
        <v>93.39</v>
      </c>
      <c r="H313" s="66">
        <f t="shared" si="100"/>
        <v>111.33</v>
      </c>
      <c r="I313" s="66">
        <f t="shared" si="101"/>
        <v>32166.57</v>
      </c>
      <c r="K313" s="188">
        <v>93.39</v>
      </c>
      <c r="L313" s="188">
        <v>87.94</v>
      </c>
    </row>
    <row r="314" spans="1:12" ht="24" customHeight="1" x14ac:dyDescent="0.2">
      <c r="A314" s="82" t="s">
        <v>900</v>
      </c>
      <c r="B314" s="83"/>
      <c r="C314" s="83"/>
      <c r="D314" s="84" t="s">
        <v>248</v>
      </c>
      <c r="E314" s="83"/>
      <c r="F314" s="85"/>
      <c r="G314" s="183"/>
      <c r="H314" s="83"/>
      <c r="I314" s="86">
        <f>SUM(I315:I316)</f>
        <v>68588.34</v>
      </c>
      <c r="J314" s="58"/>
      <c r="K314" s="188"/>
      <c r="L314" s="188"/>
    </row>
    <row r="315" spans="1:12" ht="40.9" customHeight="1" x14ac:dyDescent="0.2">
      <c r="A315" s="63" t="s">
        <v>901</v>
      </c>
      <c r="B315" s="177">
        <v>87905</v>
      </c>
      <c r="C315" s="63" t="s">
        <v>14</v>
      </c>
      <c r="D315" s="59" t="s">
        <v>808</v>
      </c>
      <c r="E315" s="63" t="s">
        <v>458</v>
      </c>
      <c r="F315" s="65">
        <f>MC!H1504</f>
        <v>775.36</v>
      </c>
      <c r="G315" s="181">
        <f>K315</f>
        <v>8.4600000000000009</v>
      </c>
      <c r="H315" s="66">
        <f t="shared" ref="H315:H316" si="102">ROUND(G315*1.1921,2)</f>
        <v>10.09</v>
      </c>
      <c r="I315" s="66">
        <f t="shared" ref="I315:I316" si="103">TRUNC(H315*F315,2)</f>
        <v>7823.38</v>
      </c>
      <c r="K315" s="188">
        <v>8.4600000000000009</v>
      </c>
      <c r="L315" s="188">
        <v>7.9</v>
      </c>
    </row>
    <row r="316" spans="1:12" ht="54" customHeight="1" x14ac:dyDescent="0.2">
      <c r="A316" s="63" t="s">
        <v>902</v>
      </c>
      <c r="B316" s="177">
        <v>87777</v>
      </c>
      <c r="C316" s="63" t="s">
        <v>14</v>
      </c>
      <c r="D316" s="59" t="s">
        <v>810</v>
      </c>
      <c r="E316" s="63" t="s">
        <v>458</v>
      </c>
      <c r="F316" s="65">
        <f>MC!H1509</f>
        <v>775.36</v>
      </c>
      <c r="G316" s="181">
        <f>K316</f>
        <v>65.739999999999995</v>
      </c>
      <c r="H316" s="66">
        <f t="shared" si="102"/>
        <v>78.37</v>
      </c>
      <c r="I316" s="66">
        <f t="shared" si="103"/>
        <v>60764.959999999999</v>
      </c>
      <c r="K316" s="193">
        <v>65.739999999999995</v>
      </c>
      <c r="L316" s="188">
        <v>62.22</v>
      </c>
    </row>
    <row r="317" spans="1:12" ht="24" customHeight="1" x14ac:dyDescent="0.2">
      <c r="A317" s="82" t="s">
        <v>903</v>
      </c>
      <c r="B317" s="83"/>
      <c r="C317" s="83"/>
      <c r="D317" s="84" t="s">
        <v>251</v>
      </c>
      <c r="E317" s="83"/>
      <c r="F317" s="85"/>
      <c r="G317" s="183"/>
      <c r="H317" s="83"/>
      <c r="I317" s="86">
        <f>SUM(I318:I320)</f>
        <v>47676.869999999995</v>
      </c>
      <c r="K317" s="189"/>
      <c r="L317" s="188"/>
    </row>
    <row r="318" spans="1:12" ht="27.75" customHeight="1" x14ac:dyDescent="0.2">
      <c r="A318" s="63" t="s">
        <v>904</v>
      </c>
      <c r="B318" s="177">
        <v>88485</v>
      </c>
      <c r="C318" s="64" t="s">
        <v>14</v>
      </c>
      <c r="D318" s="59" t="s">
        <v>252</v>
      </c>
      <c r="E318" s="63" t="s">
        <v>458</v>
      </c>
      <c r="F318" s="65">
        <f>MC!H1524</f>
        <v>775.36</v>
      </c>
      <c r="G318" s="181">
        <f>K318</f>
        <v>4.37</v>
      </c>
      <c r="H318" s="66">
        <f t="shared" ref="H318:H320" si="104">ROUND(G318*1.1921,2)</f>
        <v>5.21</v>
      </c>
      <c r="I318" s="66">
        <f t="shared" ref="I318:I320" si="105">TRUNC(H318*F318,2)</f>
        <v>4039.62</v>
      </c>
      <c r="K318" s="188">
        <v>4.37</v>
      </c>
      <c r="L318" s="188">
        <v>4.17</v>
      </c>
    </row>
    <row r="319" spans="1:12" ht="27" customHeight="1" x14ac:dyDescent="0.2">
      <c r="A319" s="63" t="s">
        <v>905</v>
      </c>
      <c r="B319" s="177">
        <v>96135</v>
      </c>
      <c r="C319" s="64" t="s">
        <v>14</v>
      </c>
      <c r="D319" s="59" t="s">
        <v>135</v>
      </c>
      <c r="E319" s="63" t="s">
        <v>458</v>
      </c>
      <c r="F319" s="65">
        <f>MC!H1529</f>
        <v>775.36</v>
      </c>
      <c r="G319" s="181">
        <f>K319</f>
        <v>29.42</v>
      </c>
      <c r="H319" s="66">
        <f t="shared" si="104"/>
        <v>35.07</v>
      </c>
      <c r="I319" s="66">
        <f t="shared" si="105"/>
        <v>27191.87</v>
      </c>
      <c r="K319" s="188">
        <v>29.42</v>
      </c>
      <c r="L319" s="188">
        <v>27.7</v>
      </c>
    </row>
    <row r="320" spans="1:12" ht="27" customHeight="1" x14ac:dyDescent="0.2">
      <c r="A320" s="63" t="s">
        <v>954</v>
      </c>
      <c r="B320" s="177">
        <v>95626</v>
      </c>
      <c r="C320" s="64" t="s">
        <v>14</v>
      </c>
      <c r="D320" s="59" t="s">
        <v>137</v>
      </c>
      <c r="E320" s="63" t="s">
        <v>458</v>
      </c>
      <c r="F320" s="65">
        <f>MC!H1534</f>
        <v>775.36</v>
      </c>
      <c r="G320" s="181">
        <f>K320</f>
        <v>17.79</v>
      </c>
      <c r="H320" s="66">
        <f t="shared" si="104"/>
        <v>21.21</v>
      </c>
      <c r="I320" s="66">
        <f t="shared" si="105"/>
        <v>16445.38</v>
      </c>
      <c r="K320" s="209">
        <v>17.79</v>
      </c>
      <c r="L320" s="209">
        <v>17.02</v>
      </c>
    </row>
    <row r="321" spans="1:12" ht="24" customHeight="1" x14ac:dyDescent="0.2">
      <c r="A321" s="87" t="s">
        <v>852</v>
      </c>
      <c r="B321" s="78"/>
      <c r="C321" s="78"/>
      <c r="D321" s="79" t="s">
        <v>910</v>
      </c>
      <c r="E321" s="78"/>
      <c r="F321" s="80"/>
      <c r="G321" s="182"/>
      <c r="H321" s="78"/>
      <c r="I321" s="81">
        <f>SUM(I322,I332,I344,I350,I356,I358,I360,I365,I370,I363)</f>
        <v>75537.439999999988</v>
      </c>
      <c r="K321" s="189"/>
      <c r="L321" s="188"/>
    </row>
    <row r="322" spans="1:12" ht="24" customHeight="1" x14ac:dyDescent="0.2">
      <c r="A322" s="82" t="s">
        <v>846</v>
      </c>
      <c r="B322" s="83"/>
      <c r="C322" s="83"/>
      <c r="D322" s="84" t="s">
        <v>23</v>
      </c>
      <c r="E322" s="83"/>
      <c r="F322" s="85"/>
      <c r="G322" s="183"/>
      <c r="H322" s="83"/>
      <c r="I322" s="86">
        <f>SUM(I323:I331)</f>
        <v>4064.7099999999996</v>
      </c>
      <c r="K322" s="193">
        <f>I322+I332+I344+I350+I356+I358+I360</f>
        <v>28750.55</v>
      </c>
      <c r="L322" s="188"/>
    </row>
    <row r="323" spans="1:12" ht="39" customHeight="1" x14ac:dyDescent="0.2">
      <c r="A323" s="63" t="s">
        <v>853</v>
      </c>
      <c r="B323" s="177">
        <v>96521</v>
      </c>
      <c r="C323" s="64" t="s">
        <v>14</v>
      </c>
      <c r="D323" s="59" t="s">
        <v>235</v>
      </c>
      <c r="E323" s="63" t="s">
        <v>455</v>
      </c>
      <c r="F323" s="65">
        <f>MC!H1544</f>
        <v>12.16</v>
      </c>
      <c r="G323" s="181">
        <f t="shared" ref="G323:G331" si="106">K323</f>
        <v>40.76</v>
      </c>
      <c r="H323" s="66">
        <f t="shared" ref="H323:H331" si="107">ROUND(G323*1.1921,2)</f>
        <v>48.59</v>
      </c>
      <c r="I323" s="66">
        <f t="shared" ref="I323:I325" si="108">TRUNC(H323*F323,2)</f>
        <v>590.85</v>
      </c>
      <c r="K323" s="189">
        <v>40.76</v>
      </c>
      <c r="L323" s="188">
        <v>39.5</v>
      </c>
    </row>
    <row r="324" spans="1:12" ht="28.5" customHeight="1" x14ac:dyDescent="0.2">
      <c r="A324" s="63" t="s">
        <v>854</v>
      </c>
      <c r="B324" s="177">
        <v>101616</v>
      </c>
      <c r="C324" s="64" t="s">
        <v>14</v>
      </c>
      <c r="D324" s="59" t="s">
        <v>25</v>
      </c>
      <c r="E324" s="63" t="s">
        <v>458</v>
      </c>
      <c r="F324" s="65">
        <f>MC!H1552</f>
        <v>7.84</v>
      </c>
      <c r="G324" s="181">
        <f t="shared" si="106"/>
        <v>6.93</v>
      </c>
      <c r="H324" s="66">
        <f t="shared" si="107"/>
        <v>8.26</v>
      </c>
      <c r="I324" s="66">
        <f t="shared" si="108"/>
        <v>64.75</v>
      </c>
      <c r="K324" s="188">
        <v>6.93</v>
      </c>
      <c r="L324" s="188">
        <v>6.38</v>
      </c>
    </row>
    <row r="325" spans="1:12" ht="27" customHeight="1" x14ac:dyDescent="0.2">
      <c r="A325" s="63" t="s">
        <v>855</v>
      </c>
      <c r="B325" s="177">
        <v>96619</v>
      </c>
      <c r="C325" s="64" t="s">
        <v>14</v>
      </c>
      <c r="D325" s="59" t="s">
        <v>26</v>
      </c>
      <c r="E325" s="63" t="s">
        <v>458</v>
      </c>
      <c r="F325" s="65">
        <f>MC!H1557</f>
        <v>7.84</v>
      </c>
      <c r="G325" s="181">
        <f t="shared" si="106"/>
        <v>40.94</v>
      </c>
      <c r="H325" s="66">
        <f t="shared" si="107"/>
        <v>48.8</v>
      </c>
      <c r="I325" s="66">
        <f t="shared" si="108"/>
        <v>382.59</v>
      </c>
      <c r="K325" s="188">
        <v>40.94</v>
      </c>
      <c r="L325" s="188">
        <v>39.47</v>
      </c>
    </row>
    <row r="326" spans="1:12" ht="41.45" customHeight="1" x14ac:dyDescent="0.2">
      <c r="A326" s="63" t="s">
        <v>911</v>
      </c>
      <c r="B326" s="63">
        <v>96535</v>
      </c>
      <c r="C326" s="64" t="s">
        <v>14</v>
      </c>
      <c r="D326" s="59" t="s">
        <v>632</v>
      </c>
      <c r="E326" s="63" t="s">
        <v>458</v>
      </c>
      <c r="F326" s="65">
        <f>MC!H1562</f>
        <v>4.8</v>
      </c>
      <c r="G326" s="181">
        <f t="shared" si="106"/>
        <v>143.34</v>
      </c>
      <c r="H326" s="66">
        <f t="shared" si="107"/>
        <v>170.88</v>
      </c>
      <c r="I326" s="66">
        <f t="shared" ref="I326:I329" si="109">ROUND(H326*F326,2)</f>
        <v>820.22</v>
      </c>
      <c r="J326" s="199"/>
      <c r="K326" s="187">
        <v>143.34</v>
      </c>
      <c r="L326" s="188">
        <v>134.78</v>
      </c>
    </row>
    <row r="327" spans="1:12" ht="41.45" customHeight="1" x14ac:dyDescent="0.2">
      <c r="A327" s="63" t="s">
        <v>912</v>
      </c>
      <c r="B327" s="63">
        <v>104919</v>
      </c>
      <c r="C327" s="64" t="s">
        <v>14</v>
      </c>
      <c r="D327" s="59" t="s">
        <v>633</v>
      </c>
      <c r="E327" s="63" t="s">
        <v>79</v>
      </c>
      <c r="F327" s="65">
        <f>MC!H1567</f>
        <v>39</v>
      </c>
      <c r="G327" s="181">
        <f t="shared" si="106"/>
        <v>12.91</v>
      </c>
      <c r="H327" s="66">
        <f t="shared" si="107"/>
        <v>15.39</v>
      </c>
      <c r="I327" s="66">
        <f t="shared" si="109"/>
        <v>600.21</v>
      </c>
      <c r="J327" s="199"/>
      <c r="K327" s="187">
        <v>12.91</v>
      </c>
      <c r="L327" s="188">
        <v>12.62</v>
      </c>
    </row>
    <row r="328" spans="1:12" ht="41.45" customHeight="1" x14ac:dyDescent="0.2">
      <c r="A328" s="63" t="s">
        <v>913</v>
      </c>
      <c r="B328" s="63">
        <v>104920</v>
      </c>
      <c r="C328" s="64" t="s">
        <v>14</v>
      </c>
      <c r="D328" s="59" t="s">
        <v>726</v>
      </c>
      <c r="E328" s="63" t="s">
        <v>79</v>
      </c>
      <c r="F328" s="65">
        <f>MC!H1572</f>
        <v>12</v>
      </c>
      <c r="G328" s="181">
        <f t="shared" si="106"/>
        <v>10.91</v>
      </c>
      <c r="H328" s="66">
        <f t="shared" si="107"/>
        <v>13.01</v>
      </c>
      <c r="I328" s="66">
        <f t="shared" si="109"/>
        <v>156.12</v>
      </c>
      <c r="J328" s="199"/>
      <c r="K328" s="187">
        <v>10.91</v>
      </c>
      <c r="L328" s="188">
        <v>10.69</v>
      </c>
    </row>
    <row r="329" spans="1:12" ht="28.9" customHeight="1" x14ac:dyDescent="0.2">
      <c r="A329" s="63" t="s">
        <v>914</v>
      </c>
      <c r="B329" s="63">
        <v>104916</v>
      </c>
      <c r="C329" s="64" t="s">
        <v>14</v>
      </c>
      <c r="D329" s="59" t="s">
        <v>634</v>
      </c>
      <c r="E329" s="63" t="s">
        <v>79</v>
      </c>
      <c r="F329" s="65">
        <f>MC!H1577</f>
        <v>3</v>
      </c>
      <c r="G329" s="181">
        <f t="shared" si="106"/>
        <v>17.23</v>
      </c>
      <c r="H329" s="66">
        <f t="shared" si="107"/>
        <v>20.54</v>
      </c>
      <c r="I329" s="66">
        <f t="shared" si="109"/>
        <v>61.62</v>
      </c>
      <c r="J329" s="199"/>
      <c r="K329" s="187">
        <v>17.23</v>
      </c>
      <c r="L329" s="188">
        <v>16.559999999999999</v>
      </c>
    </row>
    <row r="330" spans="1:12" ht="28.9" customHeight="1" x14ac:dyDescent="0.2">
      <c r="A330" s="63" t="s">
        <v>915</v>
      </c>
      <c r="B330" s="63">
        <v>96558</v>
      </c>
      <c r="C330" s="63" t="s">
        <v>14</v>
      </c>
      <c r="D330" s="59" t="s">
        <v>635</v>
      </c>
      <c r="E330" s="63" t="s">
        <v>455</v>
      </c>
      <c r="F330" s="65">
        <f>MC!H1585</f>
        <v>1.2000000000000002</v>
      </c>
      <c r="G330" s="181">
        <f t="shared" si="106"/>
        <v>740.63</v>
      </c>
      <c r="H330" s="66">
        <f t="shared" si="107"/>
        <v>882.91</v>
      </c>
      <c r="I330" s="66">
        <f t="shared" ref="I330:I331" si="110">TRUNC(H330*F330,2)</f>
        <v>1059.49</v>
      </c>
      <c r="K330" s="188">
        <v>740.63</v>
      </c>
      <c r="L330" s="188">
        <v>737.6</v>
      </c>
    </row>
    <row r="331" spans="1:12" ht="27" customHeight="1" x14ac:dyDescent="0.2">
      <c r="A331" s="63" t="s">
        <v>916</v>
      </c>
      <c r="B331" s="177">
        <v>93382</v>
      </c>
      <c r="C331" s="64" t="s">
        <v>14</v>
      </c>
      <c r="D331" s="59" t="s">
        <v>236</v>
      </c>
      <c r="E331" s="63" t="s">
        <v>455</v>
      </c>
      <c r="F331" s="65">
        <f>MC!H1594</f>
        <v>10.06</v>
      </c>
      <c r="G331" s="181">
        <f t="shared" si="106"/>
        <v>27.42</v>
      </c>
      <c r="H331" s="66">
        <f t="shared" si="107"/>
        <v>32.69</v>
      </c>
      <c r="I331" s="66">
        <f t="shared" si="110"/>
        <v>328.86</v>
      </c>
      <c r="K331" s="209">
        <v>27.42</v>
      </c>
      <c r="L331" s="209">
        <v>25.56</v>
      </c>
    </row>
    <row r="332" spans="1:12" ht="24" customHeight="1" x14ac:dyDescent="0.2">
      <c r="A332" s="82" t="s">
        <v>848</v>
      </c>
      <c r="B332" s="83"/>
      <c r="C332" s="83"/>
      <c r="D332" s="84" t="s">
        <v>29</v>
      </c>
      <c r="E332" s="83"/>
      <c r="F332" s="85"/>
      <c r="G332" s="183"/>
      <c r="H332" s="83"/>
      <c r="I332" s="86">
        <f>SUM(I333:I343)</f>
        <v>5911.2800000000007</v>
      </c>
      <c r="K332" s="188"/>
      <c r="L332" s="188"/>
    </row>
    <row r="333" spans="1:12" ht="39" customHeight="1" x14ac:dyDescent="0.2">
      <c r="A333" s="63" t="s">
        <v>856</v>
      </c>
      <c r="B333" s="177">
        <v>96525</v>
      </c>
      <c r="C333" s="64" t="s">
        <v>14</v>
      </c>
      <c r="D333" s="59" t="s">
        <v>239</v>
      </c>
      <c r="E333" s="63" t="s">
        <v>455</v>
      </c>
      <c r="F333" s="65">
        <f>MC!H1602</f>
        <v>5.5399999999999991</v>
      </c>
      <c r="G333" s="181">
        <f t="shared" ref="G333:G343" si="111">K333</f>
        <v>54.62</v>
      </c>
      <c r="H333" s="66">
        <f t="shared" ref="H333:H343" si="112">ROUND(G333*1.1921,2)</f>
        <v>65.11</v>
      </c>
      <c r="I333" s="66">
        <f t="shared" ref="I333:I335" si="113">TRUNC(H333*F333,2)</f>
        <v>360.7</v>
      </c>
      <c r="K333" s="188">
        <v>54.62</v>
      </c>
      <c r="L333" s="188">
        <v>52.98</v>
      </c>
    </row>
    <row r="334" spans="1:12" ht="27.6" customHeight="1" x14ac:dyDescent="0.2">
      <c r="A334" s="63" t="s">
        <v>857</v>
      </c>
      <c r="B334" s="177">
        <v>101616</v>
      </c>
      <c r="C334" s="64" t="s">
        <v>14</v>
      </c>
      <c r="D334" s="59" t="s">
        <v>25</v>
      </c>
      <c r="E334" s="63" t="s">
        <v>458</v>
      </c>
      <c r="F334" s="65">
        <f>MC!H1609</f>
        <v>15.8</v>
      </c>
      <c r="G334" s="181">
        <f t="shared" si="111"/>
        <v>6.93</v>
      </c>
      <c r="H334" s="66">
        <f t="shared" si="112"/>
        <v>8.26</v>
      </c>
      <c r="I334" s="66">
        <f t="shared" si="113"/>
        <v>130.5</v>
      </c>
      <c r="K334" s="188">
        <v>6.93</v>
      </c>
      <c r="L334" s="188">
        <v>6.38</v>
      </c>
    </row>
    <row r="335" spans="1:12" ht="27" customHeight="1" x14ac:dyDescent="0.2">
      <c r="A335" s="63" t="s">
        <v>858</v>
      </c>
      <c r="B335" s="177">
        <v>95241</v>
      </c>
      <c r="C335" s="64" t="s">
        <v>14</v>
      </c>
      <c r="D335" s="59" t="s">
        <v>33</v>
      </c>
      <c r="E335" s="63" t="s">
        <v>458</v>
      </c>
      <c r="F335" s="65">
        <f>MC!H1614</f>
        <v>15.8</v>
      </c>
      <c r="G335" s="181">
        <f t="shared" si="111"/>
        <v>37.659999999999997</v>
      </c>
      <c r="H335" s="66">
        <f t="shared" si="112"/>
        <v>44.89</v>
      </c>
      <c r="I335" s="66">
        <f t="shared" si="113"/>
        <v>709.26</v>
      </c>
      <c r="K335" s="188">
        <v>37.659999999999997</v>
      </c>
      <c r="L335" s="188">
        <v>36.450000000000003</v>
      </c>
    </row>
    <row r="336" spans="1:12" ht="40.9" customHeight="1" x14ac:dyDescent="0.2">
      <c r="A336" s="63" t="s">
        <v>859</v>
      </c>
      <c r="B336" s="63">
        <v>96536</v>
      </c>
      <c r="C336" s="63" t="s">
        <v>14</v>
      </c>
      <c r="D336" s="59" t="s">
        <v>639</v>
      </c>
      <c r="E336" s="63" t="s">
        <v>458</v>
      </c>
      <c r="F336" s="65">
        <f>MC!H1619</f>
        <v>16.079999999999998</v>
      </c>
      <c r="G336" s="181">
        <f t="shared" si="111"/>
        <v>75.709999999999994</v>
      </c>
      <c r="H336" s="66">
        <f t="shared" si="112"/>
        <v>90.25</v>
      </c>
      <c r="I336" s="66">
        <f t="shared" ref="I336:I341" si="114">ROUND(H336*F336,2)</f>
        <v>1451.22</v>
      </c>
      <c r="J336" s="199"/>
      <c r="K336" s="187">
        <v>75.709999999999994</v>
      </c>
      <c r="L336" s="188">
        <v>72.05</v>
      </c>
    </row>
    <row r="337" spans="1:12" ht="28.15" customHeight="1" x14ac:dyDescent="0.2">
      <c r="A337" s="63" t="s">
        <v>860</v>
      </c>
      <c r="B337" s="63">
        <v>104916</v>
      </c>
      <c r="C337" s="63" t="s">
        <v>14</v>
      </c>
      <c r="D337" s="59" t="s">
        <v>634</v>
      </c>
      <c r="E337" s="63" t="s">
        <v>79</v>
      </c>
      <c r="F337" s="65">
        <f>MC!H1624</f>
        <v>27</v>
      </c>
      <c r="G337" s="181">
        <f t="shared" si="111"/>
        <v>17.23</v>
      </c>
      <c r="H337" s="66">
        <f t="shared" si="112"/>
        <v>20.54</v>
      </c>
      <c r="I337" s="66">
        <f t="shared" si="114"/>
        <v>554.58000000000004</v>
      </c>
      <c r="J337" s="199"/>
      <c r="K337" s="187">
        <v>17.23</v>
      </c>
      <c r="L337" s="188">
        <v>16.559999999999999</v>
      </c>
    </row>
    <row r="338" spans="1:12" ht="40.9" customHeight="1" x14ac:dyDescent="0.2">
      <c r="A338" s="63" t="s">
        <v>917</v>
      </c>
      <c r="B338" s="63">
        <v>104917</v>
      </c>
      <c r="C338" s="63" t="s">
        <v>14</v>
      </c>
      <c r="D338" s="59" t="s">
        <v>640</v>
      </c>
      <c r="E338" s="63" t="s">
        <v>79</v>
      </c>
      <c r="F338" s="65">
        <f>MC!H1629</f>
        <v>39</v>
      </c>
      <c r="G338" s="181">
        <f t="shared" si="111"/>
        <v>15.83</v>
      </c>
      <c r="H338" s="66">
        <f t="shared" si="112"/>
        <v>18.87</v>
      </c>
      <c r="I338" s="66">
        <f t="shared" si="114"/>
        <v>735.93</v>
      </c>
      <c r="J338" s="199"/>
      <c r="K338" s="187">
        <v>15.83</v>
      </c>
      <c r="L338" s="188">
        <v>15.33</v>
      </c>
    </row>
    <row r="339" spans="1:12" ht="28.9" customHeight="1" x14ac:dyDescent="0.2">
      <c r="A339" s="63" t="s">
        <v>918</v>
      </c>
      <c r="B339" s="63">
        <v>104918</v>
      </c>
      <c r="C339" s="63" t="s">
        <v>14</v>
      </c>
      <c r="D339" s="59" t="s">
        <v>641</v>
      </c>
      <c r="E339" s="63" t="s">
        <v>79</v>
      </c>
      <c r="F339" s="65">
        <f>MC!H1634</f>
        <v>17</v>
      </c>
      <c r="G339" s="181">
        <f t="shared" si="111"/>
        <v>14.56</v>
      </c>
      <c r="H339" s="66">
        <f t="shared" si="112"/>
        <v>17.36</v>
      </c>
      <c r="I339" s="66">
        <f t="shared" si="114"/>
        <v>295.12</v>
      </c>
      <c r="J339" s="199"/>
      <c r="K339" s="187">
        <v>14.56</v>
      </c>
      <c r="L339" s="188">
        <v>14.2</v>
      </c>
    </row>
    <row r="340" spans="1:12" ht="41.45" customHeight="1" x14ac:dyDescent="0.2">
      <c r="A340" s="63" t="s">
        <v>919</v>
      </c>
      <c r="B340" s="63">
        <v>104919</v>
      </c>
      <c r="C340" s="64" t="s">
        <v>14</v>
      </c>
      <c r="D340" s="59" t="s">
        <v>633</v>
      </c>
      <c r="E340" s="63" t="s">
        <v>79</v>
      </c>
      <c r="F340" s="65">
        <f>MC!H1639</f>
        <v>4</v>
      </c>
      <c r="G340" s="181">
        <f t="shared" si="111"/>
        <v>12.91</v>
      </c>
      <c r="H340" s="66">
        <f t="shared" si="112"/>
        <v>15.39</v>
      </c>
      <c r="I340" s="66">
        <f t="shared" si="114"/>
        <v>61.56</v>
      </c>
      <c r="J340" s="199"/>
      <c r="K340" s="187">
        <v>12.91</v>
      </c>
      <c r="L340" s="188">
        <v>12.62</v>
      </c>
    </row>
    <row r="341" spans="1:12" ht="41.45" customHeight="1" x14ac:dyDescent="0.2">
      <c r="A341" s="63" t="s">
        <v>920</v>
      </c>
      <c r="B341" s="63">
        <v>104920</v>
      </c>
      <c r="C341" s="64" t="s">
        <v>14</v>
      </c>
      <c r="D341" s="59" t="s">
        <v>726</v>
      </c>
      <c r="E341" s="63" t="s">
        <v>79</v>
      </c>
      <c r="F341" s="65">
        <f>MC!H1644</f>
        <v>8</v>
      </c>
      <c r="G341" s="181">
        <f t="shared" si="111"/>
        <v>10.91</v>
      </c>
      <c r="H341" s="66">
        <f t="shared" si="112"/>
        <v>13.01</v>
      </c>
      <c r="I341" s="66">
        <f t="shared" si="114"/>
        <v>104.08</v>
      </c>
      <c r="J341" s="199"/>
      <c r="K341" s="187">
        <v>10.91</v>
      </c>
      <c r="L341" s="188">
        <v>10.69</v>
      </c>
    </row>
    <row r="342" spans="1:12" ht="39" customHeight="1" x14ac:dyDescent="0.2">
      <c r="A342" s="63" t="s">
        <v>921</v>
      </c>
      <c r="B342" s="63">
        <v>96557</v>
      </c>
      <c r="C342" s="63" t="s">
        <v>14</v>
      </c>
      <c r="D342" s="59" t="s">
        <v>648</v>
      </c>
      <c r="E342" s="63" t="s">
        <v>455</v>
      </c>
      <c r="F342" s="65">
        <f>MC!H1650</f>
        <v>1.67</v>
      </c>
      <c r="G342" s="181">
        <f t="shared" si="111"/>
        <v>707.08</v>
      </c>
      <c r="H342" s="66">
        <f t="shared" si="112"/>
        <v>842.91</v>
      </c>
      <c r="I342" s="66">
        <f t="shared" ref="I342:I343" si="115">TRUNC(H342*F342,2)</f>
        <v>1407.65</v>
      </c>
      <c r="K342" s="209">
        <v>707.08</v>
      </c>
      <c r="L342" s="209">
        <v>705.36</v>
      </c>
    </row>
    <row r="343" spans="1:12" ht="27.75" customHeight="1" x14ac:dyDescent="0.2">
      <c r="A343" s="63" t="s">
        <v>922</v>
      </c>
      <c r="B343" s="177">
        <v>93382</v>
      </c>
      <c r="C343" s="64" t="s">
        <v>14</v>
      </c>
      <c r="D343" s="59" t="s">
        <v>236</v>
      </c>
      <c r="E343" s="63" t="s">
        <v>455</v>
      </c>
      <c r="F343" s="65">
        <f>MC!H1659</f>
        <v>3.08</v>
      </c>
      <c r="G343" s="181">
        <f t="shared" si="111"/>
        <v>27.42</v>
      </c>
      <c r="H343" s="66">
        <f t="shared" si="112"/>
        <v>32.69</v>
      </c>
      <c r="I343" s="66">
        <f t="shared" si="115"/>
        <v>100.68</v>
      </c>
      <c r="K343" s="188">
        <v>27.42</v>
      </c>
      <c r="L343" s="188">
        <v>25.56</v>
      </c>
    </row>
    <row r="344" spans="1:12" ht="24" customHeight="1" x14ac:dyDescent="0.2">
      <c r="A344" s="82" t="s">
        <v>923</v>
      </c>
      <c r="B344" s="83"/>
      <c r="C344" s="83"/>
      <c r="D344" s="84" t="s">
        <v>35</v>
      </c>
      <c r="E344" s="83"/>
      <c r="F344" s="85"/>
      <c r="G344" s="183"/>
      <c r="H344" s="83"/>
      <c r="I344" s="86">
        <f>SUM(I345:I349)</f>
        <v>4343.08</v>
      </c>
      <c r="K344" s="188"/>
      <c r="L344" s="188"/>
    </row>
    <row r="345" spans="1:12" ht="51" x14ac:dyDescent="0.2">
      <c r="A345" s="63" t="s">
        <v>924</v>
      </c>
      <c r="B345" s="63">
        <v>92443</v>
      </c>
      <c r="C345" s="63" t="s">
        <v>14</v>
      </c>
      <c r="D345" s="59" t="s">
        <v>650</v>
      </c>
      <c r="E345" s="63" t="s">
        <v>458</v>
      </c>
      <c r="F345" s="65">
        <f>MC!H1666</f>
        <v>21.76</v>
      </c>
      <c r="G345" s="181">
        <f>K345</f>
        <v>54.48</v>
      </c>
      <c r="H345" s="66">
        <f t="shared" ref="H345:H349" si="116">ROUND(G345*1.1921,2)</f>
        <v>64.95</v>
      </c>
      <c r="I345" s="66">
        <f t="shared" ref="I345:I348" si="117">ROUND(H345*F345,2)</f>
        <v>1413.31</v>
      </c>
      <c r="J345" s="199"/>
      <c r="K345" s="187">
        <v>54.48</v>
      </c>
      <c r="L345" s="188">
        <v>52.57</v>
      </c>
    </row>
    <row r="346" spans="1:12" ht="38.25" x14ac:dyDescent="0.2">
      <c r="A346" s="63" t="s">
        <v>925</v>
      </c>
      <c r="B346" s="63">
        <v>92759</v>
      </c>
      <c r="C346" s="63" t="s">
        <v>14</v>
      </c>
      <c r="D346" s="59" t="s">
        <v>652</v>
      </c>
      <c r="E346" s="63" t="s">
        <v>79</v>
      </c>
      <c r="F346" s="65">
        <f>MC!H1672</f>
        <v>33</v>
      </c>
      <c r="G346" s="181">
        <f>K346</f>
        <v>14.39</v>
      </c>
      <c r="H346" s="66">
        <f t="shared" si="116"/>
        <v>17.149999999999999</v>
      </c>
      <c r="I346" s="66">
        <f t="shared" si="117"/>
        <v>565.95000000000005</v>
      </c>
      <c r="J346" s="199"/>
      <c r="K346" s="187">
        <v>14.39</v>
      </c>
      <c r="L346" s="188">
        <v>13.95</v>
      </c>
    </row>
    <row r="347" spans="1:12" ht="38.25" x14ac:dyDescent="0.2">
      <c r="A347" s="63" t="s">
        <v>926</v>
      </c>
      <c r="B347" s="63">
        <v>92762</v>
      </c>
      <c r="C347" s="63" t="s">
        <v>14</v>
      </c>
      <c r="D347" s="59" t="s">
        <v>654</v>
      </c>
      <c r="E347" s="63" t="s">
        <v>79</v>
      </c>
      <c r="F347" s="65">
        <f>MC!H1678</f>
        <v>57</v>
      </c>
      <c r="G347" s="181">
        <f>K347</f>
        <v>11.09</v>
      </c>
      <c r="H347" s="66">
        <f t="shared" si="116"/>
        <v>13.22</v>
      </c>
      <c r="I347" s="66">
        <f t="shared" si="117"/>
        <v>753.54</v>
      </c>
      <c r="J347" s="199"/>
      <c r="K347" s="187">
        <v>11.09</v>
      </c>
      <c r="L347" s="188">
        <v>10.94</v>
      </c>
    </row>
    <row r="348" spans="1:12" ht="41.45" customHeight="1" x14ac:dyDescent="0.2">
      <c r="A348" s="63" t="s">
        <v>927</v>
      </c>
      <c r="B348" s="63">
        <v>92763</v>
      </c>
      <c r="C348" s="63" t="s">
        <v>14</v>
      </c>
      <c r="D348" s="59" t="s">
        <v>730</v>
      </c>
      <c r="E348" s="63" t="s">
        <v>79</v>
      </c>
      <c r="F348" s="65">
        <f>MC!H1684</f>
        <v>46</v>
      </c>
      <c r="G348" s="181">
        <f>K348</f>
        <v>9.2799999999999994</v>
      </c>
      <c r="H348" s="66">
        <f t="shared" si="116"/>
        <v>11.06</v>
      </c>
      <c r="I348" s="66">
        <f t="shared" si="117"/>
        <v>508.76</v>
      </c>
      <c r="J348" s="199"/>
      <c r="K348" s="187">
        <v>9.2799999999999994</v>
      </c>
      <c r="L348" s="188">
        <v>9.18</v>
      </c>
    </row>
    <row r="349" spans="1:12" ht="28.15" customHeight="1" x14ac:dyDescent="0.2">
      <c r="A349" s="63" t="s">
        <v>928</v>
      </c>
      <c r="B349" s="63">
        <v>103672</v>
      </c>
      <c r="C349" s="63" t="s">
        <v>14</v>
      </c>
      <c r="D349" s="59" t="s">
        <v>656</v>
      </c>
      <c r="E349" s="63" t="s">
        <v>455</v>
      </c>
      <c r="F349" s="65">
        <f>MC!H1690</f>
        <v>1.44</v>
      </c>
      <c r="G349" s="181">
        <f>K349</f>
        <v>641.67999999999995</v>
      </c>
      <c r="H349" s="66">
        <f t="shared" si="116"/>
        <v>764.95</v>
      </c>
      <c r="I349" s="66">
        <f t="shared" ref="I349" si="118">TRUNC(H349*F349,2)</f>
        <v>1101.52</v>
      </c>
      <c r="K349" s="188">
        <v>641.67999999999995</v>
      </c>
      <c r="L349" s="188">
        <v>638.16</v>
      </c>
    </row>
    <row r="350" spans="1:12" ht="24" customHeight="1" x14ac:dyDescent="0.2">
      <c r="A350" s="82" t="s">
        <v>929</v>
      </c>
      <c r="B350" s="83"/>
      <c r="C350" s="83"/>
      <c r="D350" s="84" t="s">
        <v>37</v>
      </c>
      <c r="E350" s="83"/>
      <c r="F350" s="85"/>
      <c r="G350" s="183"/>
      <c r="H350" s="83"/>
      <c r="I350" s="86">
        <f>SUM(I351:I355)</f>
        <v>3804.91</v>
      </c>
      <c r="K350" s="188"/>
      <c r="L350" s="188"/>
    </row>
    <row r="351" spans="1:12" ht="40.15" customHeight="1" x14ac:dyDescent="0.2">
      <c r="A351" s="63" t="s">
        <v>930</v>
      </c>
      <c r="B351" s="63">
        <v>92479</v>
      </c>
      <c r="C351" s="63" t="s">
        <v>14</v>
      </c>
      <c r="D351" s="59" t="s">
        <v>658</v>
      </c>
      <c r="E351" s="63" t="s">
        <v>458</v>
      </c>
      <c r="F351" s="65">
        <f>MC!H1696</f>
        <v>14.84</v>
      </c>
      <c r="G351" s="181">
        <f t="shared" ref="G351:G355" si="119">K351</f>
        <v>71.709999999999994</v>
      </c>
      <c r="H351" s="66">
        <f t="shared" ref="H351:H355" si="120">ROUND(G351*1.1921,2)</f>
        <v>85.49</v>
      </c>
      <c r="I351" s="66">
        <f t="shared" ref="I351:I354" si="121">ROUND(H351*F351,2)</f>
        <v>1268.67</v>
      </c>
      <c r="J351" s="199"/>
      <c r="K351" s="187">
        <v>71.709999999999994</v>
      </c>
      <c r="L351" s="188">
        <v>69.42</v>
      </c>
    </row>
    <row r="352" spans="1:12" ht="38.25" x14ac:dyDescent="0.2">
      <c r="A352" s="63" t="s">
        <v>931</v>
      </c>
      <c r="B352" s="63">
        <v>92759</v>
      </c>
      <c r="C352" s="63" t="s">
        <v>14</v>
      </c>
      <c r="D352" s="207" t="s">
        <v>660</v>
      </c>
      <c r="E352" s="63" t="s">
        <v>79</v>
      </c>
      <c r="F352" s="65">
        <f>MC!H1701</f>
        <v>27</v>
      </c>
      <c r="G352" s="181">
        <f t="shared" si="119"/>
        <v>14.39</v>
      </c>
      <c r="H352" s="66">
        <f t="shared" si="120"/>
        <v>17.149999999999999</v>
      </c>
      <c r="I352" s="66">
        <f t="shared" si="121"/>
        <v>463.05</v>
      </c>
      <c r="J352" s="199"/>
      <c r="K352" s="187">
        <v>14.39</v>
      </c>
      <c r="L352" s="188">
        <v>13.95</v>
      </c>
    </row>
    <row r="353" spans="1:12" ht="41.45" customHeight="1" x14ac:dyDescent="0.2">
      <c r="A353" s="63" t="s">
        <v>932</v>
      </c>
      <c r="B353" s="63">
        <v>92760</v>
      </c>
      <c r="C353" s="63" t="s">
        <v>14</v>
      </c>
      <c r="D353" s="207" t="s">
        <v>731</v>
      </c>
      <c r="E353" s="63" t="s">
        <v>79</v>
      </c>
      <c r="F353" s="65">
        <f>MC!H1706</f>
        <v>42</v>
      </c>
      <c r="G353" s="181">
        <f t="shared" si="119"/>
        <v>13.43</v>
      </c>
      <c r="H353" s="66">
        <f t="shared" si="120"/>
        <v>16.010000000000002</v>
      </c>
      <c r="I353" s="66">
        <f t="shared" si="121"/>
        <v>672.42</v>
      </c>
      <c r="J353" s="199"/>
      <c r="K353" s="187">
        <v>13.43</v>
      </c>
      <c r="L353" s="188">
        <v>13.13</v>
      </c>
    </row>
    <row r="354" spans="1:12" ht="38.25" x14ac:dyDescent="0.2">
      <c r="A354" s="63" t="s">
        <v>933</v>
      </c>
      <c r="B354" s="63">
        <v>92762</v>
      </c>
      <c r="C354" s="63" t="s">
        <v>14</v>
      </c>
      <c r="D354" s="59" t="s">
        <v>654</v>
      </c>
      <c r="E354" s="63" t="s">
        <v>79</v>
      </c>
      <c r="F354" s="65">
        <f>MC!H1711</f>
        <v>6</v>
      </c>
      <c r="G354" s="181">
        <f t="shared" si="119"/>
        <v>11.09</v>
      </c>
      <c r="H354" s="66">
        <f t="shared" si="120"/>
        <v>13.22</v>
      </c>
      <c r="I354" s="66">
        <f t="shared" si="121"/>
        <v>79.319999999999993</v>
      </c>
      <c r="J354" s="199"/>
      <c r="K354" s="187">
        <v>11.09</v>
      </c>
      <c r="L354" s="188">
        <v>10.94</v>
      </c>
    </row>
    <row r="355" spans="1:12" ht="41.45" customHeight="1" x14ac:dyDescent="0.2">
      <c r="A355" s="63" t="s">
        <v>934</v>
      </c>
      <c r="B355" s="63">
        <v>103674</v>
      </c>
      <c r="C355" s="63" t="s">
        <v>14</v>
      </c>
      <c r="D355" s="59" t="s">
        <v>665</v>
      </c>
      <c r="E355" s="63" t="s">
        <v>455</v>
      </c>
      <c r="F355" s="65">
        <f>MC!H1717</f>
        <v>1.67</v>
      </c>
      <c r="G355" s="181">
        <f t="shared" si="119"/>
        <v>663.78</v>
      </c>
      <c r="H355" s="66">
        <f t="shared" si="120"/>
        <v>791.29</v>
      </c>
      <c r="I355" s="66">
        <f t="shared" ref="I355" si="122">TRUNC(H355*F355,2)</f>
        <v>1321.45</v>
      </c>
      <c r="K355" s="188">
        <v>663.78</v>
      </c>
      <c r="L355" s="188">
        <v>658.44</v>
      </c>
    </row>
    <row r="356" spans="1:12" ht="24" customHeight="1" x14ac:dyDescent="0.2">
      <c r="A356" s="82" t="s">
        <v>935</v>
      </c>
      <c r="B356" s="83"/>
      <c r="C356" s="83"/>
      <c r="D356" s="84" t="s">
        <v>243</v>
      </c>
      <c r="E356" s="83"/>
      <c r="F356" s="85"/>
      <c r="G356" s="183"/>
      <c r="H356" s="83"/>
      <c r="I356" s="86">
        <f>I357</f>
        <v>207.85</v>
      </c>
      <c r="K356" s="188"/>
      <c r="L356" s="188"/>
    </row>
    <row r="357" spans="1:12" ht="41.25" customHeight="1" x14ac:dyDescent="0.2">
      <c r="A357" s="63" t="s">
        <v>936</v>
      </c>
      <c r="B357" s="177">
        <v>7393</v>
      </c>
      <c r="C357" s="64" t="s">
        <v>21</v>
      </c>
      <c r="D357" s="59" t="s">
        <v>429</v>
      </c>
      <c r="E357" s="63" t="s">
        <v>455</v>
      </c>
      <c r="F357" s="65">
        <f>MC!H1724</f>
        <v>1.08</v>
      </c>
      <c r="G357" s="181">
        <f>K357</f>
        <v>161.44999999999999</v>
      </c>
      <c r="H357" s="66">
        <f t="shared" ref="H357" si="123">ROUND(G357*1.1921,2)</f>
        <v>192.46</v>
      </c>
      <c r="I357" s="66">
        <f t="shared" ref="I357" si="124">TRUNC(H357*F357,2)</f>
        <v>207.85</v>
      </c>
      <c r="K357" s="188">
        <v>161.44999999999999</v>
      </c>
      <c r="L357" s="188">
        <v>161.44999999999999</v>
      </c>
    </row>
    <row r="358" spans="1:12" ht="24" customHeight="1" x14ac:dyDescent="0.2">
      <c r="A358" s="82" t="s">
        <v>937</v>
      </c>
      <c r="B358" s="83"/>
      <c r="C358" s="83"/>
      <c r="D358" s="84" t="s">
        <v>42</v>
      </c>
      <c r="E358" s="83"/>
      <c r="F358" s="85"/>
      <c r="G358" s="183"/>
      <c r="H358" s="83"/>
      <c r="I358" s="86">
        <f>SUM(I359:I359)</f>
        <v>5563.16</v>
      </c>
      <c r="K358" s="193"/>
      <c r="L358" s="188"/>
    </row>
    <row r="359" spans="1:12" ht="54" customHeight="1" x14ac:dyDescent="0.2">
      <c r="A359" s="63" t="s">
        <v>938</v>
      </c>
      <c r="B359" s="177">
        <v>103328</v>
      </c>
      <c r="C359" s="64" t="s">
        <v>14</v>
      </c>
      <c r="D359" s="59" t="s">
        <v>44</v>
      </c>
      <c r="E359" s="63" t="s">
        <v>458</v>
      </c>
      <c r="F359" s="65">
        <f>MC!H1732</f>
        <v>49.97</v>
      </c>
      <c r="G359" s="181">
        <f>K359</f>
        <v>93.39</v>
      </c>
      <c r="H359" s="66">
        <f t="shared" ref="H359" si="125">ROUND(G359*1.1921,2)</f>
        <v>111.33</v>
      </c>
      <c r="I359" s="66">
        <f t="shared" ref="I359" si="126">TRUNC(H359*F359,2)</f>
        <v>5563.16</v>
      </c>
      <c r="K359" s="188">
        <v>93.39</v>
      </c>
      <c r="L359" s="188">
        <v>87.94</v>
      </c>
    </row>
    <row r="360" spans="1:12" ht="24" customHeight="1" x14ac:dyDescent="0.2">
      <c r="A360" s="82" t="s">
        <v>939</v>
      </c>
      <c r="B360" s="83"/>
      <c r="C360" s="83"/>
      <c r="D360" s="84" t="s">
        <v>248</v>
      </c>
      <c r="E360" s="83"/>
      <c r="F360" s="85"/>
      <c r="G360" s="183"/>
      <c r="H360" s="83"/>
      <c r="I360" s="86">
        <f>SUM(I361:I362)</f>
        <v>4855.5600000000004</v>
      </c>
      <c r="J360" s="58"/>
      <c r="K360" s="188"/>
      <c r="L360" s="188"/>
    </row>
    <row r="361" spans="1:12" ht="40.9" customHeight="1" x14ac:dyDescent="0.2">
      <c r="A361" s="63" t="s">
        <v>940</v>
      </c>
      <c r="B361" s="177">
        <v>87905</v>
      </c>
      <c r="C361" s="63" t="s">
        <v>14</v>
      </c>
      <c r="D361" s="59" t="s">
        <v>808</v>
      </c>
      <c r="E361" s="63" t="s">
        <v>458</v>
      </c>
      <c r="F361" s="65">
        <f>MC!H1740</f>
        <v>54.89</v>
      </c>
      <c r="G361" s="181">
        <f>K361</f>
        <v>8.4600000000000009</v>
      </c>
      <c r="H361" s="66">
        <f t="shared" ref="H361:H362" si="127">ROUND(G361*1.1921,2)</f>
        <v>10.09</v>
      </c>
      <c r="I361" s="66">
        <f t="shared" ref="I361:I362" si="128">TRUNC(H361*F361,2)</f>
        <v>553.84</v>
      </c>
      <c r="K361" s="188">
        <v>8.4600000000000009</v>
      </c>
      <c r="L361" s="188">
        <v>7.9</v>
      </c>
    </row>
    <row r="362" spans="1:12" ht="54" customHeight="1" x14ac:dyDescent="0.2">
      <c r="A362" s="63" t="s">
        <v>941</v>
      </c>
      <c r="B362" s="177">
        <v>87777</v>
      </c>
      <c r="C362" s="63" t="s">
        <v>14</v>
      </c>
      <c r="D362" s="59" t="s">
        <v>810</v>
      </c>
      <c r="E362" s="63" t="s">
        <v>458</v>
      </c>
      <c r="F362" s="65">
        <f>MC!H1745</f>
        <v>54.89</v>
      </c>
      <c r="G362" s="181">
        <f>K362</f>
        <v>65.739999999999995</v>
      </c>
      <c r="H362" s="66">
        <f t="shared" si="127"/>
        <v>78.37</v>
      </c>
      <c r="I362" s="66">
        <f t="shared" si="128"/>
        <v>4301.72</v>
      </c>
      <c r="K362" s="193">
        <v>65.739999999999995</v>
      </c>
      <c r="L362" s="188">
        <v>62.22</v>
      </c>
    </row>
    <row r="363" spans="1:12" ht="24" customHeight="1" x14ac:dyDescent="0.2">
      <c r="A363" s="82" t="s">
        <v>942</v>
      </c>
      <c r="B363" s="83"/>
      <c r="C363" s="83"/>
      <c r="D363" s="84" t="s">
        <v>769</v>
      </c>
      <c r="E363" s="83"/>
      <c r="F363" s="85"/>
      <c r="G363" s="183"/>
      <c r="H363" s="83"/>
      <c r="I363" s="86">
        <f>I364</f>
        <v>4244.6099999999997</v>
      </c>
      <c r="J363" s="58"/>
      <c r="K363" s="188"/>
      <c r="L363" s="188"/>
    </row>
    <row r="364" spans="1:12" ht="28.9" customHeight="1" x14ac:dyDescent="0.2">
      <c r="A364" s="63" t="s">
        <v>943</v>
      </c>
      <c r="B364" s="179" t="s">
        <v>794</v>
      </c>
      <c r="C364" s="63" t="s">
        <v>567</v>
      </c>
      <c r="D364" s="59" t="s">
        <v>768</v>
      </c>
      <c r="E364" s="63" t="s">
        <v>458</v>
      </c>
      <c r="F364" s="65">
        <f>MC!H1751</f>
        <v>11.48</v>
      </c>
      <c r="G364" s="181">
        <f>COMPOSIÇÕES!H175</f>
        <v>310.16000000000003</v>
      </c>
      <c r="H364" s="66">
        <f t="shared" ref="H364" si="129">ROUND(G364*1.1921,2)</f>
        <v>369.74</v>
      </c>
      <c r="I364" s="66">
        <f t="shared" ref="I364" si="130">TRUNC(H364*F364,2)</f>
        <v>4244.6099999999997</v>
      </c>
      <c r="K364" s="188"/>
      <c r="L364" s="188"/>
    </row>
    <row r="365" spans="1:12" ht="24" customHeight="1" x14ac:dyDescent="0.2">
      <c r="A365" s="82" t="s">
        <v>944</v>
      </c>
      <c r="B365" s="83"/>
      <c r="C365" s="83"/>
      <c r="D365" s="84" t="s">
        <v>251</v>
      </c>
      <c r="E365" s="83"/>
      <c r="F365" s="85"/>
      <c r="G365" s="183"/>
      <c r="H365" s="83"/>
      <c r="I365" s="86">
        <f>SUM(I366:I369)</f>
        <v>3544.7300000000005</v>
      </c>
      <c r="K365" s="189">
        <f>I365+I370+I363</f>
        <v>46786.89</v>
      </c>
      <c r="L365" s="188"/>
    </row>
    <row r="366" spans="1:12" ht="27.75" customHeight="1" x14ac:dyDescent="0.2">
      <c r="A366" s="63" t="s">
        <v>945</v>
      </c>
      <c r="B366" s="177">
        <v>88485</v>
      </c>
      <c r="C366" s="64" t="s">
        <v>14</v>
      </c>
      <c r="D366" s="59" t="s">
        <v>252</v>
      </c>
      <c r="E366" s="63" t="s">
        <v>458</v>
      </c>
      <c r="F366" s="65">
        <f>MC!H1759</f>
        <v>54.89</v>
      </c>
      <c r="G366" s="181">
        <f>K366</f>
        <v>4.37</v>
      </c>
      <c r="H366" s="66">
        <f t="shared" ref="H366:H369" si="131">ROUND(G366*1.1921,2)</f>
        <v>5.21</v>
      </c>
      <c r="I366" s="66">
        <f t="shared" ref="I366:I369" si="132">TRUNC(H366*F366,2)</f>
        <v>285.97000000000003</v>
      </c>
      <c r="K366" s="188">
        <v>4.37</v>
      </c>
      <c r="L366" s="188">
        <v>4.17</v>
      </c>
    </row>
    <row r="367" spans="1:12" ht="27" customHeight="1" x14ac:dyDescent="0.2">
      <c r="A367" s="63" t="s">
        <v>946</v>
      </c>
      <c r="B367" s="177">
        <v>96135</v>
      </c>
      <c r="C367" s="64" t="s">
        <v>14</v>
      </c>
      <c r="D367" s="59" t="s">
        <v>135</v>
      </c>
      <c r="E367" s="63" t="s">
        <v>458</v>
      </c>
      <c r="F367" s="65">
        <f>MC!H1764</f>
        <v>54.89</v>
      </c>
      <c r="G367" s="181">
        <f>K367</f>
        <v>29.42</v>
      </c>
      <c r="H367" s="66">
        <f t="shared" si="131"/>
        <v>35.07</v>
      </c>
      <c r="I367" s="66">
        <f t="shared" si="132"/>
        <v>1924.99</v>
      </c>
      <c r="K367" s="188">
        <v>29.42</v>
      </c>
      <c r="L367" s="188">
        <v>27.7</v>
      </c>
    </row>
    <row r="368" spans="1:12" ht="42" customHeight="1" x14ac:dyDescent="0.2">
      <c r="A368" s="63" t="s">
        <v>947</v>
      </c>
      <c r="B368" s="177">
        <v>11</v>
      </c>
      <c r="C368" s="63" t="s">
        <v>567</v>
      </c>
      <c r="D368" s="59" t="s">
        <v>841</v>
      </c>
      <c r="E368" s="63" t="s">
        <v>458</v>
      </c>
      <c r="F368" s="65">
        <f>MC!H1770</f>
        <v>4.0199999999999996</v>
      </c>
      <c r="G368" s="181">
        <f>COMPOSIÇÕES!H209</f>
        <v>53.172799999999995</v>
      </c>
      <c r="H368" s="66">
        <f t="shared" si="131"/>
        <v>63.39</v>
      </c>
      <c r="I368" s="66">
        <f t="shared" si="132"/>
        <v>254.82</v>
      </c>
      <c r="K368" s="209">
        <v>17.79</v>
      </c>
      <c r="L368" s="209">
        <v>17.02</v>
      </c>
    </row>
    <row r="369" spans="1:12" ht="27" customHeight="1" x14ac:dyDescent="0.2">
      <c r="A369" s="63" t="s">
        <v>948</v>
      </c>
      <c r="B369" s="177">
        <v>95626</v>
      </c>
      <c r="C369" s="64" t="s">
        <v>14</v>
      </c>
      <c r="D369" s="59" t="s">
        <v>137</v>
      </c>
      <c r="E369" s="63" t="s">
        <v>458</v>
      </c>
      <c r="F369" s="65">
        <f>MC!H1776</f>
        <v>50.870000000000005</v>
      </c>
      <c r="G369" s="181">
        <f>K369</f>
        <v>17.79</v>
      </c>
      <c r="H369" s="66">
        <f t="shared" si="131"/>
        <v>21.21</v>
      </c>
      <c r="I369" s="66">
        <f t="shared" si="132"/>
        <v>1078.95</v>
      </c>
      <c r="K369" s="209">
        <v>17.79</v>
      </c>
      <c r="L369" s="209">
        <v>17.02</v>
      </c>
    </row>
    <row r="370" spans="1:12" ht="24" customHeight="1" x14ac:dyDescent="0.2">
      <c r="A370" s="82" t="s">
        <v>949</v>
      </c>
      <c r="B370" s="83"/>
      <c r="C370" s="83"/>
      <c r="D370" s="84" t="s">
        <v>776</v>
      </c>
      <c r="E370" s="83"/>
      <c r="F370" s="85"/>
      <c r="G370" s="183"/>
      <c r="H370" s="83"/>
      <c r="I370" s="86">
        <f>SUM(I371:I373)</f>
        <v>38997.549999999996</v>
      </c>
      <c r="K370" s="188"/>
      <c r="L370" s="188"/>
    </row>
    <row r="371" spans="1:12" ht="40.15" customHeight="1" x14ac:dyDescent="0.2">
      <c r="A371" s="63" t="s">
        <v>950</v>
      </c>
      <c r="B371" s="147" t="s">
        <v>668</v>
      </c>
      <c r="C371" s="63" t="s">
        <v>567</v>
      </c>
      <c r="D371" s="59" t="s">
        <v>704</v>
      </c>
      <c r="E371" s="63" t="s">
        <v>458</v>
      </c>
      <c r="F371" s="65">
        <f>MC!H1782</f>
        <v>57.75</v>
      </c>
      <c r="G371" s="181">
        <f>COMPOSIÇÕES!H139</f>
        <v>425.78000000000003</v>
      </c>
      <c r="H371" s="66">
        <f t="shared" ref="H371:H373" si="133">ROUND(G371*1.1921,2)</f>
        <v>507.57</v>
      </c>
      <c r="I371" s="66">
        <f t="shared" ref="I371" si="134">TRUNC(H371*F371,2)</f>
        <v>29312.16</v>
      </c>
      <c r="J371" s="215"/>
      <c r="K371" s="216"/>
      <c r="L371" s="194"/>
    </row>
    <row r="372" spans="1:12" s="56" customFormat="1" ht="42.6" customHeight="1" x14ac:dyDescent="0.2">
      <c r="A372" s="63" t="s">
        <v>951</v>
      </c>
      <c r="B372" s="147" t="s">
        <v>793</v>
      </c>
      <c r="C372" s="63" t="s">
        <v>567</v>
      </c>
      <c r="D372" s="59" t="s">
        <v>734</v>
      </c>
      <c r="E372" s="63" t="s">
        <v>19</v>
      </c>
      <c r="F372" s="65">
        <f>MC!H1787</f>
        <v>64.95</v>
      </c>
      <c r="G372" s="181">
        <f>COMPOSIÇÕES!H159</f>
        <v>108.2877</v>
      </c>
      <c r="H372" s="66">
        <f t="shared" si="133"/>
        <v>129.09</v>
      </c>
      <c r="I372" s="66">
        <f t="shared" ref="I372:I373" si="135">ROUND(H372*F372,2)</f>
        <v>8384.4</v>
      </c>
    </row>
    <row r="373" spans="1:12" s="56" customFormat="1" ht="55.15" customHeight="1" x14ac:dyDescent="0.2">
      <c r="A373" s="63" t="s">
        <v>952</v>
      </c>
      <c r="B373" s="64">
        <v>5057</v>
      </c>
      <c r="C373" s="63" t="s">
        <v>21</v>
      </c>
      <c r="D373" s="59" t="s">
        <v>978</v>
      </c>
      <c r="E373" s="63" t="s">
        <v>458</v>
      </c>
      <c r="F373" s="65">
        <f>MC!H1792</f>
        <v>2.16</v>
      </c>
      <c r="G373" s="181">
        <f>K373</f>
        <v>505.25</v>
      </c>
      <c r="H373" s="66">
        <f t="shared" si="133"/>
        <v>602.30999999999995</v>
      </c>
      <c r="I373" s="66">
        <f t="shared" si="135"/>
        <v>1300.99</v>
      </c>
      <c r="K373" s="234">
        <v>505.25</v>
      </c>
      <c r="L373" s="234">
        <v>505.25</v>
      </c>
    </row>
    <row r="374" spans="1:12" ht="24" customHeight="1" x14ac:dyDescent="0.2">
      <c r="A374" s="87" t="s">
        <v>955</v>
      </c>
      <c r="B374" s="78"/>
      <c r="C374" s="78"/>
      <c r="D374" s="79" t="s">
        <v>804</v>
      </c>
      <c r="E374" s="78"/>
      <c r="F374" s="80"/>
      <c r="G374" s="182"/>
      <c r="H374" s="78"/>
      <c r="I374" s="81">
        <f>SUM(I375:I378)</f>
        <v>5857.2400000000007</v>
      </c>
      <c r="K374" s="188"/>
      <c r="L374" s="188"/>
    </row>
    <row r="375" spans="1:12" ht="26.25" customHeight="1" x14ac:dyDescent="0.2">
      <c r="A375" s="63" t="s">
        <v>956</v>
      </c>
      <c r="B375" s="178">
        <v>98520</v>
      </c>
      <c r="C375" s="63" t="s">
        <v>14</v>
      </c>
      <c r="D375" s="59" t="s">
        <v>847</v>
      </c>
      <c r="E375" s="63" t="s">
        <v>458</v>
      </c>
      <c r="F375" s="148">
        <f>MC!H1798</f>
        <v>143.5</v>
      </c>
      <c r="G375" s="181">
        <f>K375</f>
        <v>4.8499999999999996</v>
      </c>
      <c r="H375" s="67">
        <f t="shared" ref="H375:H377" si="136">ROUND(G375*1.2397,2)</f>
        <v>6.01</v>
      </c>
      <c r="I375" s="67">
        <f>TRUNC(H375*F375,2)</f>
        <v>862.43</v>
      </c>
      <c r="K375" s="209">
        <v>4.8499999999999996</v>
      </c>
      <c r="L375" s="209">
        <v>4.72</v>
      </c>
    </row>
    <row r="376" spans="1:12" ht="26.25" customHeight="1" x14ac:dyDescent="0.2">
      <c r="A376" s="63" t="s">
        <v>957</v>
      </c>
      <c r="B376" s="178">
        <v>98504</v>
      </c>
      <c r="C376" s="63" t="s">
        <v>14</v>
      </c>
      <c r="D376" s="59" t="s">
        <v>849</v>
      </c>
      <c r="E376" s="63" t="s">
        <v>458</v>
      </c>
      <c r="F376" s="148">
        <f>MC!H1803</f>
        <v>143.5</v>
      </c>
      <c r="G376" s="181">
        <f>K376</f>
        <v>20.440000000000001</v>
      </c>
      <c r="H376" s="67">
        <f t="shared" si="136"/>
        <v>25.34</v>
      </c>
      <c r="I376" s="67">
        <f>ROUND(H376*F376,2)</f>
        <v>3636.29</v>
      </c>
      <c r="K376" s="209">
        <v>20.440000000000001</v>
      </c>
      <c r="L376" s="209">
        <v>20.14</v>
      </c>
    </row>
    <row r="377" spans="1:12" ht="25.5" x14ac:dyDescent="0.2">
      <c r="A377" s="63" t="s">
        <v>958</v>
      </c>
      <c r="B377" s="178">
        <v>98511</v>
      </c>
      <c r="C377" s="63" t="s">
        <v>14</v>
      </c>
      <c r="D377" s="59" t="s">
        <v>850</v>
      </c>
      <c r="E377" s="63" t="s">
        <v>578</v>
      </c>
      <c r="F377" s="148">
        <f>MC!H1808</f>
        <v>3</v>
      </c>
      <c r="G377" s="181">
        <f>K377</f>
        <v>209.92</v>
      </c>
      <c r="H377" s="67">
        <f t="shared" si="136"/>
        <v>260.24</v>
      </c>
      <c r="I377" s="67">
        <f t="shared" ref="I377" si="137">ROUND(H377*F377,2)</f>
        <v>780.72</v>
      </c>
      <c r="K377" s="209">
        <v>209.92</v>
      </c>
      <c r="L377" s="209">
        <v>207.26</v>
      </c>
    </row>
    <row r="378" spans="1:12" ht="25.5" x14ac:dyDescent="0.2">
      <c r="A378" s="63" t="s">
        <v>959</v>
      </c>
      <c r="B378" s="178" t="s">
        <v>803</v>
      </c>
      <c r="C378" s="63" t="s">
        <v>253</v>
      </c>
      <c r="D378" s="59" t="s">
        <v>802</v>
      </c>
      <c r="E378" s="63" t="s">
        <v>578</v>
      </c>
      <c r="F378" s="65">
        <f>MC!H1813</f>
        <v>10</v>
      </c>
      <c r="G378" s="181">
        <f>K378</f>
        <v>48.47</v>
      </c>
      <c r="H378" s="66">
        <f t="shared" ref="H378" si="138">ROUND(G378*1.1921,2)</f>
        <v>57.78</v>
      </c>
      <c r="I378" s="66">
        <f t="shared" ref="I378" si="139">ROUND(H378*F378,2)</f>
        <v>577.79999999999995</v>
      </c>
      <c r="K378" s="209">
        <v>48.47</v>
      </c>
      <c r="L378" s="209">
        <v>48.1</v>
      </c>
    </row>
    <row r="379" spans="1:12" ht="24" customHeight="1" x14ac:dyDescent="0.2">
      <c r="A379" s="87" t="s">
        <v>960</v>
      </c>
      <c r="B379" s="78"/>
      <c r="C379" s="78"/>
      <c r="D379" s="79" t="s">
        <v>254</v>
      </c>
      <c r="E379" s="78"/>
      <c r="F379" s="80"/>
      <c r="G379" s="182"/>
      <c r="H379" s="78"/>
      <c r="I379" s="81">
        <f>I380+I384</f>
        <v>16533.48</v>
      </c>
      <c r="K379" s="188"/>
      <c r="L379" s="188"/>
    </row>
    <row r="380" spans="1:12" ht="24" customHeight="1" x14ac:dyDescent="0.2">
      <c r="A380" s="82" t="s">
        <v>961</v>
      </c>
      <c r="B380" s="83"/>
      <c r="C380" s="83"/>
      <c r="D380" s="84" t="s">
        <v>482</v>
      </c>
      <c r="E380" s="83"/>
      <c r="F380" s="85"/>
      <c r="G380" s="183"/>
      <c r="H380" s="83"/>
      <c r="I380" s="86">
        <f>SUM(I381:I383)</f>
        <v>14674.009999999998</v>
      </c>
      <c r="K380" s="192"/>
      <c r="L380" s="192"/>
    </row>
    <row r="381" spans="1:12" ht="53.45" customHeight="1" x14ac:dyDescent="0.2">
      <c r="A381" s="63" t="s">
        <v>962</v>
      </c>
      <c r="B381" s="177">
        <v>25399</v>
      </c>
      <c r="C381" s="64" t="s">
        <v>396</v>
      </c>
      <c r="D381" s="59" t="s">
        <v>255</v>
      </c>
      <c r="E381" s="63" t="s">
        <v>578</v>
      </c>
      <c r="F381" s="72">
        <f>MC!H1820</f>
        <v>1</v>
      </c>
      <c r="G381" s="181">
        <f>K381</f>
        <v>2308.69</v>
      </c>
      <c r="H381" s="66">
        <f>ROUND(G381*1.1089,2)</f>
        <v>2560.11</v>
      </c>
      <c r="I381" s="73">
        <f>TRUNC(H381*F381,2)</f>
        <v>2560.11</v>
      </c>
      <c r="K381" s="210">
        <v>2308.69</v>
      </c>
      <c r="L381" s="210">
        <v>2308.69</v>
      </c>
    </row>
    <row r="382" spans="1:12" ht="55.15" customHeight="1" x14ac:dyDescent="0.2">
      <c r="A382" s="63" t="s">
        <v>963</v>
      </c>
      <c r="B382" s="177">
        <v>25398</v>
      </c>
      <c r="C382" s="64" t="s">
        <v>395</v>
      </c>
      <c r="D382" s="59" t="s">
        <v>256</v>
      </c>
      <c r="E382" s="63" t="s">
        <v>578</v>
      </c>
      <c r="F382" s="72">
        <f>MC!H1825</f>
        <v>1</v>
      </c>
      <c r="G382" s="181">
        <f>K382</f>
        <v>3802.9</v>
      </c>
      <c r="H382" s="66">
        <f t="shared" ref="H382" si="140">ROUND(G382*1.1089,2)</f>
        <v>4217.04</v>
      </c>
      <c r="I382" s="73">
        <f t="shared" ref="I382:I383" si="141">TRUNC(H382*F382,2)</f>
        <v>4217.04</v>
      </c>
      <c r="K382" s="189">
        <v>3802.9</v>
      </c>
      <c r="L382" s="189">
        <v>3802.9</v>
      </c>
    </row>
    <row r="383" spans="1:12" ht="39" customHeight="1" x14ac:dyDescent="0.2">
      <c r="A383" s="63" t="s">
        <v>964</v>
      </c>
      <c r="B383" s="177">
        <v>2449</v>
      </c>
      <c r="C383" s="63" t="s">
        <v>21</v>
      </c>
      <c r="D383" s="59" t="s">
        <v>817</v>
      </c>
      <c r="E383" s="63" t="s">
        <v>578</v>
      </c>
      <c r="F383" s="72">
        <f>MC!H1830</f>
        <v>2</v>
      </c>
      <c r="G383" s="181">
        <f>K383</f>
        <v>3312.16</v>
      </c>
      <c r="H383" s="66">
        <f t="shared" ref="H383" si="142">ROUND(G383*1.1921,2)</f>
        <v>3948.43</v>
      </c>
      <c r="I383" s="73">
        <f t="shared" si="141"/>
        <v>7896.86</v>
      </c>
      <c r="K383" s="189">
        <v>3312.16</v>
      </c>
      <c r="L383" s="189">
        <v>3312.16</v>
      </c>
    </row>
    <row r="384" spans="1:12" ht="24" customHeight="1" x14ac:dyDescent="0.2">
      <c r="A384" s="82" t="s">
        <v>965</v>
      </c>
      <c r="B384" s="83"/>
      <c r="C384" s="83"/>
      <c r="D384" s="84" t="s">
        <v>521</v>
      </c>
      <c r="E384" s="83"/>
      <c r="F384" s="85"/>
      <c r="G384" s="183"/>
      <c r="H384" s="83"/>
      <c r="I384" s="86">
        <f>SUM(I385:I389)</f>
        <v>1859.47</v>
      </c>
      <c r="K384" s="188"/>
      <c r="L384" s="188"/>
    </row>
    <row r="385" spans="1:12" ht="39" customHeight="1" x14ac:dyDescent="0.2">
      <c r="A385" s="63" t="s">
        <v>966</v>
      </c>
      <c r="B385" s="177">
        <v>1511</v>
      </c>
      <c r="C385" s="63" t="s">
        <v>21</v>
      </c>
      <c r="D385" s="59" t="s">
        <v>483</v>
      </c>
      <c r="E385" s="63" t="s">
        <v>578</v>
      </c>
      <c r="F385" s="72">
        <f>MC!H1836</f>
        <v>1</v>
      </c>
      <c r="G385" s="181">
        <f>K385</f>
        <v>234.84</v>
      </c>
      <c r="H385" s="66">
        <f t="shared" ref="H385:H389" si="143">ROUND(G385*1.1921,2)</f>
        <v>279.95</v>
      </c>
      <c r="I385" s="73">
        <f>TRUNC(H385*F385,2)</f>
        <v>279.95</v>
      </c>
      <c r="K385" s="209">
        <v>234.84</v>
      </c>
      <c r="L385" s="209">
        <v>234.84</v>
      </c>
    </row>
    <row r="386" spans="1:12" ht="28.5" customHeight="1" x14ac:dyDescent="0.2">
      <c r="A386" s="63" t="s">
        <v>967</v>
      </c>
      <c r="B386" s="177">
        <v>1503</v>
      </c>
      <c r="C386" s="63" t="s">
        <v>21</v>
      </c>
      <c r="D386" s="59" t="s">
        <v>484</v>
      </c>
      <c r="E386" s="63" t="s">
        <v>578</v>
      </c>
      <c r="F386" s="72">
        <f>MC!H1841</f>
        <v>1</v>
      </c>
      <c r="G386" s="181">
        <f>K386</f>
        <v>224.61</v>
      </c>
      <c r="H386" s="66">
        <f t="shared" si="143"/>
        <v>267.76</v>
      </c>
      <c r="I386" s="73">
        <f t="shared" ref="I386:I387" si="144">TRUNC(H386*F386,2)</f>
        <v>267.76</v>
      </c>
      <c r="K386" s="188">
        <v>224.61</v>
      </c>
      <c r="L386" s="188">
        <v>224.61</v>
      </c>
    </row>
    <row r="387" spans="1:12" ht="39" customHeight="1" x14ac:dyDescent="0.2">
      <c r="A387" s="63" t="s">
        <v>968</v>
      </c>
      <c r="B387" s="177">
        <v>12884</v>
      </c>
      <c r="C387" s="63" t="s">
        <v>21</v>
      </c>
      <c r="D387" s="59" t="s">
        <v>485</v>
      </c>
      <c r="E387" s="63" t="s">
        <v>578</v>
      </c>
      <c r="F387" s="72">
        <f>MC!H1846</f>
        <v>4</v>
      </c>
      <c r="G387" s="181">
        <f>K387</f>
        <v>23.88</v>
      </c>
      <c r="H387" s="66">
        <f t="shared" si="143"/>
        <v>28.47</v>
      </c>
      <c r="I387" s="73">
        <f t="shared" si="144"/>
        <v>113.88</v>
      </c>
      <c r="K387" s="188">
        <v>23.88</v>
      </c>
      <c r="L387" s="188">
        <v>23.88</v>
      </c>
    </row>
    <row r="388" spans="1:12" ht="39" customHeight="1" x14ac:dyDescent="0.2">
      <c r="A388" s="63" t="s">
        <v>969</v>
      </c>
      <c r="B388" s="177">
        <v>11866</v>
      </c>
      <c r="C388" s="63" t="s">
        <v>21</v>
      </c>
      <c r="D388" s="59" t="s">
        <v>486</v>
      </c>
      <c r="E388" s="63" t="s">
        <v>578</v>
      </c>
      <c r="F388" s="72">
        <f>MC!H1851</f>
        <v>4</v>
      </c>
      <c r="G388" s="181">
        <f>K388</f>
        <v>231.35</v>
      </c>
      <c r="H388" s="66">
        <f t="shared" si="143"/>
        <v>275.79000000000002</v>
      </c>
      <c r="I388" s="73">
        <f>TRUNC(H388*F388,2)</f>
        <v>1103.1600000000001</v>
      </c>
      <c r="K388" s="188">
        <v>231.35</v>
      </c>
      <c r="L388" s="188">
        <v>231.35</v>
      </c>
    </row>
    <row r="389" spans="1:12" ht="27" customHeight="1" x14ac:dyDescent="0.2">
      <c r="A389" s="63" t="s">
        <v>970</v>
      </c>
      <c r="B389" s="177">
        <v>102494</v>
      </c>
      <c r="C389" s="63" t="s">
        <v>14</v>
      </c>
      <c r="D389" s="59" t="s">
        <v>121</v>
      </c>
      <c r="E389" s="63" t="s">
        <v>458</v>
      </c>
      <c r="F389" s="72">
        <f>MC!H1856</f>
        <v>1</v>
      </c>
      <c r="G389" s="181">
        <f>K389</f>
        <v>79.459999999999994</v>
      </c>
      <c r="H389" s="66">
        <f t="shared" si="143"/>
        <v>94.72</v>
      </c>
      <c r="I389" s="73">
        <f t="shared" ref="I389" si="145">TRUNC(H389*F389,2)</f>
        <v>94.72</v>
      </c>
      <c r="K389" s="211">
        <v>79.459999999999994</v>
      </c>
      <c r="L389" s="209">
        <v>78.59</v>
      </c>
    </row>
    <row r="390" spans="1:12" x14ac:dyDescent="0.2">
      <c r="A390" s="246" t="s">
        <v>332</v>
      </c>
      <c r="B390" s="247"/>
      <c r="C390" s="247"/>
      <c r="D390" s="247"/>
      <c r="E390" s="247"/>
      <c r="F390" s="247"/>
      <c r="G390" s="247"/>
      <c r="H390" s="248"/>
      <c r="I390" s="112">
        <f>I7+I9+I21+I41+I59+I66+I81+I86+I107+I115+I117+I125+I136+I196+I240+I379+I374+I321+I281</f>
        <v>1814213.8899999997</v>
      </c>
      <c r="J390" s="58"/>
      <c r="K390" s="197"/>
      <c r="L390" s="192"/>
    </row>
    <row r="441" spans="12:12" x14ac:dyDescent="0.2">
      <c r="L441" s="19"/>
    </row>
    <row r="442" spans="12:12" x14ac:dyDescent="0.2">
      <c r="L442" s="19"/>
    </row>
    <row r="444" spans="12:12" x14ac:dyDescent="0.2">
      <c r="L444" s="195"/>
    </row>
  </sheetData>
  <mergeCells count="10">
    <mergeCell ref="A390:H390"/>
    <mergeCell ref="G3:I3"/>
    <mergeCell ref="G4:I4"/>
    <mergeCell ref="A5:I5"/>
    <mergeCell ref="A1:I1"/>
    <mergeCell ref="A3:D3"/>
    <mergeCell ref="A4:D4"/>
    <mergeCell ref="A2:I2"/>
    <mergeCell ref="E3:F3"/>
    <mergeCell ref="E4:F4"/>
  </mergeCells>
  <phoneticPr fontId="26" type="noConversion"/>
  <dataValidations count="1">
    <dataValidation allowBlank="1" showInputMessage="1" showErrorMessage="1" promptTitle="Atenção!!!" prompt="Para inserir novos ítens basta inserir linhas." sqref="D230 D215 D26:D29 D43:D46 D35:D39 D48:D52 D91:D95 D232 D79:D80 D375:D378 D326:D330 D336:D342 D345:D349 D372:D373 D245:D248 D259:D262 D264:D267 D286:D289 D295:D299 D302:D305 D351:D355 D254:D257 D307:D310" xr:uid="{2B3BD6A1-2BB0-4F10-9E3E-E1225F9561CB}"/>
  </dataValidations>
  <pageMargins left="0.51181102362204722" right="0.51181102362204722" top="0.98425196850393704" bottom="0.98425196850393704" header="0.51181102362204722" footer="0.51181102362204722"/>
  <pageSetup paperSize="9" scale="57" fitToHeight="0" orientation="portrait" r:id="rId1"/>
  <headerFooter>
    <oddHeader xml:space="preserve">&amp;L </oddHeader>
    <oddFooter xml:space="preserve">&amp;L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C6873-423F-4FF9-9A74-7954B9EDA0DD}">
  <sheetPr>
    <pageSetUpPr fitToPage="1"/>
  </sheetPr>
  <dimension ref="A1:K1856"/>
  <sheetViews>
    <sheetView view="pageBreakPreview" zoomScaleNormal="100" zoomScaleSheetLayoutView="100" workbookViewId="0">
      <selection sqref="A1:I1856"/>
    </sheetView>
  </sheetViews>
  <sheetFormatPr defaultRowHeight="14.25" x14ac:dyDescent="0.2"/>
  <cols>
    <col min="1" max="1" width="9" style="9"/>
    <col min="2" max="2" width="39.625" style="4" customWidth="1"/>
    <col min="3" max="4" width="9.375" style="4" customWidth="1"/>
    <col min="5" max="5" width="10.625" style="4" customWidth="1"/>
    <col min="6" max="8" width="9.375" style="4" customWidth="1"/>
    <col min="9" max="9" width="4" style="4" customWidth="1"/>
  </cols>
  <sheetData>
    <row r="1" spans="1:9" ht="15.75" customHeight="1" x14ac:dyDescent="0.25">
      <c r="A1" s="286" t="s">
        <v>623</v>
      </c>
      <c r="B1" s="287"/>
      <c r="C1" s="287"/>
      <c r="D1" s="287"/>
      <c r="E1" s="287"/>
      <c r="F1" s="287"/>
      <c r="G1" s="287"/>
      <c r="H1" s="287"/>
      <c r="I1" s="288"/>
    </row>
    <row r="2" spans="1:9" ht="12.75" customHeight="1" x14ac:dyDescent="0.2">
      <c r="A2" s="289"/>
      <c r="B2" s="290"/>
      <c r="C2" s="290"/>
      <c r="D2" s="290"/>
      <c r="E2" s="290"/>
      <c r="F2" s="290"/>
      <c r="G2" s="290"/>
      <c r="H2" s="290"/>
      <c r="I2" s="291"/>
    </row>
    <row r="3" spans="1:9" ht="15.75" customHeight="1" x14ac:dyDescent="0.25">
      <c r="A3" s="292" t="s">
        <v>257</v>
      </c>
      <c r="B3" s="293"/>
      <c r="C3" s="293"/>
      <c r="D3" s="293"/>
      <c r="E3" s="293"/>
      <c r="F3" s="293"/>
      <c r="G3" s="293"/>
      <c r="H3" s="293"/>
      <c r="I3" s="294"/>
    </row>
    <row r="4" spans="1:9" ht="12.75" customHeight="1" x14ac:dyDescent="0.2">
      <c r="A4" s="295"/>
      <c r="B4" s="296"/>
      <c r="C4" s="296"/>
      <c r="D4" s="296"/>
      <c r="E4" s="296"/>
      <c r="F4" s="296"/>
      <c r="G4" s="296"/>
      <c r="H4" s="296"/>
      <c r="I4" s="297"/>
    </row>
    <row r="5" spans="1:9" ht="12.75" customHeight="1" x14ac:dyDescent="0.2">
      <c r="A5" s="298"/>
      <c r="B5" s="299"/>
      <c r="C5" s="299"/>
      <c r="D5" s="299"/>
      <c r="E5" s="299"/>
      <c r="F5" s="299"/>
      <c r="G5" s="299"/>
      <c r="H5" s="299"/>
      <c r="I5" s="300"/>
    </row>
    <row r="6" spans="1:9" x14ac:dyDescent="0.2">
      <c r="A6" s="1" t="s">
        <v>258</v>
      </c>
      <c r="B6" s="301" t="s">
        <v>624</v>
      </c>
      <c r="C6" s="301"/>
      <c r="D6" s="301"/>
      <c r="E6" s="301"/>
      <c r="F6" s="301"/>
      <c r="G6" s="301"/>
      <c r="H6" s="301"/>
      <c r="I6" s="302"/>
    </row>
    <row r="7" spans="1:9" x14ac:dyDescent="0.2">
      <c r="A7" s="1" t="s">
        <v>259</v>
      </c>
      <c r="B7" s="303" t="s">
        <v>625</v>
      </c>
      <c r="C7" s="303"/>
      <c r="D7" s="303"/>
      <c r="E7" s="303"/>
      <c r="F7" s="303"/>
      <c r="G7" s="2"/>
      <c r="H7" s="304"/>
      <c r="I7" s="305"/>
    </row>
    <row r="8" spans="1:9" ht="12.75" customHeight="1" x14ac:dyDescent="0.2">
      <c r="A8" s="289"/>
      <c r="B8" s="290"/>
      <c r="C8" s="290"/>
      <c r="D8" s="290"/>
      <c r="E8" s="290"/>
      <c r="F8" s="290"/>
      <c r="G8" s="290"/>
      <c r="H8" s="290"/>
      <c r="I8" s="291"/>
    </row>
    <row r="9" spans="1:9" x14ac:dyDescent="0.2">
      <c r="A9" s="89" t="str">
        <f>'Orçamento Sintético'!A7</f>
        <v>1.0</v>
      </c>
      <c r="B9" s="90" t="str">
        <f>'Orçamento Sintético'!D7</f>
        <v>ADMINISTRAÇÃO LOCAL</v>
      </c>
      <c r="C9" s="273"/>
      <c r="D9" s="274"/>
      <c r="E9" s="274"/>
      <c r="F9" s="274"/>
      <c r="G9" s="274"/>
      <c r="H9" s="274"/>
      <c r="I9" s="275"/>
    </row>
    <row r="10" spans="1:9" x14ac:dyDescent="0.2">
      <c r="A10" s="3" t="str">
        <f>'Orçamento Sintético'!A8</f>
        <v xml:space="preserve"> 1.1 </v>
      </c>
      <c r="B10" s="306" t="str">
        <f>'Orçamento Sintético'!D8</f>
        <v>ADMINISTRAÇÃO LOCAL DA OBRA</v>
      </c>
      <c r="C10" s="307"/>
      <c r="D10" s="307"/>
      <c r="E10" s="308"/>
      <c r="I10" s="5"/>
    </row>
    <row r="11" spans="1:9" x14ac:dyDescent="0.2">
      <c r="A11" s="3"/>
      <c r="B11" s="91" t="s">
        <v>260</v>
      </c>
      <c r="C11" s="91" t="s">
        <v>8</v>
      </c>
      <c r="D11" s="91" t="s">
        <v>266</v>
      </c>
      <c r="E11" s="91" t="s">
        <v>261</v>
      </c>
      <c r="F11" s="91" t="s">
        <v>262</v>
      </c>
      <c r="G11" s="91" t="s">
        <v>263</v>
      </c>
      <c r="H11" s="91" t="s">
        <v>11</v>
      </c>
      <c r="I11" s="5"/>
    </row>
    <row r="12" spans="1:9" x14ac:dyDescent="0.2">
      <c r="A12" s="3"/>
      <c r="B12" s="6" t="s">
        <v>977</v>
      </c>
      <c r="C12" s="161">
        <v>1</v>
      </c>
      <c r="D12" s="7"/>
      <c r="E12" s="7"/>
      <c r="F12" s="7"/>
      <c r="G12" s="7"/>
      <c r="H12" s="8">
        <f>PRODUCT(C12,D12,E12,F12,G12)</f>
        <v>1</v>
      </c>
      <c r="I12" s="5"/>
    </row>
    <row r="13" spans="1:9" x14ac:dyDescent="0.2">
      <c r="A13" s="3"/>
      <c r="B13" s="6"/>
      <c r="C13" s="7"/>
      <c r="D13" s="7"/>
      <c r="E13" s="7"/>
      <c r="F13" s="7"/>
      <c r="G13" s="7"/>
      <c r="H13" s="8">
        <f>ROUND(IF(PRODUCT(IF(C13=0,1,C13),IF(D13=0,1,D13),IF(E13=0,1,E13),IF(F13=0,1,F13),IF(G13=0,1,G13))=1,0,PRODUCT(IF(C13=0,1,C13),IF(D13=0,1,D13),IF(E13=0,1,E13),IF(F13=0,1,F13),IF(G13=0,1,G13))),2)</f>
        <v>0</v>
      </c>
      <c r="I13" s="5"/>
    </row>
    <row r="14" spans="1:9" x14ac:dyDescent="0.2">
      <c r="A14" s="3"/>
      <c r="C14" s="10"/>
      <c r="D14" s="10"/>
      <c r="E14" s="9"/>
      <c r="F14" s="92" t="s">
        <v>11</v>
      </c>
      <c r="G14" s="93" t="s">
        <v>264</v>
      </c>
      <c r="H14" s="13">
        <f>SUM(H12:H12)</f>
        <v>1</v>
      </c>
      <c r="I14" s="14" t="s">
        <v>265</v>
      </c>
    </row>
    <row r="15" spans="1:9" ht="28.15" customHeight="1" x14ac:dyDescent="0.2">
      <c r="A15" s="89" t="str">
        <f>'Orçamento Sintético'!A9</f>
        <v>2.0</v>
      </c>
      <c r="B15" s="90" t="str">
        <f>'Orçamento Sintético'!D9</f>
        <v>INSTALAÇÕES PROVISÓRIAS / SERVIÇOS PRELIMINARES</v>
      </c>
      <c r="C15" s="282"/>
      <c r="D15" s="282"/>
      <c r="E15" s="282"/>
      <c r="F15" s="282"/>
      <c r="G15" s="282"/>
      <c r="H15" s="282"/>
      <c r="I15" s="282"/>
    </row>
    <row r="16" spans="1:9" x14ac:dyDescent="0.2">
      <c r="A16" s="96" t="str">
        <f>'Orçamento Sintético'!A10</f>
        <v>2.1</v>
      </c>
      <c r="B16" s="97" t="str">
        <f>'Orçamento Sintético'!D10</f>
        <v>INSTALAÇÕES PROVISÓRIAS</v>
      </c>
      <c r="C16" s="273"/>
      <c r="D16" s="274"/>
      <c r="E16" s="274"/>
      <c r="F16" s="274"/>
      <c r="G16" s="274"/>
      <c r="H16" s="274"/>
      <c r="I16" s="275"/>
    </row>
    <row r="17" spans="1:9" ht="15" customHeight="1" x14ac:dyDescent="0.2">
      <c r="A17" s="3" t="str">
        <f>'Orçamento Sintético'!A11</f>
        <v>2.1.1</v>
      </c>
      <c r="B17" s="270" t="str">
        <f>'Orçamento Sintético'!D11</f>
        <v>TAPUME COM CHAPA METÁLICA. AF_03/2024</v>
      </c>
      <c r="C17" s="271"/>
      <c r="D17" s="271"/>
      <c r="E17" s="272"/>
      <c r="I17" s="5"/>
    </row>
    <row r="18" spans="1:9" x14ac:dyDescent="0.2">
      <c r="A18" s="3"/>
      <c r="B18" s="91" t="s">
        <v>260</v>
      </c>
      <c r="C18" s="91" t="s">
        <v>8</v>
      </c>
      <c r="D18" s="91" t="s">
        <v>266</v>
      </c>
      <c r="E18" s="91" t="s">
        <v>261</v>
      </c>
      <c r="F18" s="91" t="s">
        <v>262</v>
      </c>
      <c r="G18" s="91" t="s">
        <v>263</v>
      </c>
      <c r="H18" s="91" t="s">
        <v>11</v>
      </c>
      <c r="I18" s="5"/>
    </row>
    <row r="19" spans="1:9" x14ac:dyDescent="0.2">
      <c r="A19" s="3"/>
      <c r="B19" s="6"/>
      <c r="C19" s="7"/>
      <c r="D19" s="7"/>
      <c r="E19" s="7">
        <v>29.87</v>
      </c>
      <c r="F19" s="161"/>
      <c r="G19" s="7">
        <v>2.2000000000000002</v>
      </c>
      <c r="H19" s="8">
        <f>ROUND(IF(PRODUCT(IF(C19=0,1,C19),IF(D19=0,1,D19),IF(E19=0,1,E19),IF(F19=0,1,F19),IF(G19=0,1,G19))=1,0,PRODUCT(IF(C19=0,1,C19),IF(D19=0,1,D19),IF(E19=0,1,E19),IF(F19=0,1,F19),IF(G19=0,1,G19))),2)</f>
        <v>65.709999999999994</v>
      </c>
      <c r="I19" s="5"/>
    </row>
    <row r="20" spans="1:9" x14ac:dyDescent="0.2">
      <c r="A20" s="3"/>
      <c r="B20" s="6"/>
      <c r="C20" s="7"/>
      <c r="D20" s="7"/>
      <c r="E20" s="7"/>
      <c r="F20" s="7"/>
      <c r="G20" s="7"/>
      <c r="H20" s="8">
        <f>ROUND(IF(PRODUCT(IF(C20=0,1,C20),IF(E20=0,1,E20),IF(F20=0,1,F20),IF(G20=0,1,G20))=1,0,PRODUCT(IF(C20=0,1,C20),IF(E20=0,1,E20),IF(F20=0,1,F20),IF(G20=0,1,G20))),2)</f>
        <v>0</v>
      </c>
      <c r="I20" s="5"/>
    </row>
    <row r="21" spans="1:9" x14ac:dyDescent="0.2">
      <c r="A21" s="3"/>
      <c r="C21" s="10"/>
      <c r="D21" s="10"/>
      <c r="E21" s="9"/>
      <c r="F21" s="94" t="s">
        <v>11</v>
      </c>
      <c r="G21" s="95" t="s">
        <v>264</v>
      </c>
      <c r="H21" s="11">
        <f>SUM(H19:H19)</f>
        <v>65.709999999999994</v>
      </c>
      <c r="I21" s="12" t="s">
        <v>17</v>
      </c>
    </row>
    <row r="22" spans="1:9" ht="23.25" customHeight="1" x14ac:dyDescent="0.2">
      <c r="A22" s="3" t="str">
        <f>'Orçamento Sintético'!A12</f>
        <v>2.1.2</v>
      </c>
      <c r="B22" s="270" t="str">
        <f>'Orçamento Sintético'!D12</f>
        <v>LOCAÇÃO CONVENCIONAL DE OBRA, UTILIZANDO GABARITO DE TÁBUAS CORRIDAS PONTALETADAS A CADA 2,00M -  2 UTILIZAÇÕES. AF_03/2024</v>
      </c>
      <c r="C22" s="271"/>
      <c r="D22" s="271"/>
      <c r="E22" s="272"/>
      <c r="I22" s="5"/>
    </row>
    <row r="23" spans="1:9" x14ac:dyDescent="0.2">
      <c r="A23" s="3"/>
      <c r="B23" s="91" t="s">
        <v>260</v>
      </c>
      <c r="C23" s="91" t="s">
        <v>8</v>
      </c>
      <c r="D23" s="91" t="s">
        <v>266</v>
      </c>
      <c r="E23" s="91" t="s">
        <v>261</v>
      </c>
      <c r="F23" s="91" t="s">
        <v>262</v>
      </c>
      <c r="G23" s="91" t="s">
        <v>263</v>
      </c>
      <c r="H23" s="91" t="s">
        <v>11</v>
      </c>
      <c r="I23" s="5"/>
    </row>
    <row r="24" spans="1:9" x14ac:dyDescent="0.2">
      <c r="A24" s="3"/>
      <c r="B24" s="6" t="s">
        <v>629</v>
      </c>
      <c r="C24" s="7"/>
      <c r="D24" s="7"/>
      <c r="E24" s="7">
        <f>52+25.8+35.6+29.95</f>
        <v>143.35</v>
      </c>
      <c r="F24" s="7"/>
      <c r="G24" s="7"/>
      <c r="H24" s="8">
        <f>ROUND(IF(PRODUCT(IF(C24=0,1,C24),IF(D24=0,1,D24),IF(E24=0,1,E24),IF(F24=0,1,F24),IF(G24=0,1,G24))=1,0,PRODUCT(IF(C24=0,1,C24),IF(D24=0,1,D24),IF(E24=0,1,E24),IF(F24=0,1,F24),IF(G24=0,1,G24))),2)</f>
        <v>143.35</v>
      </c>
      <c r="I24" s="5"/>
    </row>
    <row r="25" spans="1:9" x14ac:dyDescent="0.2">
      <c r="A25" s="3"/>
      <c r="B25" s="6"/>
      <c r="C25" s="7"/>
      <c r="D25" s="7"/>
      <c r="E25" s="7"/>
      <c r="F25" s="7"/>
      <c r="G25" s="7"/>
      <c r="H25" s="8">
        <f>ROUND(IF(PRODUCT(IF(C25=0,1,C25),IF(E25=0,1,E25),IF(F25=0,1,F25),IF(G25=0,1,G25))=1,0,PRODUCT(IF(C25=0,1,C25),IF(E25=0,1,E25),IF(F25=0,1,F25),IF(G25=0,1,G25))),2)</f>
        <v>0</v>
      </c>
      <c r="I25" s="5"/>
    </row>
    <row r="26" spans="1:9" x14ac:dyDescent="0.2">
      <c r="A26" s="3"/>
      <c r="C26" s="10"/>
      <c r="D26" s="10"/>
      <c r="E26" s="9"/>
      <c r="F26" s="94" t="s">
        <v>11</v>
      </c>
      <c r="G26" s="95" t="s">
        <v>264</v>
      </c>
      <c r="H26" s="11">
        <f>SUM(H24:H24)</f>
        <v>143.35</v>
      </c>
      <c r="I26" s="12" t="s">
        <v>186</v>
      </c>
    </row>
    <row r="27" spans="1:9" ht="15.6" customHeight="1" x14ac:dyDescent="0.2">
      <c r="A27" s="3" t="str">
        <f>'Orçamento Sintético'!A13</f>
        <v>2.1.3</v>
      </c>
      <c r="B27" s="270" t="str">
        <f>'Orçamento Sintético'!D13</f>
        <v>FORNECIMENTO E INSTALAÇÃO DE PLACA DE OBRA COM CHAPA GALVANIZADA E ESTRUTURA DE MADEIRA. AF_03/2022_PS</v>
      </c>
      <c r="C27" s="271"/>
      <c r="D27" s="271"/>
      <c r="E27" s="272"/>
      <c r="I27" s="5"/>
    </row>
    <row r="28" spans="1:9" x14ac:dyDescent="0.2">
      <c r="A28" s="3"/>
      <c r="B28" s="91" t="s">
        <v>260</v>
      </c>
      <c r="C28" s="91" t="s">
        <v>8</v>
      </c>
      <c r="D28" s="91" t="s">
        <v>266</v>
      </c>
      <c r="E28" s="91" t="s">
        <v>261</v>
      </c>
      <c r="F28" s="91" t="s">
        <v>262</v>
      </c>
      <c r="G28" s="91" t="s">
        <v>263</v>
      </c>
      <c r="H28" s="91" t="s">
        <v>11</v>
      </c>
      <c r="I28" s="5"/>
    </row>
    <row r="29" spans="1:9" x14ac:dyDescent="0.2">
      <c r="A29" s="3"/>
      <c r="B29" s="6"/>
      <c r="C29" s="7"/>
      <c r="D29" s="7"/>
      <c r="E29" s="7"/>
      <c r="F29" s="7">
        <v>3</v>
      </c>
      <c r="G29" s="7">
        <v>2</v>
      </c>
      <c r="H29" s="8">
        <f>ROUND(IF(PRODUCT(IF(C29=0,1,C29),IF(D29=0,1,D29),IF(E29=0,1,E29),IF(F29=0,1,F29),IF(G29=0,1,G29))=1,0,PRODUCT(IF(C29=0,1,C29),IF(D29=0,1,D29),IF(E29=0,1,E29),IF(F29=0,1,F29),IF(G29=0,1,G29))),2)</f>
        <v>6</v>
      </c>
      <c r="I29" s="5"/>
    </row>
    <row r="30" spans="1:9" x14ac:dyDescent="0.2">
      <c r="A30" s="3"/>
      <c r="B30" s="6"/>
      <c r="C30" s="7"/>
      <c r="D30" s="7"/>
      <c r="E30" s="7"/>
      <c r="F30" s="7"/>
      <c r="G30" s="7"/>
      <c r="H30" s="8">
        <f>ROUND(IF(PRODUCT(IF(C30=0,1,C30),IF(E30=0,1,E30),IF(F30=0,1,F30),IF(G30=0,1,G30))=1,0,PRODUCT(IF(C30=0,1,C30),IF(E30=0,1,E30),IF(F30=0,1,F30),IF(G30=0,1,G30))),2)</f>
        <v>0</v>
      </c>
      <c r="I30" s="5"/>
    </row>
    <row r="31" spans="1:9" x14ac:dyDescent="0.2">
      <c r="A31" s="3"/>
      <c r="C31" s="10"/>
      <c r="D31" s="10"/>
      <c r="E31" s="9"/>
      <c r="F31" s="94" t="s">
        <v>11</v>
      </c>
      <c r="G31" s="95" t="s">
        <v>264</v>
      </c>
      <c r="H31" s="11">
        <f>SUM(H29:H29)</f>
        <v>6</v>
      </c>
      <c r="I31" s="12" t="s">
        <v>17</v>
      </c>
    </row>
    <row r="32" spans="1:9" x14ac:dyDescent="0.2">
      <c r="A32" s="3" t="str">
        <f>'Orçamento Sintético'!A14</f>
        <v>2.1.4</v>
      </c>
      <c r="B32" s="270" t="str">
        <f>'Orçamento Sintético'!D14</f>
        <v>BARRACÃO PARA OBRAS DE MÉDIO PORTE REAPROVEITAMENTO 2 VEZES</v>
      </c>
      <c r="C32" s="271"/>
      <c r="D32" s="271"/>
      <c r="E32" s="272"/>
      <c r="I32" s="5"/>
    </row>
    <row r="33" spans="1:9" x14ac:dyDescent="0.2">
      <c r="A33" s="3"/>
      <c r="B33" s="91" t="s">
        <v>260</v>
      </c>
      <c r="C33" s="91" t="s">
        <v>8</v>
      </c>
      <c r="D33" s="91" t="s">
        <v>266</v>
      </c>
      <c r="E33" s="91" t="s">
        <v>261</v>
      </c>
      <c r="F33" s="91" t="s">
        <v>262</v>
      </c>
      <c r="G33" s="91" t="s">
        <v>263</v>
      </c>
      <c r="H33" s="91" t="s">
        <v>11</v>
      </c>
      <c r="I33" s="5"/>
    </row>
    <row r="34" spans="1:9" x14ac:dyDescent="0.2">
      <c r="A34" s="3"/>
      <c r="B34" s="6"/>
      <c r="C34" s="7"/>
      <c r="D34" s="7"/>
      <c r="E34" s="7">
        <v>5</v>
      </c>
      <c r="F34" s="7">
        <v>5</v>
      </c>
      <c r="G34" s="7"/>
      <c r="H34" s="8">
        <f>ROUND(IF(PRODUCT(IF(C34=0,1,C34),IF(D34=0,1,D34),IF(E34=0,1,E34),IF(F34=0,1,F34),IF(G34=0,1,G34))=1,0,PRODUCT(IF(C34=0,1,C34),IF(D34=0,1,D34),IF(E34=0,1,E34),IF(F34=0,1,F34),IF(G34=0,1,G34))),2)</f>
        <v>25</v>
      </c>
      <c r="I34" s="5"/>
    </row>
    <row r="35" spans="1:9" x14ac:dyDescent="0.2">
      <c r="A35" s="3"/>
      <c r="B35" s="6"/>
      <c r="C35" s="7"/>
      <c r="D35" s="7"/>
      <c r="E35" s="7"/>
      <c r="F35" s="7"/>
      <c r="G35" s="7"/>
      <c r="H35" s="8">
        <f>ROUND(IF(PRODUCT(IF(C35=0,1,C35),IF(E35=0,1,E35),IF(F35=0,1,F35),IF(G35=0,1,G35))=1,0,PRODUCT(IF(C35=0,1,C35),IF(E35=0,1,E35),IF(F35=0,1,F35),IF(G35=0,1,G35))),2)</f>
        <v>0</v>
      </c>
      <c r="I35" s="5"/>
    </row>
    <row r="36" spans="1:9" x14ac:dyDescent="0.2">
      <c r="A36" s="3"/>
      <c r="C36" s="10"/>
      <c r="D36" s="10"/>
      <c r="E36" s="9"/>
      <c r="F36" s="94" t="s">
        <v>11</v>
      </c>
      <c r="G36" s="95" t="s">
        <v>264</v>
      </c>
      <c r="H36" s="11">
        <f>SUM(H34:H34)</f>
        <v>25</v>
      </c>
      <c r="I36" s="12" t="s">
        <v>17</v>
      </c>
    </row>
    <row r="37" spans="1:9" ht="15.6" customHeight="1" x14ac:dyDescent="0.2">
      <c r="A37" s="3" t="str">
        <f>'Orçamento Sintético'!A15</f>
        <v>2.1.5</v>
      </c>
      <c r="B37" s="270" t="str">
        <f>'Orçamento Sintético'!D15</f>
        <v>ESTRUTURA DE MADEIRA PROVISÓRIA PARA SUPORTE DE CAIXA D'ÁGUA ELEVADA DE 2000 LITROS. AF_03/2024</v>
      </c>
      <c r="C37" s="271"/>
      <c r="D37" s="271"/>
      <c r="E37" s="272"/>
      <c r="I37" s="5"/>
    </row>
    <row r="38" spans="1:9" x14ac:dyDescent="0.2">
      <c r="A38" s="3"/>
      <c r="B38" s="91" t="s">
        <v>260</v>
      </c>
      <c r="C38" s="91" t="s">
        <v>8</v>
      </c>
      <c r="D38" s="91" t="s">
        <v>266</v>
      </c>
      <c r="E38" s="91" t="s">
        <v>261</v>
      </c>
      <c r="F38" s="91" t="s">
        <v>262</v>
      </c>
      <c r="G38" s="91" t="s">
        <v>263</v>
      </c>
      <c r="H38" s="91" t="s">
        <v>11</v>
      </c>
      <c r="I38" s="5"/>
    </row>
    <row r="39" spans="1:9" x14ac:dyDescent="0.2">
      <c r="A39" s="3"/>
      <c r="B39" s="6"/>
      <c r="C39" s="7">
        <v>1</v>
      </c>
      <c r="D39" s="7"/>
      <c r="E39" s="7"/>
      <c r="F39" s="7"/>
      <c r="G39" s="7"/>
      <c r="H39" s="8">
        <f>PRODUCT(C39,D39,E39,F39,G39)</f>
        <v>1</v>
      </c>
      <c r="I39" s="5"/>
    </row>
    <row r="40" spans="1:9" x14ac:dyDescent="0.2">
      <c r="A40" s="3"/>
      <c r="B40" s="6"/>
      <c r="C40" s="7"/>
      <c r="D40" s="7"/>
      <c r="E40" s="7"/>
      <c r="F40" s="7"/>
      <c r="G40" s="7"/>
      <c r="H40" s="8">
        <f>ROUND(IF(PRODUCT(IF(C40=0,1,C40),IF(E40=0,1,E40),IF(F40=0,1,F40),IF(G40=0,1,G40))=1,0,PRODUCT(IF(C40=0,1,C40),IF(E40=0,1,E40),IF(F40=0,1,F40),IF(G40=0,1,G40))),2)</f>
        <v>0</v>
      </c>
      <c r="I40" s="5"/>
    </row>
    <row r="41" spans="1:9" x14ac:dyDescent="0.2">
      <c r="A41" s="3"/>
      <c r="C41" s="10"/>
      <c r="D41" s="10"/>
      <c r="E41" s="9"/>
      <c r="F41" s="94" t="s">
        <v>11</v>
      </c>
      <c r="G41" s="95" t="s">
        <v>264</v>
      </c>
      <c r="H41" s="11">
        <f>SUM(H39:H39)</f>
        <v>1</v>
      </c>
      <c r="I41" s="12" t="s">
        <v>277</v>
      </c>
    </row>
    <row r="42" spans="1:9" ht="15.6" customHeight="1" x14ac:dyDescent="0.2">
      <c r="A42" s="3" t="str">
        <f>'Orçamento Sintético'!A16</f>
        <v>2.1.6</v>
      </c>
      <c r="B42" s="270" t="str">
        <f>'Orçamento Sintético'!D16</f>
        <v>CAIXA D´ÁGUA EM POLIETILENO, 2000 LITROS - FORNECIMENTO E INSTALAÇÃO. AF_06/2021</v>
      </c>
      <c r="C42" s="271"/>
      <c r="D42" s="271"/>
      <c r="E42" s="272"/>
      <c r="I42" s="5"/>
    </row>
    <row r="43" spans="1:9" x14ac:dyDescent="0.2">
      <c r="A43" s="3"/>
      <c r="B43" s="91" t="s">
        <v>260</v>
      </c>
      <c r="C43" s="91" t="s">
        <v>8</v>
      </c>
      <c r="D43" s="91" t="s">
        <v>266</v>
      </c>
      <c r="E43" s="91" t="s">
        <v>261</v>
      </c>
      <c r="F43" s="91" t="s">
        <v>262</v>
      </c>
      <c r="G43" s="91" t="s">
        <v>263</v>
      </c>
      <c r="H43" s="91" t="s">
        <v>11</v>
      </c>
      <c r="I43" s="5"/>
    </row>
    <row r="44" spans="1:9" x14ac:dyDescent="0.2">
      <c r="A44" s="3"/>
      <c r="B44" s="6"/>
      <c r="C44" s="7">
        <v>1</v>
      </c>
      <c r="D44" s="7"/>
      <c r="E44" s="7"/>
      <c r="F44" s="7"/>
      <c r="G44" s="7"/>
      <c r="H44" s="8">
        <f>PRODUCT(C44,D44,E44,F44,G44)</f>
        <v>1</v>
      </c>
      <c r="I44" s="5"/>
    </row>
    <row r="45" spans="1:9" x14ac:dyDescent="0.2">
      <c r="A45" s="3"/>
      <c r="B45" s="6"/>
      <c r="C45" s="7"/>
      <c r="D45" s="7"/>
      <c r="E45" s="7"/>
      <c r="F45" s="7"/>
      <c r="G45" s="7"/>
      <c r="H45" s="8">
        <f>ROUND(IF(PRODUCT(IF(C45=0,1,C45),IF(E45=0,1,E45),IF(F45=0,1,F45),IF(G45=0,1,G45))=1,0,PRODUCT(IF(C45=0,1,C45),IF(E45=0,1,E45),IF(F45=0,1,F45),IF(G45=0,1,G45))),2)</f>
        <v>0</v>
      </c>
      <c r="I45" s="5"/>
    </row>
    <row r="46" spans="1:9" x14ac:dyDescent="0.2">
      <c r="A46" s="3"/>
      <c r="C46" s="10"/>
      <c r="D46" s="10"/>
      <c r="E46" s="9"/>
      <c r="F46" s="94" t="s">
        <v>11</v>
      </c>
      <c r="G46" s="95" t="s">
        <v>264</v>
      </c>
      <c r="H46" s="11">
        <f>SUM(H44:H44)</f>
        <v>1</v>
      </c>
      <c r="I46" s="12" t="s">
        <v>277</v>
      </c>
    </row>
    <row r="47" spans="1:9" ht="24.75" customHeight="1" x14ac:dyDescent="0.2">
      <c r="A47" s="3" t="str">
        <f>'Orçamento Sintético'!A17</f>
        <v>2.1.7</v>
      </c>
      <c r="B47" s="270" t="str">
        <f>'Orçamento Sintético'!D17</f>
        <v>INSTALAÇÃO PROVISÓRIA DE ENERGIA ELÉTRICA, AEREA, TRIFASICA, EM POSTE GALVANIZADO, EXCLUSIVE FORNECIMENTO DO MEDIDOR</v>
      </c>
      <c r="C47" s="271"/>
      <c r="D47" s="271"/>
      <c r="E47" s="272"/>
      <c r="I47" s="5"/>
    </row>
    <row r="48" spans="1:9" x14ac:dyDescent="0.2">
      <c r="A48" s="3"/>
      <c r="B48" s="91" t="s">
        <v>260</v>
      </c>
      <c r="C48" s="91" t="s">
        <v>8</v>
      </c>
      <c r="D48" s="91" t="s">
        <v>266</v>
      </c>
      <c r="E48" s="91" t="s">
        <v>261</v>
      </c>
      <c r="F48" s="91" t="s">
        <v>262</v>
      </c>
      <c r="G48" s="91" t="s">
        <v>263</v>
      </c>
      <c r="H48" s="91" t="s">
        <v>11</v>
      </c>
      <c r="I48" s="5"/>
    </row>
    <row r="49" spans="1:9" x14ac:dyDescent="0.2">
      <c r="A49" s="3"/>
      <c r="B49" s="6"/>
      <c r="C49" s="7">
        <v>1</v>
      </c>
      <c r="D49" s="7"/>
      <c r="E49" s="7"/>
      <c r="F49" s="7"/>
      <c r="G49" s="7"/>
      <c r="H49" s="8">
        <f>PRODUCT(C49,D49,E49,F49,G49)</f>
        <v>1</v>
      </c>
      <c r="I49" s="5"/>
    </row>
    <row r="50" spans="1:9" x14ac:dyDescent="0.2">
      <c r="A50" s="3"/>
      <c r="B50" s="6"/>
      <c r="C50" s="7"/>
      <c r="D50" s="7"/>
      <c r="E50" s="7"/>
      <c r="F50" s="7"/>
      <c r="G50" s="7"/>
      <c r="H50" s="8">
        <f>ROUND(IF(PRODUCT(IF(C50=0,1,C50),IF(E50=0,1,E50),IF(F50=0,1,F50),IF(G50=0,1,G50))=1,0,PRODUCT(IF(C50=0,1,C50),IF(E50=0,1,E50),IF(F50=0,1,F50),IF(G50=0,1,G50))),2)</f>
        <v>0</v>
      </c>
      <c r="I50" s="5"/>
    </row>
    <row r="51" spans="1:9" x14ac:dyDescent="0.2">
      <c r="A51" s="3"/>
      <c r="C51" s="10"/>
      <c r="D51" s="10"/>
      <c r="E51" s="9"/>
      <c r="F51" s="94" t="s">
        <v>11</v>
      </c>
      <c r="G51" s="95" t="s">
        <v>264</v>
      </c>
      <c r="H51" s="11">
        <f>SUM(H49:H49)</f>
        <v>1</v>
      </c>
      <c r="I51" s="12" t="s">
        <v>277</v>
      </c>
    </row>
    <row r="52" spans="1:9" x14ac:dyDescent="0.2">
      <c r="A52" s="96" t="str">
        <f>'Orçamento Sintético'!A18</f>
        <v>2.2</v>
      </c>
      <c r="B52" s="97" t="str">
        <f>'Orçamento Sintético'!D18</f>
        <v>SERVIÇOS PRELIMINARES - MOVIMENTAÇÃO EM TERRA</v>
      </c>
      <c r="C52" s="273"/>
      <c r="D52" s="274"/>
      <c r="E52" s="274"/>
      <c r="F52" s="274"/>
      <c r="G52" s="274"/>
      <c r="H52" s="274"/>
      <c r="I52" s="275"/>
    </row>
    <row r="53" spans="1:9" ht="22.9" customHeight="1" x14ac:dyDescent="0.2">
      <c r="A53" s="3" t="str">
        <f>'Orçamento Sintético'!A19</f>
        <v>2.1.1</v>
      </c>
      <c r="B53" s="270" t="str">
        <f>'Orçamento Sintético'!D19</f>
        <v>ESCAVAÇÃO HORIZONTAL, INCLUINDO CARGA, DESCARGA E TRANSPORTE EM SOLO DE 1A CATEGORIA COM TRATOR DE ESTEIRAS (150HP/LÂMINA: 3,18M3) E CAMINHÃO BASCULANTE DE 10M3, DMT ATÉ 200M AF_07/2020</v>
      </c>
      <c r="C53" s="271"/>
      <c r="D53" s="271"/>
      <c r="E53" s="272"/>
      <c r="I53" s="5"/>
    </row>
    <row r="54" spans="1:9" x14ac:dyDescent="0.2">
      <c r="A54" s="3"/>
      <c r="B54" s="91" t="s">
        <v>260</v>
      </c>
      <c r="C54" s="91" t="s">
        <v>8</v>
      </c>
      <c r="D54" s="91" t="s">
        <v>677</v>
      </c>
      <c r="E54" s="91" t="s">
        <v>261</v>
      </c>
      <c r="F54" s="91" t="s">
        <v>262</v>
      </c>
      <c r="G54" s="91" t="s">
        <v>263</v>
      </c>
      <c r="H54" s="91" t="s">
        <v>11</v>
      </c>
      <c r="I54" s="5"/>
    </row>
    <row r="55" spans="1:9" x14ac:dyDescent="0.2">
      <c r="A55" s="3"/>
      <c r="B55" s="6" t="s">
        <v>825</v>
      </c>
      <c r="C55" s="7"/>
      <c r="D55" s="7">
        <v>1378.07</v>
      </c>
      <c r="E55" s="7"/>
      <c r="F55" s="7"/>
      <c r="G55" s="7"/>
      <c r="H55" s="8">
        <f>ROUND(IF(PRODUCT(IF(C55=0,1,C55),IF(D55=0,1,D55),IF(E55=0,1,E55),IF(F55=0,1,F55),IF(G55=0,1,G55))=1,0,PRODUCT(IF(C55=0,1,C55),IF(D55=0,1,D55),IF(E55=0,1,E55),IF(F55=0,1,F55),IF(G55=0,1,G55))),2)</f>
        <v>1378.07</v>
      </c>
      <c r="I55" s="5"/>
    </row>
    <row r="56" spans="1:9" x14ac:dyDescent="0.2">
      <c r="A56" s="3"/>
      <c r="B56" s="6"/>
      <c r="C56" s="7"/>
      <c r="D56" s="7"/>
      <c r="E56" s="7"/>
      <c r="F56" s="7"/>
      <c r="G56" s="7"/>
      <c r="H56" s="8">
        <f>ROUND(IF(PRODUCT(IF(C56=0,1,C56),IF(E56=0,1,E56),IF(F56=0,1,F56),IF(G56=0,1,G56))=1,0,PRODUCT(IF(C56=0,1,C56),IF(E56=0,1,E56),IF(F56=0,1,F56),IF(G56=0,1,G56))),2)</f>
        <v>0</v>
      </c>
      <c r="I56" s="5"/>
    </row>
    <row r="57" spans="1:9" x14ac:dyDescent="0.2">
      <c r="A57" s="3"/>
      <c r="C57" s="10"/>
      <c r="D57" s="10"/>
      <c r="E57" s="9"/>
      <c r="F57" s="94" t="s">
        <v>11</v>
      </c>
      <c r="G57" s="95" t="s">
        <v>264</v>
      </c>
      <c r="H57" s="11">
        <f>SUM(H55:H55)</f>
        <v>1378.07</v>
      </c>
      <c r="I57" s="12" t="s">
        <v>24</v>
      </c>
    </row>
    <row r="58" spans="1:9" x14ac:dyDescent="0.2">
      <c r="A58" s="3" t="str">
        <f>'Orçamento Sintético'!A20</f>
        <v>2.1.2</v>
      </c>
      <c r="B58" s="270" t="str">
        <f>'Orçamento Sintético'!D20</f>
        <v>REGULARIZAÇÃO DE SUPERFÍCIES COM MOTONIVELADORA. AF_09/2024</v>
      </c>
      <c r="C58" s="271"/>
      <c r="D58" s="271"/>
      <c r="E58" s="272"/>
      <c r="I58" s="5"/>
    </row>
    <row r="59" spans="1:9" x14ac:dyDescent="0.2">
      <c r="A59" s="3"/>
      <c r="B59" s="91" t="s">
        <v>260</v>
      </c>
      <c r="C59" s="91" t="s">
        <v>8</v>
      </c>
      <c r="D59" s="91" t="s">
        <v>266</v>
      </c>
      <c r="E59" s="91" t="s">
        <v>261</v>
      </c>
      <c r="F59" s="91" t="s">
        <v>262</v>
      </c>
      <c r="G59" s="91" t="s">
        <v>263</v>
      </c>
      <c r="H59" s="91" t="s">
        <v>11</v>
      </c>
      <c r="I59" s="5"/>
    </row>
    <row r="60" spans="1:9" x14ac:dyDescent="0.2">
      <c r="A60" s="3"/>
      <c r="B60" s="6" t="s">
        <v>799</v>
      </c>
      <c r="C60" s="7"/>
      <c r="D60" s="7">
        <v>1192.28</v>
      </c>
      <c r="E60" s="7"/>
      <c r="F60" s="7"/>
      <c r="G60" s="7"/>
      <c r="H60" s="8">
        <f>ROUND(IF(PRODUCT(IF(C60=0,1,C60),IF(D60=0,1,D60),IF(E60=0,1,E60),IF(F60=0,1,F60),IF(G60=0,1,G60))=1,0,PRODUCT(IF(C60=0,1,C60),IF(D60=0,1,D60),IF(E60=0,1,E60),IF(F60=0,1,F60),IF(G60=0,1,G60))),2)</f>
        <v>1192.28</v>
      </c>
      <c r="I60" s="5"/>
    </row>
    <row r="61" spans="1:9" x14ac:dyDescent="0.2">
      <c r="A61" s="3"/>
      <c r="B61" s="6"/>
      <c r="C61" s="7"/>
      <c r="D61" s="7"/>
      <c r="E61" s="7"/>
      <c r="F61" s="7"/>
      <c r="G61" s="7"/>
      <c r="H61" s="8">
        <f>ROUND(IF(PRODUCT(IF(C61=0,1,C61),IF(E61=0,1,E61),IF(F61=0,1,F61),IF(G61=0,1,G61))=1,0,PRODUCT(IF(C61=0,1,C61),IF(E61=0,1,E61),IF(F61=0,1,F61),IF(G61=0,1,G61))),2)</f>
        <v>0</v>
      </c>
      <c r="I61" s="5"/>
    </row>
    <row r="62" spans="1:9" x14ac:dyDescent="0.2">
      <c r="A62" s="3"/>
      <c r="C62" s="10"/>
      <c r="D62" s="10"/>
      <c r="E62" s="9"/>
      <c r="F62" s="94" t="s">
        <v>11</v>
      </c>
      <c r="G62" s="95" t="s">
        <v>264</v>
      </c>
      <c r="H62" s="11">
        <f>SUM(H60:H60)</f>
        <v>1192.28</v>
      </c>
      <c r="I62" s="12" t="s">
        <v>17</v>
      </c>
    </row>
    <row r="63" spans="1:9" x14ac:dyDescent="0.2">
      <c r="A63" s="89" t="str">
        <f>'Orçamento Sintético'!A21</f>
        <v>3.0</v>
      </c>
      <c r="B63" s="90" t="str">
        <f>'Orçamento Sintético'!D21</f>
        <v xml:space="preserve">INFRAESTRUTURA - BANHEIROS </v>
      </c>
      <c r="C63" s="282"/>
      <c r="D63" s="282"/>
      <c r="E63" s="282"/>
      <c r="F63" s="282"/>
      <c r="G63" s="282"/>
      <c r="H63" s="282"/>
      <c r="I63" s="282"/>
    </row>
    <row r="64" spans="1:9" x14ac:dyDescent="0.2">
      <c r="A64" s="96" t="str">
        <f>'Orçamento Sintético'!A22</f>
        <v xml:space="preserve"> 3.1 </v>
      </c>
      <c r="B64" s="97" t="str">
        <f>'Orçamento Sintético'!D22</f>
        <v>FUNDAÇÕES</v>
      </c>
      <c r="C64" s="273"/>
      <c r="D64" s="274"/>
      <c r="E64" s="274"/>
      <c r="F64" s="274"/>
      <c r="G64" s="274"/>
      <c r="H64" s="274"/>
      <c r="I64" s="275"/>
    </row>
    <row r="65" spans="1:9" x14ac:dyDescent="0.2">
      <c r="A65" s="3" t="str">
        <f>'Orçamento Sintético'!A23</f>
        <v xml:space="preserve"> 3.1.1</v>
      </c>
      <c r="B65" s="270" t="str">
        <f>'Orçamento Sintético'!D23</f>
        <v>ESCAVAÇÃO MANUAL DE VALA. AF_09/2024</v>
      </c>
      <c r="C65" s="271"/>
      <c r="D65" s="271"/>
      <c r="E65" s="272"/>
      <c r="I65" s="5"/>
    </row>
    <row r="66" spans="1:9" x14ac:dyDescent="0.2">
      <c r="A66" s="3"/>
      <c r="B66" s="91" t="s">
        <v>260</v>
      </c>
      <c r="C66" s="91" t="s">
        <v>8</v>
      </c>
      <c r="D66" s="91" t="s">
        <v>266</v>
      </c>
      <c r="E66" s="91" t="s">
        <v>261</v>
      </c>
      <c r="F66" s="91" t="s">
        <v>262</v>
      </c>
      <c r="G66" s="91" t="s">
        <v>263</v>
      </c>
      <c r="H66" s="91" t="s">
        <v>11</v>
      </c>
      <c r="I66" s="5"/>
    </row>
    <row r="67" spans="1:9" x14ac:dyDescent="0.2">
      <c r="A67" s="3"/>
      <c r="B67" s="23" t="s">
        <v>555</v>
      </c>
      <c r="C67" s="7"/>
      <c r="D67" s="7"/>
      <c r="E67" s="7"/>
      <c r="F67" s="7"/>
      <c r="G67" s="7"/>
      <c r="H67" s="8"/>
      <c r="I67" s="5"/>
    </row>
    <row r="68" spans="1:9" x14ac:dyDescent="0.2">
      <c r="A68" s="3"/>
      <c r="B68" s="6" t="s">
        <v>278</v>
      </c>
      <c r="C68" s="161">
        <v>5</v>
      </c>
      <c r="D68" s="161"/>
      <c r="E68" s="161">
        <f>0.75+0.2+0.2</f>
        <v>1.1499999999999999</v>
      </c>
      <c r="F68" s="161">
        <f>0.75+0.2+0.2</f>
        <v>1.1499999999999999</v>
      </c>
      <c r="G68" s="161">
        <f>0.3+0.05+1.2</f>
        <v>1.5499999999999998</v>
      </c>
      <c r="H68" s="8">
        <f>ROUND(IF(PRODUCT(IF(C68=0,1,C68),IF(D68=0,1,D68),IF(E68=0,1,E68),IF(F68=0,1,F68),IF(G68=0,1,G68))=1,0,PRODUCT(IF(C68=0,1,C68),IF(D68=0,1,D68),IF(E68=0,1,E68),IF(F68=0,1,F68),IF(G68=0,1,G68))),2)</f>
        <v>10.25</v>
      </c>
      <c r="I68" s="5"/>
    </row>
    <row r="69" spans="1:9" x14ac:dyDescent="0.2">
      <c r="A69" s="3"/>
      <c r="B69" s="6" t="s">
        <v>573</v>
      </c>
      <c r="C69" s="161">
        <v>1</v>
      </c>
      <c r="D69" s="161"/>
      <c r="E69" s="161">
        <f>0.8+0.2+0.2</f>
        <v>1.2</v>
      </c>
      <c r="F69" s="161">
        <f>0.8+0.2+0.2</f>
        <v>1.2</v>
      </c>
      <c r="G69" s="161">
        <f>0.3+0.05+1.2</f>
        <v>1.5499999999999998</v>
      </c>
      <c r="H69" s="8">
        <f>ROUND(IF(PRODUCT(IF(C69=0,1,C69),IF(D69=0,1,D69),IF(E69=0,1,E69),IF(F69=0,1,F69),IF(G69=0,1,G69))=1,0,PRODUCT(IF(C69=0,1,C69),IF(D69=0,1,D69),IF(E69=0,1,E69),IF(F69=0,1,F69),IF(G69=0,1,G69))),2)</f>
        <v>2.23</v>
      </c>
      <c r="I69" s="5"/>
    </row>
    <row r="70" spans="1:9" x14ac:dyDescent="0.2">
      <c r="A70" s="3"/>
      <c r="B70" s="6" t="s">
        <v>437</v>
      </c>
      <c r="C70" s="161">
        <v>2</v>
      </c>
      <c r="D70" s="161"/>
      <c r="E70" s="161">
        <f>0.85+0.2+0.2</f>
        <v>1.25</v>
      </c>
      <c r="F70" s="161">
        <f>0.85+0.2+0.2</f>
        <v>1.25</v>
      </c>
      <c r="G70" s="161">
        <f>0.3+0.05+1.2</f>
        <v>1.5499999999999998</v>
      </c>
      <c r="H70" s="8">
        <f>ROUND(IF(PRODUCT(IF(C70=0,1,C70),IF(D70=0,1,D70),IF(E70=0,1,E70),IF(F70=0,1,F70),IF(G70=0,1,G70))=1,0,PRODUCT(IF(C70=0,1,C70),IF(D70=0,1,D70),IF(E70=0,1,E70),IF(F70=0,1,F70),IF(G70=0,1,G70))),2)</f>
        <v>4.84</v>
      </c>
      <c r="I70" s="5"/>
    </row>
    <row r="71" spans="1:9" x14ac:dyDescent="0.2">
      <c r="A71" s="3"/>
      <c r="B71" s="6"/>
      <c r="C71" s="7"/>
      <c r="D71" s="7"/>
      <c r="E71" s="7"/>
      <c r="F71" s="7"/>
      <c r="G71" s="7"/>
      <c r="H71" s="8">
        <f>ROUND(IF(PRODUCT(IF(C71=0,1,C71),IF(E71=0,1,E71),IF(F71=0,1,F71),IF(G71=0,1,G71))=1,0,PRODUCT(IF(C71=0,1,C71),IF(E71=0,1,E71),IF(F71=0,1,F71),IF(G71=0,1,G71))),2)</f>
        <v>0</v>
      </c>
      <c r="I71" s="5"/>
    </row>
    <row r="72" spans="1:9" x14ac:dyDescent="0.2">
      <c r="A72" s="3"/>
      <c r="C72" s="10"/>
      <c r="D72" s="10"/>
      <c r="E72" s="9"/>
      <c r="F72" s="94" t="s">
        <v>11</v>
      </c>
      <c r="G72" s="95" t="s">
        <v>264</v>
      </c>
      <c r="H72" s="11">
        <f>SUM(H68:H70)</f>
        <v>17.32</v>
      </c>
      <c r="I72" s="12" t="s">
        <v>24</v>
      </c>
    </row>
    <row r="73" spans="1:9" x14ac:dyDescent="0.2">
      <c r="A73" s="3" t="str">
        <f>'Orçamento Sintético'!A24</f>
        <v xml:space="preserve"> 3.1.2</v>
      </c>
      <c r="B73" s="270" t="str">
        <f>'Orçamento Sintético'!D24</f>
        <v>PREPARO DE FUNDO DE VALA COM LARGURA MENOR QUE 1,5 M (ACERTO DO SOLO NATURAL). AF_08/2020</v>
      </c>
      <c r="C73" s="271"/>
      <c r="D73" s="271"/>
      <c r="E73" s="272"/>
      <c r="I73" s="5"/>
    </row>
    <row r="74" spans="1:9" x14ac:dyDescent="0.2">
      <c r="A74" s="3"/>
      <c r="B74" s="91" t="s">
        <v>260</v>
      </c>
      <c r="C74" s="91" t="s">
        <v>8</v>
      </c>
      <c r="D74" s="91" t="s">
        <v>266</v>
      </c>
      <c r="E74" s="91" t="s">
        <v>261</v>
      </c>
      <c r="F74" s="91" t="s">
        <v>262</v>
      </c>
      <c r="G74" s="91" t="s">
        <v>263</v>
      </c>
      <c r="H74" s="91" t="s">
        <v>11</v>
      </c>
      <c r="I74" s="5"/>
    </row>
    <row r="75" spans="1:9" x14ac:dyDescent="0.2">
      <c r="A75" s="3"/>
      <c r="B75" s="23" t="s">
        <v>555</v>
      </c>
      <c r="C75" s="7"/>
      <c r="D75" s="7"/>
      <c r="E75" s="7"/>
      <c r="F75" s="7"/>
      <c r="G75" s="7"/>
      <c r="H75" s="8"/>
      <c r="I75" s="5"/>
    </row>
    <row r="76" spans="1:9" x14ac:dyDescent="0.2">
      <c r="A76" s="3"/>
      <c r="B76" s="6" t="s">
        <v>278</v>
      </c>
      <c r="C76" s="161">
        <v>5</v>
      </c>
      <c r="D76" s="161"/>
      <c r="E76" s="161">
        <f>0.75+0.2+0.2</f>
        <v>1.1499999999999999</v>
      </c>
      <c r="F76" s="161">
        <f>0.75+0.2+0.2</f>
        <v>1.1499999999999999</v>
      </c>
      <c r="G76" s="150"/>
      <c r="H76" s="8">
        <f>ROUND(IF(PRODUCT(IF(C76=0,1,C76),IF(D76=0,1,D76),IF(E76=0,1,E76),IF(F76=0,1,F76),IF(G76=0,1,G76))=1,0,PRODUCT(IF(C76=0,1,C76),IF(D76=0,1,D76),IF(E76=0,1,E76),IF(F76=0,1,F76),IF(G76=0,1,G76))),2)</f>
        <v>6.61</v>
      </c>
      <c r="I76" s="5"/>
    </row>
    <row r="77" spans="1:9" x14ac:dyDescent="0.2">
      <c r="A77" s="3"/>
      <c r="B77" s="6" t="s">
        <v>573</v>
      </c>
      <c r="C77" s="161">
        <v>1</v>
      </c>
      <c r="D77" s="161"/>
      <c r="E77" s="161">
        <f>0.8+0.2+0.2</f>
        <v>1.2</v>
      </c>
      <c r="F77" s="161">
        <f>0.8+0.2+0.2</f>
        <v>1.2</v>
      </c>
      <c r="G77" s="150"/>
      <c r="H77" s="8">
        <f>ROUND(IF(PRODUCT(IF(C77=0,1,C77),IF(D77=0,1,D77),IF(E77=0,1,E77),IF(F77=0,1,F77),IF(G77=0,1,G77))=1,0,PRODUCT(IF(C77=0,1,C77),IF(D77=0,1,D77),IF(E77=0,1,E77),IF(F77=0,1,F77),IF(G77=0,1,G77))),2)</f>
        <v>1.44</v>
      </c>
      <c r="I77" s="5"/>
    </row>
    <row r="78" spans="1:9" x14ac:dyDescent="0.2">
      <c r="A78" s="3"/>
      <c r="B78" s="6" t="s">
        <v>437</v>
      </c>
      <c r="C78" s="161">
        <v>2</v>
      </c>
      <c r="D78" s="161"/>
      <c r="E78" s="161">
        <f>0.85+0.2+0.2</f>
        <v>1.25</v>
      </c>
      <c r="F78" s="161">
        <f>0.85+0.2+0.2</f>
        <v>1.25</v>
      </c>
      <c r="G78" s="150"/>
      <c r="H78" s="8">
        <f>ROUND(IF(PRODUCT(IF(C78=0,1,C78),IF(D78=0,1,D78),IF(E78=0,1,E78),IF(F78=0,1,F78),IF(G78=0,1,G78))=1,0,PRODUCT(IF(C78=0,1,C78),IF(D78=0,1,D78),IF(E78=0,1,E78),IF(F78=0,1,F78),IF(G78=0,1,G78))),2)</f>
        <v>3.13</v>
      </c>
      <c r="I78" s="5"/>
    </row>
    <row r="79" spans="1:9" x14ac:dyDescent="0.2">
      <c r="A79" s="3"/>
      <c r="B79" s="6"/>
      <c r="C79" s="7"/>
      <c r="D79" s="7"/>
      <c r="E79" s="7"/>
      <c r="F79" s="7"/>
      <c r="G79" s="7"/>
      <c r="H79" s="8">
        <f>ROUND(IF(PRODUCT(IF(C79=0,1,C79),IF(E79=0,1,E79),IF(F79=0,1,F79),IF(G79=0,1,G79))=1,0,PRODUCT(IF(C79=0,1,C79),IF(E79=0,1,E79),IF(F79=0,1,F79),IF(G79=0,1,G79))),2)</f>
        <v>0</v>
      </c>
      <c r="I79" s="5"/>
    </row>
    <row r="80" spans="1:9" x14ac:dyDescent="0.2">
      <c r="A80" s="3"/>
      <c r="C80" s="10"/>
      <c r="D80" s="10"/>
      <c r="E80" s="9"/>
      <c r="F80" s="94" t="s">
        <v>11</v>
      </c>
      <c r="G80" s="95" t="s">
        <v>264</v>
      </c>
      <c r="H80" s="11">
        <f>SUM(H76:H78)</f>
        <v>11.18</v>
      </c>
      <c r="I80" s="12" t="s">
        <v>17</v>
      </c>
    </row>
    <row r="81" spans="1:9" ht="15.6" customHeight="1" x14ac:dyDescent="0.2">
      <c r="A81" s="3" t="str">
        <f>'Orçamento Sintético'!A25</f>
        <v xml:space="preserve"> 3.1.3</v>
      </c>
      <c r="B81" s="270" t="str">
        <f>'Orçamento Sintético'!D25</f>
        <v>LASTRO DE CONCRETO MAGRO, APLICADO EM BLOCOS DE COROAMENTO OU SAPATAS, ESPESSURA DE 5 CM. AF_01/2024</v>
      </c>
      <c r="C81" s="271"/>
      <c r="D81" s="271"/>
      <c r="E81" s="272"/>
      <c r="I81" s="5"/>
    </row>
    <row r="82" spans="1:9" x14ac:dyDescent="0.2">
      <c r="A82" s="3"/>
      <c r="B82" s="91" t="s">
        <v>260</v>
      </c>
      <c r="C82" s="91" t="s">
        <v>8</v>
      </c>
      <c r="D82" s="91" t="s">
        <v>266</v>
      </c>
      <c r="E82" s="91" t="s">
        <v>261</v>
      </c>
      <c r="F82" s="91" t="s">
        <v>262</v>
      </c>
      <c r="G82" s="91" t="s">
        <v>263</v>
      </c>
      <c r="H82" s="91" t="s">
        <v>11</v>
      </c>
      <c r="I82" s="5"/>
    </row>
    <row r="83" spans="1:9" x14ac:dyDescent="0.2">
      <c r="A83" s="3"/>
      <c r="B83" s="6"/>
      <c r="C83" s="7"/>
      <c r="D83" s="7">
        <f>H80</f>
        <v>11.18</v>
      </c>
      <c r="E83" s="7"/>
      <c r="F83" s="7"/>
      <c r="G83" s="7"/>
      <c r="H83" s="8">
        <f>ROUND(IF(PRODUCT(IF(C83=0,1,C83),IF(D83=0,1,D83),IF(E83=0,1,E83),IF(F83=0,1,F83),IF(G83=0,1,G83))=1,0,PRODUCT(IF(C83=0,1,C83),IF(D83=0,1,D83),IF(E83=0,1,E83),IF(F83=0,1,F83),IF(G83=0,1,G83))),2)</f>
        <v>11.18</v>
      </c>
      <c r="I83" s="5"/>
    </row>
    <row r="84" spans="1:9" x14ac:dyDescent="0.2">
      <c r="A84" s="3"/>
      <c r="B84" s="6"/>
      <c r="C84" s="7"/>
      <c r="D84" s="7"/>
      <c r="E84" s="7"/>
      <c r="F84" s="7"/>
      <c r="G84" s="7"/>
      <c r="H84" s="8">
        <f>ROUND(IF(PRODUCT(IF(C84=0,1,C84),IF(E84=0,1,E84),IF(F84=0,1,F84),IF(G84=0,1,G84))=1,0,PRODUCT(IF(C84=0,1,C84),IF(E84=0,1,E84),IF(F84=0,1,F84),IF(G84=0,1,G84))),2)</f>
        <v>0</v>
      </c>
      <c r="I84" s="5"/>
    </row>
    <row r="85" spans="1:9" x14ac:dyDescent="0.2">
      <c r="A85" s="3"/>
      <c r="C85" s="10"/>
      <c r="D85" s="10"/>
      <c r="E85" s="9"/>
      <c r="F85" s="94" t="s">
        <v>11</v>
      </c>
      <c r="G85" s="95" t="s">
        <v>264</v>
      </c>
      <c r="H85" s="11">
        <f>SUM(H83:H83)</f>
        <v>11.18</v>
      </c>
      <c r="I85" s="12" t="s">
        <v>17</v>
      </c>
    </row>
    <row r="86" spans="1:9" ht="22.15" customHeight="1" x14ac:dyDescent="0.2">
      <c r="A86" s="3" t="str">
        <f>'Orçamento Sintético'!A26</f>
        <v xml:space="preserve"> 3.1.4</v>
      </c>
      <c r="B86" s="270" t="str">
        <f>'Orçamento Sintético'!D26</f>
        <v>FABRICAÇÃO, MONTAGEM E DESMONTAGEM DE FÔRMA PARA SAPATA, EM MADEIRA SERRADA, E=25 MM, 4UTILIZAÇÕES. AF_01/2024</v>
      </c>
      <c r="C86" s="271"/>
      <c r="D86" s="271"/>
      <c r="E86" s="272"/>
      <c r="I86" s="5"/>
    </row>
    <row r="87" spans="1:9" x14ac:dyDescent="0.2">
      <c r="A87" s="3"/>
      <c r="B87" s="91" t="s">
        <v>260</v>
      </c>
      <c r="C87" s="91" t="s">
        <v>8</v>
      </c>
      <c r="D87" s="91" t="s">
        <v>266</v>
      </c>
      <c r="E87" s="91" t="s">
        <v>261</v>
      </c>
      <c r="F87" s="91" t="s">
        <v>262</v>
      </c>
      <c r="G87" s="91" t="s">
        <v>263</v>
      </c>
      <c r="H87" s="91" t="s">
        <v>11</v>
      </c>
      <c r="I87" s="5"/>
    </row>
    <row r="88" spans="1:9" x14ac:dyDescent="0.2">
      <c r="A88" s="3"/>
      <c r="B88" s="6"/>
      <c r="C88" s="7"/>
      <c r="D88" s="7">
        <v>7.5</v>
      </c>
      <c r="E88" s="7"/>
      <c r="F88" s="7"/>
      <c r="G88" s="7"/>
      <c r="H88" s="8">
        <f>ROUND(IF(PRODUCT(IF(C88=0,1,C88),IF(D88=0,1,D88),IF(E88=0,1,E88),IF(F88=0,1,F88),IF(G88=0,1,G88))=1,0,PRODUCT(IF(C88=0,1,C88),IF(D88=0,1,D88),IF(E88=0,1,E88),IF(F88=0,1,F88),IF(G88=0,1,G88))),2)</f>
        <v>7.5</v>
      </c>
      <c r="I88" s="5"/>
    </row>
    <row r="89" spans="1:9" x14ac:dyDescent="0.2">
      <c r="A89" s="3"/>
      <c r="B89" s="6"/>
      <c r="C89" s="7"/>
      <c r="D89" s="7"/>
      <c r="E89" s="7"/>
      <c r="F89" s="7"/>
      <c r="G89" s="7"/>
      <c r="H89" s="8">
        <f>ROUND(IF(PRODUCT(IF(C89=0,1,C89),IF(E89=0,1,E89),IF(F89=0,1,F89),IF(G89=0,1,G89))=1,0,PRODUCT(IF(C89=0,1,C89),IF(E89=0,1,E89),IF(F89=0,1,F89),IF(G89=0,1,G89))),2)</f>
        <v>0</v>
      </c>
      <c r="I89" s="5"/>
    </row>
    <row r="90" spans="1:9" x14ac:dyDescent="0.2">
      <c r="A90" s="3"/>
      <c r="C90" s="10"/>
      <c r="D90" s="10"/>
      <c r="E90" s="9"/>
      <c r="F90" s="94" t="s">
        <v>11</v>
      </c>
      <c r="G90" s="95" t="s">
        <v>264</v>
      </c>
      <c r="H90" s="11">
        <f>SUM(H88:H88)</f>
        <v>7.5</v>
      </c>
      <c r="I90" s="12" t="s">
        <v>17</v>
      </c>
    </row>
    <row r="91" spans="1:9" ht="22.9" customHeight="1" x14ac:dyDescent="0.2">
      <c r="A91" s="3" t="str">
        <f>'Orçamento Sintético'!A27</f>
        <v xml:space="preserve"> 3.1.5</v>
      </c>
      <c r="B91" s="270" t="str">
        <f>'Orçamento Sintético'!D27</f>
        <v>ARMAÇÃO DE SAPATA ISOLADA, VIGA BALDRAME E SAPATA CORRIDA UTILIZANDO AÇO CA-50 DE 10 MM - MONTAGEM. AF_01/2024</v>
      </c>
      <c r="C91" s="271"/>
      <c r="D91" s="271"/>
      <c r="E91" s="272"/>
      <c r="I91" s="5"/>
    </row>
    <row r="92" spans="1:9" x14ac:dyDescent="0.2">
      <c r="A92" s="3"/>
      <c r="B92" s="91" t="s">
        <v>260</v>
      </c>
      <c r="C92" s="91" t="s">
        <v>8</v>
      </c>
      <c r="D92" s="91" t="s">
        <v>676</v>
      </c>
      <c r="E92" s="91" t="s">
        <v>261</v>
      </c>
      <c r="F92" s="91" t="s">
        <v>262</v>
      </c>
      <c r="G92" s="91" t="s">
        <v>263</v>
      </c>
      <c r="H92" s="91" t="s">
        <v>11</v>
      </c>
      <c r="I92" s="5"/>
    </row>
    <row r="93" spans="1:9" x14ac:dyDescent="0.2">
      <c r="A93" s="3"/>
      <c r="B93" s="6"/>
      <c r="C93" s="7"/>
      <c r="D93" s="7">
        <v>96</v>
      </c>
      <c r="E93" s="7"/>
      <c r="F93" s="7"/>
      <c r="G93" s="7"/>
      <c r="H93" s="8">
        <f>ROUND(IF(PRODUCT(IF(C93=0,1,C93),IF(D93=0,1,D93),IF(E93=0,1,E93),IF(F93=0,1,F93),IF(G93=0,1,G93))=1,0,PRODUCT(IF(C93=0,1,C93),IF(D93=0,1,D93),IF(E93=0,1,E93),IF(F93=0,1,F93),IF(G93=0,1,G93))),2)</f>
        <v>96</v>
      </c>
      <c r="I93" s="5"/>
    </row>
    <row r="94" spans="1:9" x14ac:dyDescent="0.2">
      <c r="A94" s="3"/>
      <c r="B94" s="6"/>
      <c r="C94" s="7"/>
      <c r="D94" s="7"/>
      <c r="E94" s="7"/>
      <c r="F94" s="7"/>
      <c r="G94" s="7"/>
      <c r="H94" s="8">
        <f>ROUND(IF(PRODUCT(IF(C94=0,1,C94),IF(E94=0,1,E94),IF(F94=0,1,F94),IF(G94=0,1,G94))=1,0,PRODUCT(IF(C94=0,1,C94),IF(E94=0,1,E94),IF(F94=0,1,F94),IF(G94=0,1,G94))),2)</f>
        <v>0</v>
      </c>
      <c r="I94" s="5"/>
    </row>
    <row r="95" spans="1:9" x14ac:dyDescent="0.2">
      <c r="A95" s="3"/>
      <c r="C95" s="10"/>
      <c r="D95" s="10"/>
      <c r="E95" s="9"/>
      <c r="F95" s="94" t="s">
        <v>11</v>
      </c>
      <c r="G95" s="95" t="s">
        <v>264</v>
      </c>
      <c r="H95" s="11">
        <f>SUM(H93:H93)</f>
        <v>96</v>
      </c>
      <c r="I95" s="12" t="s">
        <v>299</v>
      </c>
    </row>
    <row r="96" spans="1:9" ht="21.6" customHeight="1" x14ac:dyDescent="0.2">
      <c r="A96" s="3" t="str">
        <f>'Orçamento Sintético'!A28</f>
        <v xml:space="preserve"> 3.1.6</v>
      </c>
      <c r="B96" s="270" t="str">
        <f>'Orçamento Sintético'!D28</f>
        <v>ARMAÇÃO DE SAPATA ISOLADA, VIGA BALDRAME E SAPATA CORRIDA UTILIZANDO AÇO CA-60 DE 5 MM - MONTAGEM. AF_01/2024</v>
      </c>
      <c r="C96" s="271"/>
      <c r="D96" s="271"/>
      <c r="E96" s="272"/>
      <c r="I96" s="5"/>
    </row>
    <row r="97" spans="1:10" x14ac:dyDescent="0.2">
      <c r="A97" s="3"/>
      <c r="B97" s="91" t="s">
        <v>260</v>
      </c>
      <c r="C97" s="91" t="s">
        <v>8</v>
      </c>
      <c r="D97" s="91" t="s">
        <v>676</v>
      </c>
      <c r="E97" s="91" t="s">
        <v>261</v>
      </c>
      <c r="F97" s="91" t="s">
        <v>262</v>
      </c>
      <c r="G97" s="91" t="s">
        <v>263</v>
      </c>
      <c r="H97" s="91" t="s">
        <v>11</v>
      </c>
      <c r="I97" s="5"/>
    </row>
    <row r="98" spans="1:10" x14ac:dyDescent="0.2">
      <c r="A98" s="3"/>
      <c r="B98" s="6"/>
      <c r="C98" s="7"/>
      <c r="D98" s="7">
        <v>3</v>
      </c>
      <c r="E98" s="7"/>
      <c r="F98" s="7"/>
      <c r="G98" s="7"/>
      <c r="H98" s="8">
        <f>ROUND(IF(PRODUCT(IF(C98=0,1,C98),IF(D98=0,1,D98),IF(E98=0,1,E98),IF(F98=0,1,F98),IF(G98=0,1,G98))=1,0,PRODUCT(IF(C98=0,1,C98),IF(D98=0,1,D98),IF(E98=0,1,E98),IF(F98=0,1,F98),IF(G98=0,1,G98))),2)</f>
        <v>3</v>
      </c>
      <c r="I98" s="5"/>
    </row>
    <row r="99" spans="1:10" x14ac:dyDescent="0.2">
      <c r="A99" s="3"/>
      <c r="B99" s="6"/>
      <c r="C99" s="7"/>
      <c r="D99" s="7"/>
      <c r="E99" s="7"/>
      <c r="F99" s="7"/>
      <c r="G99" s="7"/>
      <c r="H99" s="8">
        <f>ROUND(IF(PRODUCT(IF(C99=0,1,C99),IF(E99=0,1,E99),IF(F99=0,1,F99),IF(G99=0,1,G99))=1,0,PRODUCT(IF(C99=0,1,C99),IF(E99=0,1,E99),IF(F99=0,1,F99),IF(G99=0,1,G99))),2)</f>
        <v>0</v>
      </c>
      <c r="I99" s="5"/>
    </row>
    <row r="100" spans="1:10" x14ac:dyDescent="0.2">
      <c r="A100" s="3"/>
      <c r="C100" s="10"/>
      <c r="D100" s="10"/>
      <c r="E100" s="9"/>
      <c r="F100" s="94" t="s">
        <v>11</v>
      </c>
      <c r="G100" s="95" t="s">
        <v>264</v>
      </c>
      <c r="H100" s="11">
        <f>SUM(H98:H98)</f>
        <v>3</v>
      </c>
      <c r="I100" s="12" t="s">
        <v>299</v>
      </c>
    </row>
    <row r="101" spans="1:10" ht="24.75" customHeight="1" x14ac:dyDescent="0.2">
      <c r="A101" s="3" t="str">
        <f>'Orçamento Sintético'!A29</f>
        <v xml:space="preserve"> 3.1.7</v>
      </c>
      <c r="B101" s="270" t="str">
        <f>'Orçamento Sintético'!D29</f>
        <v>CONCRETAGEM DE SAPATA, FCK 30 MPA, COM USO DE BOMBA - LANÇAMENTO, ADENSAMENTO E ACABAMENTO. AF_01/2024</v>
      </c>
      <c r="C101" s="271"/>
      <c r="D101" s="271"/>
      <c r="E101" s="272"/>
      <c r="I101" s="5"/>
    </row>
    <row r="102" spans="1:10" x14ac:dyDescent="0.2">
      <c r="A102" s="3"/>
      <c r="B102" s="91" t="s">
        <v>260</v>
      </c>
      <c r="C102" s="91" t="s">
        <v>8</v>
      </c>
      <c r="D102" s="91" t="s">
        <v>266</v>
      </c>
      <c r="E102" s="91" t="s">
        <v>261</v>
      </c>
      <c r="F102" s="91" t="s">
        <v>262</v>
      </c>
      <c r="G102" s="91" t="s">
        <v>263</v>
      </c>
      <c r="H102" s="91" t="s">
        <v>11</v>
      </c>
      <c r="I102" s="5"/>
    </row>
    <row r="103" spans="1:10" x14ac:dyDescent="0.2">
      <c r="A103" s="3"/>
      <c r="B103" s="23" t="s">
        <v>555</v>
      </c>
      <c r="C103" s="7"/>
      <c r="D103" s="7"/>
      <c r="E103" s="7"/>
      <c r="F103" s="7"/>
      <c r="G103" s="7"/>
      <c r="H103" s="8"/>
      <c r="I103" s="5"/>
    </row>
    <row r="104" spans="1:10" x14ac:dyDescent="0.2">
      <c r="A104" s="3"/>
      <c r="B104" s="6" t="s">
        <v>278</v>
      </c>
      <c r="C104" s="161">
        <v>5</v>
      </c>
      <c r="D104" s="161"/>
      <c r="E104" s="161">
        <v>0.75</v>
      </c>
      <c r="F104" s="161">
        <v>0.75</v>
      </c>
      <c r="G104" s="161">
        <v>0.3</v>
      </c>
      <c r="H104" s="8">
        <f>ROUND(IF(PRODUCT(IF(C104=0,1,C104),IF(D104=0,1,D104),IF(E104=0,1,E104),IF(F104=0,1,F104),IF(G104=0,1,G104))=1,0,PRODUCT(IF(C104=0,1,C104),IF(D104=0,1,D104),IF(E104=0,1,E104),IF(F104=0,1,F104),IF(G104=0,1,G104))),2)</f>
        <v>0.84</v>
      </c>
      <c r="I104" s="5"/>
    </row>
    <row r="105" spans="1:10" x14ac:dyDescent="0.2">
      <c r="A105" s="3"/>
      <c r="B105" s="6" t="s">
        <v>573</v>
      </c>
      <c r="C105" s="161">
        <v>1</v>
      </c>
      <c r="D105" s="161"/>
      <c r="E105" s="161">
        <f>0.8</f>
        <v>0.8</v>
      </c>
      <c r="F105" s="161">
        <f>0.8</f>
        <v>0.8</v>
      </c>
      <c r="G105" s="161">
        <v>0.3</v>
      </c>
      <c r="H105" s="8">
        <f>ROUND(IF(PRODUCT(IF(C105=0,1,C105),IF(D105=0,1,D105),IF(E105=0,1,E105),IF(F105=0,1,F105),IF(G105=0,1,G105))=1,0,PRODUCT(IF(C105=0,1,C105),IF(D105=0,1,D105),IF(E105=0,1,E105),IF(F105=0,1,F105),IF(G105=0,1,G105))),2)</f>
        <v>0.19</v>
      </c>
      <c r="I105" s="5"/>
    </row>
    <row r="106" spans="1:10" x14ac:dyDescent="0.2">
      <c r="A106" s="3"/>
      <c r="B106" s="6" t="s">
        <v>437</v>
      </c>
      <c r="C106" s="161">
        <v>2</v>
      </c>
      <c r="D106" s="161"/>
      <c r="E106" s="161">
        <f>0.85</f>
        <v>0.85</v>
      </c>
      <c r="F106" s="161">
        <f>0.85</f>
        <v>0.85</v>
      </c>
      <c r="G106" s="161">
        <v>0.3</v>
      </c>
      <c r="H106" s="8">
        <f>ROUND(IF(PRODUCT(IF(C106=0,1,C106),IF(D106=0,1,D106),IF(E106=0,1,E106),IF(F106=0,1,F106),IF(G106=0,1,G106))=1,0,PRODUCT(IF(C106=0,1,C106),IF(D106=0,1,D106),IF(E106=0,1,E106),IF(F106=0,1,F106),IF(G106=0,1,G106))),2)</f>
        <v>0.43</v>
      </c>
      <c r="I106" s="5"/>
    </row>
    <row r="107" spans="1:10" x14ac:dyDescent="0.2">
      <c r="A107" s="3"/>
      <c r="B107" s="6"/>
      <c r="C107" s="7"/>
      <c r="D107" s="7"/>
      <c r="E107" s="7"/>
      <c r="F107" s="7"/>
      <c r="G107" s="7"/>
      <c r="H107" s="8">
        <f>ROUND(IF(PRODUCT(IF(C107=0,1,C107),IF(E107=0,1,E107),IF(F107=0,1,F107),IF(G107=0,1,G107))=1,0,PRODUCT(IF(C107=0,1,C107),IF(E107=0,1,E107),IF(F107=0,1,F107),IF(G107=0,1,G107))),2)</f>
        <v>0</v>
      </c>
      <c r="I107" s="5"/>
    </row>
    <row r="108" spans="1:10" x14ac:dyDescent="0.2">
      <c r="A108" s="3"/>
      <c r="C108" s="10"/>
      <c r="D108" s="10"/>
      <c r="E108" s="9"/>
      <c r="F108" s="94" t="s">
        <v>11</v>
      </c>
      <c r="G108" s="95" t="s">
        <v>264</v>
      </c>
      <c r="H108" s="11">
        <f>SUM(H104:H106)</f>
        <v>1.46</v>
      </c>
      <c r="I108" s="12" t="s">
        <v>24</v>
      </c>
    </row>
    <row r="109" spans="1:10" x14ac:dyDescent="0.2">
      <c r="A109" s="3" t="str">
        <f>'Orçamento Sintético'!A30</f>
        <v xml:space="preserve"> 3.1.8</v>
      </c>
      <c r="B109" s="270" t="str">
        <f>'Orçamento Sintético'!D30</f>
        <v>REATERRO MANUAL DE VALAS, COM PLACA VIBRATÓRIA. AF_08/2023</v>
      </c>
      <c r="C109" s="271"/>
      <c r="D109" s="271"/>
      <c r="E109" s="272"/>
      <c r="I109" s="5"/>
    </row>
    <row r="110" spans="1:10" x14ac:dyDescent="0.2">
      <c r="A110" s="3"/>
      <c r="B110" s="91" t="s">
        <v>260</v>
      </c>
      <c r="C110" s="91" t="s">
        <v>8</v>
      </c>
      <c r="D110" s="91" t="s">
        <v>266</v>
      </c>
      <c r="E110" s="91" t="s">
        <v>261</v>
      </c>
      <c r="F110" s="91" t="s">
        <v>262</v>
      </c>
      <c r="G110" s="91" t="s">
        <v>263</v>
      </c>
      <c r="H110" s="91" t="s">
        <v>11</v>
      </c>
      <c r="I110" s="5"/>
    </row>
    <row r="111" spans="1:10" x14ac:dyDescent="0.2">
      <c r="A111" s="3"/>
      <c r="B111" s="6" t="s">
        <v>279</v>
      </c>
      <c r="C111" s="15">
        <f>H72</f>
        <v>17.32</v>
      </c>
      <c r="D111" s="15"/>
      <c r="E111" s="15"/>
      <c r="F111" s="15"/>
      <c r="G111" s="7"/>
      <c r="H111" s="8">
        <f>ROUND(IF(PRODUCT(IF(C111=0,1,C111),IF(D111=0,1,D111),IF(E111=0,1,E111),IF(F111=0,1,F111),IF(G111=0,1,G111))=1,0,PRODUCT(IF(C111=0,1,C111),IF(D111=0,1,D111),IF(E111=0,1,E111),IF(F111=0,1,F111),IF(G111=0,1,G111))),2)</f>
        <v>17.32</v>
      </c>
      <c r="I111" s="5"/>
    </row>
    <row r="112" spans="1:10" x14ac:dyDescent="0.2">
      <c r="A112" s="3"/>
      <c r="B112" s="16" t="s">
        <v>280</v>
      </c>
      <c r="C112" s="17">
        <f>H85*0.05</f>
        <v>0.55900000000000005</v>
      </c>
      <c r="D112" s="15"/>
      <c r="E112" s="15"/>
      <c r="F112" s="15"/>
      <c r="G112" s="7"/>
      <c r="H112" s="17">
        <f>-ROUND(IF(PRODUCT(IF(C112=0,1,C112),IF(D112=0,1,D112),IF(E112=0,1,E112),IF(F112=0,1,F112),IF(G112=0,1,G112))=1,0,PRODUCT(IF(C112=0,1,C112),IF(D112=0,1,D112),IF(E112=0,1,E112),IF(F112=0,1,F112),IF(G112=0,1,G112))),2)</f>
        <v>-0.56000000000000005</v>
      </c>
      <c r="I112" s="5"/>
      <c r="J112" s="19"/>
    </row>
    <row r="113" spans="1:10" x14ac:dyDescent="0.2">
      <c r="A113" s="3"/>
      <c r="B113" s="16" t="s">
        <v>281</v>
      </c>
      <c r="C113" s="17">
        <f>H108</f>
        <v>1.46</v>
      </c>
      <c r="D113" s="15"/>
      <c r="E113" s="15"/>
      <c r="F113" s="15"/>
      <c r="G113" s="7"/>
      <c r="H113" s="17">
        <f>-ROUND(IF(PRODUCT(IF(C113=0,1,C113),IF(D113=0,1,D113),IF(E113=0,1,E113),IF(F113=0,1,F113),IF(G113=0,1,G113))=1,0,PRODUCT(IF(C113=0,1,C113),IF(D113=0,1,D113),IF(E113=0,1,E113),IF(F113=0,1,F113),IF(G113=0,1,G113))),2)</f>
        <v>-1.46</v>
      </c>
      <c r="I113" s="5"/>
    </row>
    <row r="114" spans="1:10" ht="25.5" x14ac:dyDescent="0.2">
      <c r="A114" s="3"/>
      <c r="B114" s="18" t="s">
        <v>556</v>
      </c>
      <c r="C114" s="17">
        <v>8</v>
      </c>
      <c r="D114" s="17"/>
      <c r="E114" s="17">
        <v>0.25</v>
      </c>
      <c r="F114" s="17">
        <v>0.15</v>
      </c>
      <c r="G114" s="17">
        <v>1.2</v>
      </c>
      <c r="H114" s="17">
        <f>-ROUND(IF(PRODUCT(IF(C114=0,1,C114),IF(D114=0,1,D114),IF(E114=0,1,E114),IF(F114=0,1,F114),IF(G114=0,1,G114))=1,0,PRODUCT(IF(C114=0,1,C114),IF(D114=0,1,D114),IF(E114=0,1,E114),IF(F114=0,1,F114),IF(G114=0,1,G114))),2)</f>
        <v>-0.36</v>
      </c>
      <c r="I114" s="5"/>
    </row>
    <row r="115" spans="1:10" x14ac:dyDescent="0.2">
      <c r="A115" s="3"/>
      <c r="B115" s="6"/>
      <c r="C115" s="7"/>
      <c r="D115" s="7"/>
      <c r="E115" s="7"/>
      <c r="F115" s="7"/>
      <c r="G115" s="7"/>
      <c r="H115" s="8">
        <f>ROUND(IF(PRODUCT(IF(C115=0,1,C115),IF(E115=0,1,E115),IF(F115=0,1,F115),IF(G115=0,1,G115))=1,0,PRODUCT(IF(C115=0,1,C115),IF(E115=0,1,E115),IF(F115=0,1,F115),IF(G115=0,1,G115))),2)</f>
        <v>0</v>
      </c>
      <c r="I115" s="5"/>
    </row>
    <row r="116" spans="1:10" x14ac:dyDescent="0.2">
      <c r="A116" s="3"/>
      <c r="C116" s="10"/>
      <c r="D116" s="10"/>
      <c r="E116" s="9"/>
      <c r="F116" s="94" t="s">
        <v>11</v>
      </c>
      <c r="G116" s="95" t="s">
        <v>264</v>
      </c>
      <c r="H116" s="11">
        <f>SUM(H111:H114)</f>
        <v>14.940000000000001</v>
      </c>
      <c r="I116" s="12" t="s">
        <v>24</v>
      </c>
    </row>
    <row r="117" spans="1:10" x14ac:dyDescent="0.2">
      <c r="A117" s="96" t="str">
        <f>'Orçamento Sintético'!A31</f>
        <v xml:space="preserve"> 3.2 </v>
      </c>
      <c r="B117" s="97" t="str">
        <f>'Orçamento Sintético'!D31</f>
        <v>VIGAS BALDRAMES</v>
      </c>
      <c r="C117" s="273"/>
      <c r="D117" s="274"/>
      <c r="E117" s="274"/>
      <c r="F117" s="274"/>
      <c r="G117" s="274"/>
      <c r="H117" s="274"/>
      <c r="I117" s="275"/>
    </row>
    <row r="118" spans="1:10" ht="14.25" customHeight="1" x14ac:dyDescent="0.2">
      <c r="A118" s="3" t="str">
        <f>'Orçamento Sintético'!A32</f>
        <v xml:space="preserve"> 3.2.1 </v>
      </c>
      <c r="B118" s="270" t="str">
        <f>'Orçamento Sintético'!D32</f>
        <v>ESCAVAÇÃO MANUAL DE VALA. AF_09/2024</v>
      </c>
      <c r="C118" s="271"/>
      <c r="D118" s="271"/>
      <c r="E118" s="272"/>
      <c r="I118" s="21"/>
    </row>
    <row r="119" spans="1:10" x14ac:dyDescent="0.2">
      <c r="A119" s="3"/>
      <c r="B119" s="91" t="s">
        <v>260</v>
      </c>
      <c r="C119" s="91" t="s">
        <v>8</v>
      </c>
      <c r="D119" s="91" t="s">
        <v>266</v>
      </c>
      <c r="E119" s="91" t="s">
        <v>261</v>
      </c>
      <c r="F119" s="91" t="s">
        <v>262</v>
      </c>
      <c r="G119" s="91" t="s">
        <v>263</v>
      </c>
      <c r="H119" s="91" t="s">
        <v>11</v>
      </c>
      <c r="I119" s="5"/>
      <c r="J119" s="20"/>
    </row>
    <row r="120" spans="1:10" x14ac:dyDescent="0.2">
      <c r="A120" s="3"/>
      <c r="B120" s="23" t="s">
        <v>555</v>
      </c>
      <c r="C120" s="7"/>
      <c r="D120" s="7"/>
      <c r="E120" s="7"/>
      <c r="F120" s="7"/>
      <c r="G120" s="7"/>
      <c r="H120" s="8"/>
      <c r="I120" s="5"/>
    </row>
    <row r="121" spans="1:10" x14ac:dyDescent="0.2">
      <c r="A121" s="3"/>
      <c r="B121" s="6" t="s">
        <v>282</v>
      </c>
      <c r="C121" s="7"/>
      <c r="D121" s="7"/>
      <c r="E121" s="161">
        <f>2.95+3.8+1.5+3.78+2.95+3.78+1.5+3.8+2.95+2.95+1.5</f>
        <v>31.46</v>
      </c>
      <c r="F121" s="161">
        <f>0.15+0.2+0.2</f>
        <v>0.55000000000000004</v>
      </c>
      <c r="G121" s="161">
        <f>0.3+0.05</f>
        <v>0.35</v>
      </c>
      <c r="H121" s="8">
        <f>ROUND(IF(PRODUCT(IF(C121=0,1,C121),IF(D121=0,1,D121),IF(E121=0,1,E121),IF(F121=0,1,F121),IF(G121=0,1,G121))=1,0,PRODUCT(IF(C121=0,1,C121),IF(D121=0,1,D121),IF(E121=0,1,E121),IF(F121=0,1,F121),IF(G121=0,1,G121))),2)</f>
        <v>6.06</v>
      </c>
      <c r="I121" s="5"/>
      <c r="J121" s="20"/>
    </row>
    <row r="122" spans="1:10" x14ac:dyDescent="0.2">
      <c r="A122" s="3"/>
      <c r="B122" s="6"/>
      <c r="C122" s="7"/>
      <c r="D122" s="7"/>
      <c r="E122" s="7"/>
      <c r="F122" s="7"/>
      <c r="G122" s="7"/>
      <c r="H122" s="8">
        <f>ROUND(IF(PRODUCT(IF(C122=0,1,C122),IF(E122=0,1,E122),IF(F122=0,1,F122),IF(G122=0,1,G122))=1,0,PRODUCT(IF(C122=0,1,C122),IF(E122=0,1,E122),IF(F122=0,1,F122),IF(G122=0,1,G122))),2)</f>
        <v>0</v>
      </c>
      <c r="I122" s="22"/>
    </row>
    <row r="123" spans="1:10" x14ac:dyDescent="0.2">
      <c r="A123" s="3"/>
      <c r="C123" s="10"/>
      <c r="D123" s="10"/>
      <c r="E123" s="9"/>
      <c r="F123" s="94" t="s">
        <v>11</v>
      </c>
      <c r="G123" s="95" t="s">
        <v>264</v>
      </c>
      <c r="H123" s="11">
        <f>SUM(H121:H121)</f>
        <v>6.06</v>
      </c>
      <c r="I123" s="12" t="s">
        <v>24</v>
      </c>
    </row>
    <row r="124" spans="1:10" x14ac:dyDescent="0.2">
      <c r="A124" s="3" t="str">
        <f>'Orçamento Sintético'!A33</f>
        <v xml:space="preserve"> 3.2.2 </v>
      </c>
      <c r="B124" s="270" t="str">
        <f>'Orçamento Sintético'!D33</f>
        <v>PREPARO DE FUNDO DE VALA COM LARGURA MENOR QUE 1,5 M (ACERTO DO SOLO NATURAL). AF_08/2020</v>
      </c>
      <c r="C124" s="271"/>
      <c r="D124" s="271"/>
      <c r="E124" s="272"/>
      <c r="I124" s="5"/>
    </row>
    <row r="125" spans="1:10" x14ac:dyDescent="0.2">
      <c r="A125" s="3"/>
      <c r="B125" s="91" t="s">
        <v>260</v>
      </c>
      <c r="C125" s="91" t="s">
        <v>8</v>
      </c>
      <c r="D125" s="91" t="s">
        <v>266</v>
      </c>
      <c r="E125" s="91" t="s">
        <v>261</v>
      </c>
      <c r="F125" s="91" t="s">
        <v>262</v>
      </c>
      <c r="G125" s="91" t="s">
        <v>263</v>
      </c>
      <c r="H125" s="91" t="s">
        <v>11</v>
      </c>
      <c r="I125" s="5"/>
    </row>
    <row r="126" spans="1:10" x14ac:dyDescent="0.2">
      <c r="A126" s="3"/>
      <c r="B126" s="23" t="s">
        <v>555</v>
      </c>
      <c r="C126" s="7"/>
      <c r="D126" s="7"/>
      <c r="E126" s="7"/>
      <c r="F126" s="7"/>
      <c r="G126" s="7"/>
      <c r="H126" s="8"/>
      <c r="I126" s="5"/>
    </row>
    <row r="127" spans="1:10" x14ac:dyDescent="0.2">
      <c r="A127" s="3"/>
      <c r="B127" s="6" t="s">
        <v>282</v>
      </c>
      <c r="C127" s="7"/>
      <c r="D127" s="7"/>
      <c r="E127" s="161">
        <f>E121</f>
        <v>31.46</v>
      </c>
      <c r="F127" s="161">
        <f>0.15+0.2+0.2</f>
        <v>0.55000000000000004</v>
      </c>
      <c r="G127" s="7"/>
      <c r="H127" s="8">
        <f>ROUND(IF(PRODUCT(IF(C127=0,1,C127),IF(D127=0,1,D127),IF(E127=0,1,E127),IF(F127=0,1,F127),IF(G127=0,1,G127))=1,0,PRODUCT(IF(C127=0,1,C127),IF(D127=0,1,D127),IF(E127=0,1,E127),IF(F127=0,1,F127),IF(G127=0,1,G127))),2)</f>
        <v>17.3</v>
      </c>
      <c r="I127" s="5"/>
    </row>
    <row r="128" spans="1:10" x14ac:dyDescent="0.2">
      <c r="A128" s="3"/>
      <c r="B128" s="6"/>
      <c r="C128" s="7"/>
      <c r="D128" s="7"/>
      <c r="E128" s="7"/>
      <c r="F128" s="7"/>
      <c r="G128" s="7"/>
      <c r="H128" s="8">
        <f>ROUND(IF(PRODUCT(IF(C128=0,1,C128),IF(E128=0,1,E128),IF(F128=0,1,F128),IF(G128=0,1,G128))=1,0,PRODUCT(IF(C128=0,1,C128),IF(E128=0,1,E128),IF(F128=0,1,F128),IF(G128=0,1,G128))),2)</f>
        <v>0</v>
      </c>
      <c r="I128" s="5"/>
    </row>
    <row r="129" spans="1:9" x14ac:dyDescent="0.2">
      <c r="A129" s="3"/>
      <c r="C129" s="10"/>
      <c r="D129" s="10"/>
      <c r="E129" s="9"/>
      <c r="F129" s="94" t="s">
        <v>11</v>
      </c>
      <c r="G129" s="95" t="s">
        <v>264</v>
      </c>
      <c r="H129" s="11">
        <f>SUM(H127:H127)</f>
        <v>17.3</v>
      </c>
      <c r="I129" s="12" t="s">
        <v>17</v>
      </c>
    </row>
    <row r="130" spans="1:9" x14ac:dyDescent="0.2">
      <c r="A130" s="3" t="str">
        <f>'Orçamento Sintético'!A34</f>
        <v xml:space="preserve"> 3.2.3 </v>
      </c>
      <c r="B130" s="270" t="str">
        <f>'Orçamento Sintético'!D34</f>
        <v>LASTRO DE CONCRETO MAGRO, APLICADO EM PISOS, LAJES SOBRE SOLO OU RADIERS, ESPESSURA DE 5 CM. AF_01/2024</v>
      </c>
      <c r="C130" s="271"/>
      <c r="D130" s="271"/>
      <c r="E130" s="272"/>
      <c r="I130" s="5"/>
    </row>
    <row r="131" spans="1:9" x14ac:dyDescent="0.2">
      <c r="A131" s="3"/>
      <c r="B131" s="91" t="s">
        <v>260</v>
      </c>
      <c r="C131" s="91" t="s">
        <v>8</v>
      </c>
      <c r="D131" s="91" t="s">
        <v>266</v>
      </c>
      <c r="E131" s="91" t="s">
        <v>261</v>
      </c>
      <c r="F131" s="91" t="s">
        <v>262</v>
      </c>
      <c r="G131" s="91" t="s">
        <v>263</v>
      </c>
      <c r="H131" s="91" t="s">
        <v>11</v>
      </c>
      <c r="I131" s="5"/>
    </row>
    <row r="132" spans="1:9" x14ac:dyDescent="0.2">
      <c r="A132" s="3"/>
      <c r="B132" s="6"/>
      <c r="C132" s="7"/>
      <c r="D132" s="7">
        <f>H129</f>
        <v>17.3</v>
      </c>
      <c r="E132" s="7"/>
      <c r="F132" s="7"/>
      <c r="G132" s="7"/>
      <c r="H132" s="8">
        <f>ROUND(IF(PRODUCT(IF(C132=0,1,C132),IF(D132=0,1,D132),IF(E132=0,1,E132),IF(F132=0,1,F132),IF(G132=0,1,G132))=1,0,PRODUCT(IF(C132=0,1,C132),IF(D132=0,1,D132),IF(E132=0,1,E132),IF(F132=0,1,F132),IF(G132=0,1,G132))),2)</f>
        <v>17.3</v>
      </c>
      <c r="I132" s="5"/>
    </row>
    <row r="133" spans="1:9" x14ac:dyDescent="0.2">
      <c r="A133" s="3"/>
      <c r="B133" s="6"/>
      <c r="C133" s="7"/>
      <c r="D133" s="7"/>
      <c r="E133" s="7"/>
      <c r="F133" s="7"/>
      <c r="G133" s="7"/>
      <c r="H133" s="8">
        <f>ROUND(IF(PRODUCT(IF(C133=0,1,C133),IF(E133=0,1,E133),IF(F133=0,1,F133),IF(G133=0,1,G133))=1,0,PRODUCT(IF(C133=0,1,C133),IF(E133=0,1,E133),IF(F133=0,1,F133),IF(G133=0,1,G133))),2)</f>
        <v>0</v>
      </c>
      <c r="I133" s="5"/>
    </row>
    <row r="134" spans="1:9" x14ac:dyDescent="0.2">
      <c r="A134" s="3"/>
      <c r="C134" s="10"/>
      <c r="D134" s="10"/>
      <c r="E134" s="9"/>
      <c r="F134" s="94" t="s">
        <v>11</v>
      </c>
      <c r="G134" s="95" t="s">
        <v>264</v>
      </c>
      <c r="H134" s="11">
        <f>SUM(H132:H132)</f>
        <v>17.3</v>
      </c>
      <c r="I134" s="12" t="s">
        <v>17</v>
      </c>
    </row>
    <row r="135" spans="1:9" ht="22.15" customHeight="1" x14ac:dyDescent="0.2">
      <c r="A135" s="3" t="str">
        <f>'Orçamento Sintético'!A35</f>
        <v xml:space="preserve"> 3.2.4</v>
      </c>
      <c r="B135" s="270" t="str">
        <f>'Orçamento Sintético'!D35</f>
        <v>FABRICAÇÃO, MONTAGEM E DESMONTAGEM DE FÔRMA PARA VIGA BALDRAME, EM MADEIRA SERRADA, E=25 MM, 4 UTILIZAÇÕES. AF_06/2017</v>
      </c>
      <c r="C135" s="271"/>
      <c r="D135" s="271"/>
      <c r="E135" s="272"/>
      <c r="I135" s="5"/>
    </row>
    <row r="136" spans="1:9" x14ac:dyDescent="0.2">
      <c r="A136" s="3"/>
      <c r="B136" s="91" t="s">
        <v>260</v>
      </c>
      <c r="C136" s="91" t="s">
        <v>8</v>
      </c>
      <c r="D136" s="91" t="s">
        <v>266</v>
      </c>
      <c r="E136" s="91" t="s">
        <v>261</v>
      </c>
      <c r="F136" s="91" t="s">
        <v>262</v>
      </c>
      <c r="G136" s="91" t="s">
        <v>263</v>
      </c>
      <c r="H136" s="91" t="s">
        <v>11</v>
      </c>
      <c r="I136" s="5"/>
    </row>
    <row r="137" spans="1:9" x14ac:dyDescent="0.2">
      <c r="A137" s="3"/>
      <c r="B137" s="6"/>
      <c r="C137" s="7"/>
      <c r="D137" s="7">
        <v>18.8</v>
      </c>
      <c r="E137" s="7"/>
      <c r="F137" s="7"/>
      <c r="G137" s="7"/>
      <c r="H137" s="8">
        <f>ROUND(IF(PRODUCT(IF(C137=0,1,C137),IF(D137=0,1,D137),IF(E137=0,1,E137),IF(F137=0,1,F137),IF(G137=0,1,G137))=1,0,PRODUCT(IF(C137=0,1,C137),IF(D137=0,1,D137),IF(E137=0,1,E137),IF(F137=0,1,F137),IF(G137=0,1,G137))),2)</f>
        <v>18.8</v>
      </c>
      <c r="I137" s="5"/>
    </row>
    <row r="138" spans="1:9" x14ac:dyDescent="0.2">
      <c r="A138" s="3"/>
      <c r="B138" s="6"/>
      <c r="C138" s="7"/>
      <c r="D138" s="7"/>
      <c r="E138" s="7"/>
      <c r="F138" s="7"/>
      <c r="G138" s="7"/>
      <c r="H138" s="8">
        <f>ROUND(IF(PRODUCT(IF(C138=0,1,C138),IF(E138=0,1,E138),IF(F138=0,1,F138),IF(G138=0,1,G138))=1,0,PRODUCT(IF(C138=0,1,C138),IF(E138=0,1,E138),IF(F138=0,1,F138),IF(G138=0,1,G138))),2)</f>
        <v>0</v>
      </c>
      <c r="I138" s="5"/>
    </row>
    <row r="139" spans="1:9" x14ac:dyDescent="0.2">
      <c r="A139" s="3"/>
      <c r="C139" s="10"/>
      <c r="D139" s="10"/>
      <c r="E139" s="9"/>
      <c r="F139" s="94" t="s">
        <v>11</v>
      </c>
      <c r="G139" s="95" t="s">
        <v>264</v>
      </c>
      <c r="H139" s="11">
        <f>SUM(H137:H137)</f>
        <v>18.8</v>
      </c>
      <c r="I139" s="12" t="s">
        <v>17</v>
      </c>
    </row>
    <row r="140" spans="1:9" ht="22.9" customHeight="1" x14ac:dyDescent="0.2">
      <c r="A140" s="3" t="str">
        <f>'Orçamento Sintético'!A36</f>
        <v xml:space="preserve"> 3.2.5</v>
      </c>
      <c r="B140" s="270" t="str">
        <f>'Orçamento Sintético'!D36</f>
        <v>ARMAÇÃO DE SAPATA ISOLADA, VIGA BALDRAME E SAPATA CORRIDA UTILIZANDO AÇO CA-60 DE 5 MM - MONTAGEM. AF_01/2024</v>
      </c>
      <c r="C140" s="271"/>
      <c r="D140" s="271"/>
      <c r="E140" s="272"/>
      <c r="I140" s="5"/>
    </row>
    <row r="141" spans="1:9" x14ac:dyDescent="0.2">
      <c r="A141" s="3"/>
      <c r="B141" s="91" t="s">
        <v>260</v>
      </c>
      <c r="C141" s="91" t="s">
        <v>8</v>
      </c>
      <c r="D141" s="91" t="s">
        <v>676</v>
      </c>
      <c r="E141" s="91" t="s">
        <v>261</v>
      </c>
      <c r="F141" s="91" t="s">
        <v>262</v>
      </c>
      <c r="G141" s="91" t="s">
        <v>263</v>
      </c>
      <c r="H141" s="91" t="s">
        <v>11</v>
      </c>
      <c r="I141" s="5"/>
    </row>
    <row r="142" spans="1:9" x14ac:dyDescent="0.2">
      <c r="A142" s="3"/>
      <c r="B142" s="6"/>
      <c r="C142" s="198"/>
      <c r="D142" s="7">
        <v>29</v>
      </c>
      <c r="E142" s="7"/>
      <c r="F142" s="7"/>
      <c r="G142" s="7"/>
      <c r="H142" s="8">
        <f>ROUND(IF(PRODUCT(IF(C142=0,1,C142),IF(D142=0,1,D142),IF(E142=0,1,E142),IF(F142=0,1,F142),IF(G142=0,1,G142))=1,0,PRODUCT(IF(C142=0,1,C142),IF(D142=0,1,D142),IF(E142=0,1,E142),IF(F142=0,1,F142),IF(G142=0,1,G142))),2)</f>
        <v>29</v>
      </c>
      <c r="I142" s="5"/>
    </row>
    <row r="143" spans="1:9" x14ac:dyDescent="0.2">
      <c r="A143" s="3"/>
      <c r="B143" s="6"/>
      <c r="C143" s="7"/>
      <c r="D143" s="7"/>
      <c r="E143" s="7"/>
      <c r="F143" s="7"/>
      <c r="G143" s="7"/>
      <c r="H143" s="8">
        <f>ROUND(IF(PRODUCT(IF(C143=0,1,C143),IF(E143=0,1,E143),IF(F143=0,1,F143),IF(G143=0,1,G143))=1,0,PRODUCT(IF(C143=0,1,C143),IF(E143=0,1,E143),IF(F143=0,1,F143),IF(G143=0,1,G143))),2)</f>
        <v>0</v>
      </c>
      <c r="I143" s="5"/>
    </row>
    <row r="144" spans="1:9" x14ac:dyDescent="0.2">
      <c r="A144" s="3"/>
      <c r="C144" s="10"/>
      <c r="D144" s="10"/>
      <c r="E144" s="9"/>
      <c r="F144" s="94" t="s">
        <v>11</v>
      </c>
      <c r="G144" s="95" t="s">
        <v>264</v>
      </c>
      <c r="H144" s="11">
        <f>SUM(H142:H142)</f>
        <v>29</v>
      </c>
      <c r="I144" s="12" t="s">
        <v>299</v>
      </c>
    </row>
    <row r="145" spans="1:10" ht="21.6" customHeight="1" x14ac:dyDescent="0.2">
      <c r="A145" s="3" t="str">
        <f>'Orçamento Sintético'!A37</f>
        <v xml:space="preserve"> 3.2.6</v>
      </c>
      <c r="B145" s="270" t="str">
        <f>'Orçamento Sintético'!D37</f>
        <v>ARMAÇÃO DE SAPATA ISOLADA, VIGA BALDRAME E SAPATA CORRIDA UTILIZANDO AÇO CA-50 DE 6,3 MM - MONTAGEM. AF_01/2024</v>
      </c>
      <c r="C145" s="271"/>
      <c r="D145" s="271"/>
      <c r="E145" s="272"/>
      <c r="I145" s="5"/>
    </row>
    <row r="146" spans="1:10" x14ac:dyDescent="0.2">
      <c r="A146" s="3"/>
      <c r="B146" s="91" t="s">
        <v>260</v>
      </c>
      <c r="C146" s="91" t="s">
        <v>8</v>
      </c>
      <c r="D146" s="91" t="s">
        <v>676</v>
      </c>
      <c r="E146" s="91" t="s">
        <v>261</v>
      </c>
      <c r="F146" s="91" t="s">
        <v>262</v>
      </c>
      <c r="G146" s="91" t="s">
        <v>263</v>
      </c>
      <c r="H146" s="91" t="s">
        <v>11</v>
      </c>
      <c r="I146" s="5"/>
    </row>
    <row r="147" spans="1:10" x14ac:dyDescent="0.2">
      <c r="A147" s="3"/>
      <c r="B147" s="6"/>
      <c r="C147" s="198"/>
      <c r="D147" s="7">
        <v>1</v>
      </c>
      <c r="E147" s="7"/>
      <c r="F147" s="7"/>
      <c r="G147" s="7"/>
      <c r="H147" s="8">
        <f>PRODUCT(C147,D147,E147,F147,G147)</f>
        <v>1</v>
      </c>
      <c r="I147" s="5"/>
    </row>
    <row r="148" spans="1:10" x14ac:dyDescent="0.2">
      <c r="A148" s="3"/>
      <c r="B148" s="6"/>
      <c r="C148" s="7"/>
      <c r="D148" s="7"/>
      <c r="E148" s="7"/>
      <c r="F148" s="7"/>
      <c r="G148" s="7"/>
      <c r="H148" s="8">
        <f>ROUND(IF(PRODUCT(IF(C148=0,1,C148),IF(E148=0,1,E148),IF(F148=0,1,F148),IF(G148=0,1,G148))=1,0,PRODUCT(IF(C148=0,1,C148),IF(E148=0,1,E148),IF(F148=0,1,F148),IF(G148=0,1,G148))),2)</f>
        <v>0</v>
      </c>
      <c r="I148" s="5"/>
    </row>
    <row r="149" spans="1:10" x14ac:dyDescent="0.2">
      <c r="A149" s="3"/>
      <c r="C149" s="10"/>
      <c r="D149" s="10"/>
      <c r="E149" s="9"/>
      <c r="F149" s="94" t="s">
        <v>11</v>
      </c>
      <c r="G149" s="95" t="s">
        <v>264</v>
      </c>
      <c r="H149" s="11">
        <f>SUM(H147:H147)</f>
        <v>1</v>
      </c>
      <c r="I149" s="12" t="s">
        <v>299</v>
      </c>
    </row>
    <row r="150" spans="1:10" ht="21.6" customHeight="1" x14ac:dyDescent="0.2">
      <c r="A150" s="3" t="str">
        <f>'Orçamento Sintético'!A38</f>
        <v xml:space="preserve"> 3.2.7</v>
      </c>
      <c r="B150" s="270" t="str">
        <f>'Orçamento Sintético'!D38</f>
        <v>ARMAÇÃO DE SAPATA ISOLADA, VIGA BALDRAME E SAPATA CORRIDA UTILIZANDO AÇO CA-50 DE 8 MM - MONTAGEM. AF_01/2024</v>
      </c>
      <c r="C150" s="271"/>
      <c r="D150" s="271"/>
      <c r="E150" s="272"/>
      <c r="I150" s="5"/>
    </row>
    <row r="151" spans="1:10" x14ac:dyDescent="0.2">
      <c r="A151" s="3"/>
      <c r="B151" s="91" t="s">
        <v>260</v>
      </c>
      <c r="C151" s="91" t="s">
        <v>8</v>
      </c>
      <c r="D151" s="91" t="s">
        <v>676</v>
      </c>
      <c r="E151" s="91" t="s">
        <v>261</v>
      </c>
      <c r="F151" s="91" t="s">
        <v>262</v>
      </c>
      <c r="G151" s="91" t="s">
        <v>263</v>
      </c>
      <c r="H151" s="91" t="s">
        <v>11</v>
      </c>
      <c r="I151" s="5"/>
    </row>
    <row r="152" spans="1:10" x14ac:dyDescent="0.2">
      <c r="A152" s="3"/>
      <c r="B152" s="6"/>
      <c r="C152" s="198"/>
      <c r="D152" s="7">
        <v>63</v>
      </c>
      <c r="E152" s="7"/>
      <c r="F152" s="7"/>
      <c r="G152" s="7"/>
      <c r="H152" s="8">
        <f>ROUND(IF(PRODUCT(IF(C152=0,1,C152),IF(D152=0,1,D152),IF(E152=0,1,E152),IF(F152=0,1,F152),IF(G152=0,1,G152))=1,0,PRODUCT(IF(C152=0,1,C152),IF(D152=0,1,D152),IF(E152=0,1,E152),IF(F152=0,1,F152),IF(G152=0,1,G152))),2)</f>
        <v>63</v>
      </c>
      <c r="I152" s="5"/>
    </row>
    <row r="153" spans="1:10" x14ac:dyDescent="0.2">
      <c r="A153" s="3"/>
      <c r="B153" s="6"/>
      <c r="C153" s="7"/>
      <c r="D153" s="7"/>
      <c r="E153" s="7"/>
      <c r="F153" s="7"/>
      <c r="G153" s="7"/>
      <c r="H153" s="8">
        <f>ROUND(IF(PRODUCT(IF(C153=0,1,C153),IF(E153=0,1,E153),IF(F153=0,1,F153),IF(G153=0,1,G153))=1,0,PRODUCT(IF(C153=0,1,C153),IF(E153=0,1,E153),IF(F153=0,1,F153),IF(G153=0,1,G153))),2)</f>
        <v>0</v>
      </c>
      <c r="I153" s="5"/>
    </row>
    <row r="154" spans="1:10" x14ac:dyDescent="0.2">
      <c r="A154" s="3"/>
      <c r="C154" s="10"/>
      <c r="D154" s="10"/>
      <c r="E154" s="9"/>
      <c r="F154" s="94" t="s">
        <v>11</v>
      </c>
      <c r="G154" s="95" t="s">
        <v>264</v>
      </c>
      <c r="H154" s="11">
        <f>SUM(H152:H152)</f>
        <v>63</v>
      </c>
      <c r="I154" s="12" t="s">
        <v>299</v>
      </c>
    </row>
    <row r="155" spans="1:10" ht="24" customHeight="1" x14ac:dyDescent="0.2">
      <c r="A155" s="3" t="str">
        <f>'Orçamento Sintético'!A39</f>
        <v xml:space="preserve"> 3.2.8</v>
      </c>
      <c r="B155" s="270" t="str">
        <f>'Orçamento Sintético'!D39</f>
        <v>CONCRETAGEM DE BLOCO DE COROAMENTO OU VIGA BALDRAME, FCK 30 MPA, COM USO DE BOMBA - LANÇAMENTO, ADENSAMENTO E ACABAMENTO. AF_01/2024</v>
      </c>
      <c r="C155" s="271"/>
      <c r="D155" s="271"/>
      <c r="E155" s="272"/>
      <c r="I155" s="5"/>
    </row>
    <row r="156" spans="1:10" x14ac:dyDescent="0.2">
      <c r="A156" s="3"/>
      <c r="B156" s="91" t="s">
        <v>260</v>
      </c>
      <c r="C156" s="91" t="s">
        <v>8</v>
      </c>
      <c r="D156" s="91" t="s">
        <v>677</v>
      </c>
      <c r="E156" s="91" t="s">
        <v>261</v>
      </c>
      <c r="F156" s="91" t="s">
        <v>262</v>
      </c>
      <c r="G156" s="91" t="s">
        <v>263</v>
      </c>
      <c r="H156" s="91" t="s">
        <v>11</v>
      </c>
      <c r="I156" s="5"/>
    </row>
    <row r="157" spans="1:10" ht="25.5" x14ac:dyDescent="0.2">
      <c r="A157" s="3"/>
      <c r="B157" s="149" t="s">
        <v>619</v>
      </c>
      <c r="C157" s="7"/>
      <c r="D157" s="7">
        <v>1.56</v>
      </c>
      <c r="E157" s="161"/>
      <c r="F157" s="161"/>
      <c r="G157" s="161"/>
      <c r="H157" s="8">
        <f>ROUND(IF(PRODUCT(IF(C157=0,1,C157),IF(D157=0,1,D157),IF(E157=0,1,E157),IF(F157=0,1,F157),IF(G157=0,1,G157))=1,0,PRODUCT(IF(C157=0,1,C157),IF(D157=0,1,D157),IF(E157=0,1,E157),IF(F157=0,1,F157),IF(G157=0,1,G157))),2)</f>
        <v>1.56</v>
      </c>
      <c r="I157" s="5"/>
      <c r="J157" s="20"/>
    </row>
    <row r="158" spans="1:10" x14ac:dyDescent="0.2">
      <c r="A158" s="3"/>
      <c r="B158" s="6"/>
      <c r="C158" s="7"/>
      <c r="D158" s="7"/>
      <c r="E158" s="7"/>
      <c r="F158" s="7"/>
      <c r="G158" s="7"/>
      <c r="H158" s="8">
        <f>ROUND(IF(PRODUCT(IF(C158=0,1,C158),IF(E158=0,1,E158),IF(F158=0,1,F158),IF(G158=0,1,G158))=1,0,PRODUCT(IF(C158=0,1,C158),IF(E158=0,1,E158),IF(F158=0,1,F158),IF(G158=0,1,G158))),2)</f>
        <v>0</v>
      </c>
      <c r="I158" s="5"/>
    </row>
    <row r="159" spans="1:10" x14ac:dyDescent="0.2">
      <c r="A159" s="3"/>
      <c r="C159" s="10"/>
      <c r="D159" s="10"/>
      <c r="E159" s="9"/>
      <c r="F159" s="94" t="s">
        <v>11</v>
      </c>
      <c r="G159" s="95" t="s">
        <v>264</v>
      </c>
      <c r="H159" s="11">
        <f>SUM(H157:H158)</f>
        <v>1.56</v>
      </c>
      <c r="I159" s="12" t="s">
        <v>24</v>
      </c>
    </row>
    <row r="160" spans="1:10" ht="15" customHeight="1" x14ac:dyDescent="0.2">
      <c r="A160" s="3" t="str">
        <f>'Orçamento Sintético'!A40</f>
        <v xml:space="preserve"> 3.2.9</v>
      </c>
      <c r="B160" s="270" t="str">
        <f>'Orçamento Sintético'!D40</f>
        <v>REATERRO MANUAL DE VALAS, COM PLACA VIBRATÓRIA. AF_08/2023</v>
      </c>
      <c r="C160" s="271"/>
      <c r="D160" s="271"/>
      <c r="E160" s="272"/>
      <c r="I160" s="5"/>
    </row>
    <row r="161" spans="1:9" x14ac:dyDescent="0.2">
      <c r="A161" s="3"/>
      <c r="B161" s="91" t="s">
        <v>260</v>
      </c>
      <c r="C161" s="91" t="s">
        <v>8</v>
      </c>
      <c r="D161" s="91" t="s">
        <v>266</v>
      </c>
      <c r="E161" s="91" t="s">
        <v>261</v>
      </c>
      <c r="F161" s="91" t="s">
        <v>262</v>
      </c>
      <c r="G161" s="91" t="s">
        <v>263</v>
      </c>
      <c r="H161" s="91" t="s">
        <v>11</v>
      </c>
      <c r="I161" s="5"/>
    </row>
    <row r="162" spans="1:9" x14ac:dyDescent="0.2">
      <c r="A162" s="3"/>
      <c r="B162" s="6" t="s">
        <v>283</v>
      </c>
      <c r="C162" s="15">
        <f>H123</f>
        <v>6.06</v>
      </c>
      <c r="D162" s="7"/>
      <c r="E162" s="7"/>
      <c r="F162" s="7"/>
      <c r="G162" s="7"/>
      <c r="H162" s="8">
        <f>ROUND(IF(PRODUCT(IF(C162=0,1,C162),IF(D162=0,1,D162),IF(E162=0,1,E162),IF(F162=0,1,F162),IF(G162=0,1,G162))=1,0,PRODUCT(IF(C162=0,1,C162),IF(D162=0,1,D162),IF(E162=0,1,E162),IF(F162=0,1,F162),IF(G162=0,1,G162))),2)</f>
        <v>6.06</v>
      </c>
      <c r="I162" s="5"/>
    </row>
    <row r="163" spans="1:9" x14ac:dyDescent="0.2">
      <c r="A163" s="3"/>
      <c r="B163" s="16" t="s">
        <v>280</v>
      </c>
      <c r="C163" s="17">
        <f>H134*0.05</f>
        <v>0.8650000000000001</v>
      </c>
      <c r="D163" s="7"/>
      <c r="E163" s="7"/>
      <c r="F163" s="7"/>
      <c r="G163" s="7"/>
      <c r="H163" s="17">
        <f>-ROUND(IF(PRODUCT(IF(C163=0,1,C163),IF(D163=0,1,D163),IF(E163=0,1,E163),IF(F163=0,1,F163),IF(G163=0,1,G163))=1,0,PRODUCT(IF(C163=0,1,C163),IF(D163=0,1,D163),IF(E163=0,1,E163),IF(F163=0,1,F163),IF(G163=0,1,G163))),2)</f>
        <v>-0.87</v>
      </c>
      <c r="I163" s="5"/>
    </row>
    <row r="164" spans="1:9" x14ac:dyDescent="0.2">
      <c r="A164" s="3"/>
      <c r="B164" s="16" t="s">
        <v>284</v>
      </c>
      <c r="C164" s="17">
        <f>H159</f>
        <v>1.56</v>
      </c>
      <c r="D164" s="7"/>
      <c r="E164" s="7"/>
      <c r="F164" s="7"/>
      <c r="G164" s="7"/>
      <c r="H164" s="17">
        <f>-ROUND(IF(PRODUCT(IF(C164=0,1,C164),IF(D164=0,1,D164),IF(E164=0,1,E164),IF(F164=0,1,F164),IF(G164=0,1,G164))=1,0,PRODUCT(IF(C164=0,1,C164),IF(D164=0,1,D164),IF(E164=0,1,E164),IF(F164=0,1,F164),IF(G164=0,1,G164))),2)</f>
        <v>-1.56</v>
      </c>
      <c r="I164" s="5"/>
    </row>
    <row r="165" spans="1:9" x14ac:dyDescent="0.2">
      <c r="A165" s="3"/>
      <c r="B165" s="6"/>
      <c r="C165" s="7"/>
      <c r="D165" s="7"/>
      <c r="E165" s="7"/>
      <c r="F165" s="7"/>
      <c r="G165" s="7"/>
      <c r="H165" s="8">
        <f>ROUND(IF(PRODUCT(IF(C165=0,1,C165),IF(E165=0,1,E165),IF(F165=0,1,F165),IF(G165=0,1,G165))=1,0,PRODUCT(IF(C165=0,1,C165),IF(E165=0,1,E165),IF(F165=0,1,F165),IF(G165=0,1,G165))),2)</f>
        <v>0</v>
      </c>
      <c r="I165" s="5"/>
    </row>
    <row r="166" spans="1:9" x14ac:dyDescent="0.2">
      <c r="A166" s="3"/>
      <c r="C166" s="10"/>
      <c r="D166" s="10"/>
      <c r="E166" s="9"/>
      <c r="F166" s="94" t="s">
        <v>11</v>
      </c>
      <c r="G166" s="95" t="s">
        <v>264</v>
      </c>
      <c r="H166" s="11">
        <f>SUM(H162:H164)</f>
        <v>3.6299999999999994</v>
      </c>
      <c r="I166" s="12" t="s">
        <v>24</v>
      </c>
    </row>
    <row r="167" spans="1:9" x14ac:dyDescent="0.2">
      <c r="A167" s="89" t="str">
        <f>'Orçamento Sintético'!A41</f>
        <v>4.0</v>
      </c>
      <c r="B167" s="90" t="str">
        <f>'Orçamento Sintético'!D41</f>
        <v xml:space="preserve">SUPERESTRUTURA - BANHEIROS </v>
      </c>
      <c r="C167" s="282"/>
      <c r="D167" s="282"/>
      <c r="E167" s="282"/>
      <c r="F167" s="282"/>
      <c r="G167" s="282"/>
      <c r="H167" s="282"/>
      <c r="I167" s="282"/>
    </row>
    <row r="168" spans="1:9" x14ac:dyDescent="0.2">
      <c r="A168" s="96" t="str">
        <f>'Orçamento Sintético'!A42</f>
        <v xml:space="preserve"> 4.1 </v>
      </c>
      <c r="B168" s="97" t="str">
        <f>'Orçamento Sintético'!D42</f>
        <v>PILARES</v>
      </c>
      <c r="C168" s="273"/>
      <c r="D168" s="274"/>
      <c r="E168" s="274"/>
      <c r="F168" s="274"/>
      <c r="G168" s="274"/>
      <c r="H168" s="274"/>
      <c r="I168" s="275"/>
    </row>
    <row r="169" spans="1:9" ht="22.15" customHeight="1" x14ac:dyDescent="0.2">
      <c r="A169" s="3" t="str">
        <f>'Orçamento Sintético'!A43</f>
        <v>4.1.1</v>
      </c>
      <c r="B169" s="270" t="str">
        <f>'Orçamento Sintético'!D43</f>
        <v>MONTAGEM E DESMONTAGEM DE FÔRMA DE PILARES RETANGULARES E ESTRUTURAS SIMILARES, PÉ-DIREITO SIMPLES, EM CHAPA DE MADEIRA COMPENSADA PLASTIFICADA, 18 UTILIZAÇÕES. AF_09/2020</v>
      </c>
      <c r="C169" s="271"/>
      <c r="D169" s="271"/>
      <c r="E169" s="272"/>
      <c r="I169" s="5"/>
    </row>
    <row r="170" spans="1:9" x14ac:dyDescent="0.2">
      <c r="A170" s="3"/>
      <c r="B170" s="91" t="s">
        <v>260</v>
      </c>
      <c r="C170" s="91" t="s">
        <v>8</v>
      </c>
      <c r="D170" s="91" t="s">
        <v>266</v>
      </c>
      <c r="E170" s="91" t="s">
        <v>261</v>
      </c>
      <c r="F170" s="91" t="s">
        <v>262</v>
      </c>
      <c r="G170" s="91" t="s">
        <v>263</v>
      </c>
      <c r="H170" s="91" t="s">
        <v>11</v>
      </c>
      <c r="I170" s="5"/>
    </row>
    <row r="171" spans="1:9" x14ac:dyDescent="0.2">
      <c r="A171" s="3"/>
      <c r="B171" s="6"/>
      <c r="C171" s="7"/>
      <c r="D171" s="7">
        <v>37.6</v>
      </c>
      <c r="E171" s="7"/>
      <c r="F171" s="7"/>
      <c r="G171" s="7"/>
      <c r="H171" s="8">
        <f>ROUND(IF(PRODUCT(IF(C171=0,1,C171),IF(D171=0,1,D171),IF(E171=0,1,E171),IF(F171=0,1,F171),IF(G171=0,1,G171))=1,0,PRODUCT(IF(C171=0,1,C171),IF(D171=0,1,D171),IF(E171=0,1,E171),IF(F171=0,1,F171),IF(G171=0,1,G171))),2)</f>
        <v>37.6</v>
      </c>
      <c r="I171" s="5"/>
    </row>
    <row r="172" spans="1:9" x14ac:dyDescent="0.2">
      <c r="A172" s="3"/>
      <c r="B172" s="6"/>
      <c r="C172" s="7"/>
      <c r="D172" s="7"/>
      <c r="E172" s="7"/>
      <c r="F172" s="7"/>
      <c r="G172" s="7"/>
      <c r="H172" s="8">
        <f>ROUND(IF(PRODUCT(IF(C172=0,1,C172),IF(E172=0,1,E172),IF(F172=0,1,F172),IF(G172=0,1,G172))=1,0,PRODUCT(IF(C172=0,1,C172),IF(E172=0,1,E172),IF(F172=0,1,F172),IF(G172=0,1,G172))),2)</f>
        <v>0</v>
      </c>
      <c r="I172" s="5"/>
    </row>
    <row r="173" spans="1:9" x14ac:dyDescent="0.2">
      <c r="A173" s="3"/>
      <c r="C173" s="10"/>
      <c r="D173" s="10"/>
      <c r="E173" s="9"/>
      <c r="F173" s="94" t="s">
        <v>11</v>
      </c>
      <c r="G173" s="95" t="s">
        <v>264</v>
      </c>
      <c r="H173" s="11">
        <f>SUM(H171:H171)</f>
        <v>37.6</v>
      </c>
      <c r="I173" s="12" t="s">
        <v>17</v>
      </c>
    </row>
    <row r="174" spans="1:9" ht="22.9" customHeight="1" x14ac:dyDescent="0.2">
      <c r="A174" s="3" t="str">
        <f>'Orçamento Sintético'!A44</f>
        <v>4.1.2</v>
      </c>
      <c r="B174" s="270" t="str">
        <f>'Orçamento Sintético'!D44</f>
        <v>ARMAÇÃO DE PILAR OU VIGA DE ESTRUTURA CONVENCIONAL DE CONCRETO ARMADO UTILIZANDO AÇO CA-60 DE 5,0 MM - MONTAGEM. AF_06/2022</v>
      </c>
      <c r="C174" s="271"/>
      <c r="D174" s="271"/>
      <c r="E174" s="272"/>
      <c r="I174" s="5"/>
    </row>
    <row r="175" spans="1:9" x14ac:dyDescent="0.2">
      <c r="A175" s="3"/>
      <c r="B175" s="91" t="s">
        <v>260</v>
      </c>
      <c r="C175" s="91" t="s">
        <v>8</v>
      </c>
      <c r="D175" s="91" t="s">
        <v>676</v>
      </c>
      <c r="E175" s="91" t="s">
        <v>261</v>
      </c>
      <c r="F175" s="91" t="s">
        <v>262</v>
      </c>
      <c r="G175" s="91" t="s">
        <v>263</v>
      </c>
      <c r="H175" s="91" t="s">
        <v>11</v>
      </c>
      <c r="I175" s="5"/>
    </row>
    <row r="176" spans="1:9" x14ac:dyDescent="0.2">
      <c r="A176" s="3"/>
      <c r="B176" s="6"/>
      <c r="C176" s="198"/>
      <c r="D176" s="7">
        <v>54</v>
      </c>
      <c r="E176" s="7"/>
      <c r="F176" s="7"/>
      <c r="G176" s="7"/>
      <c r="H176" s="8">
        <f>ROUND(IF(PRODUCT(IF(C176=0,1,C176),IF(D176=0,1,D176),IF(E176=0,1,E176),IF(F176=0,1,F176),IF(G176=0,1,G176))=1,0,PRODUCT(IF(C176=0,1,C176),IF(D176=0,1,D176),IF(E176=0,1,E176),IF(F176=0,1,F176),IF(G176=0,1,G176))),2)</f>
        <v>54</v>
      </c>
      <c r="I176" s="5"/>
    </row>
    <row r="177" spans="1:9" x14ac:dyDescent="0.2">
      <c r="A177" s="3"/>
      <c r="B177" s="6"/>
      <c r="C177" s="7"/>
      <c r="D177" s="7"/>
      <c r="E177" s="7"/>
      <c r="F177" s="7"/>
      <c r="G177" s="7"/>
      <c r="H177" s="8">
        <f>ROUND(IF(PRODUCT(IF(C177=0,1,C177),IF(E177=0,1,E177),IF(F177=0,1,F177),IF(G177=0,1,G177))=1,0,PRODUCT(IF(C177=0,1,C177),IF(E177=0,1,E177),IF(F177=0,1,F177),IF(G177=0,1,G177))),2)</f>
        <v>0</v>
      </c>
      <c r="I177" s="5"/>
    </row>
    <row r="178" spans="1:9" x14ac:dyDescent="0.2">
      <c r="A178" s="3"/>
      <c r="C178" s="10"/>
      <c r="D178" s="10"/>
      <c r="E178" s="9"/>
      <c r="F178" s="94" t="s">
        <v>11</v>
      </c>
      <c r="G178" s="95" t="s">
        <v>264</v>
      </c>
      <c r="H178" s="11">
        <f>SUM(H176:H176)</f>
        <v>54</v>
      </c>
      <c r="I178" s="12" t="s">
        <v>299</v>
      </c>
    </row>
    <row r="179" spans="1:9" ht="21.6" customHeight="1" x14ac:dyDescent="0.2">
      <c r="A179" s="3" t="str">
        <f>'Orçamento Sintético'!A45</f>
        <v>4.1.3</v>
      </c>
      <c r="B179" s="270" t="str">
        <f>'Orçamento Sintético'!D45</f>
        <v>ARMAÇÃO DE PILAR OU VIGA DE ESTRUTURA CONVENCIONAL DE CONCRETO ARMADO UTILIZANDO AÇO CA-50 DE 10,0 MM - MONTAGEM. AF_06/2022</v>
      </c>
      <c r="C179" s="271"/>
      <c r="D179" s="271"/>
      <c r="E179" s="272"/>
      <c r="I179" s="5"/>
    </row>
    <row r="180" spans="1:9" x14ac:dyDescent="0.2">
      <c r="A180" s="3"/>
      <c r="B180" s="91" t="s">
        <v>260</v>
      </c>
      <c r="C180" s="91" t="s">
        <v>8</v>
      </c>
      <c r="D180" s="91" t="s">
        <v>676</v>
      </c>
      <c r="E180" s="91" t="s">
        <v>261</v>
      </c>
      <c r="F180" s="91" t="s">
        <v>262</v>
      </c>
      <c r="G180" s="91" t="s">
        <v>263</v>
      </c>
      <c r="H180" s="91" t="s">
        <v>11</v>
      </c>
      <c r="I180" s="5"/>
    </row>
    <row r="181" spans="1:9" x14ac:dyDescent="0.2">
      <c r="A181" s="3"/>
      <c r="B181" s="6"/>
      <c r="C181" s="198"/>
      <c r="D181" s="7">
        <v>211</v>
      </c>
      <c r="E181" s="7"/>
      <c r="F181" s="7"/>
      <c r="G181" s="7"/>
      <c r="H181" s="8">
        <f>PRODUCT(C181,D181,E181,F181,G181)</f>
        <v>211</v>
      </c>
      <c r="I181" s="5"/>
    </row>
    <row r="182" spans="1:9" x14ac:dyDescent="0.2">
      <c r="A182" s="3"/>
      <c r="B182" s="6"/>
      <c r="C182" s="7"/>
      <c r="D182" s="7"/>
      <c r="E182" s="7"/>
      <c r="F182" s="7"/>
      <c r="G182" s="7"/>
      <c r="H182" s="8">
        <f>ROUND(IF(PRODUCT(IF(C182=0,1,C182),IF(E182=0,1,E182),IF(F182=0,1,F182),IF(G182=0,1,G182))=1,0,PRODUCT(IF(C182=0,1,C182),IF(E182=0,1,E182),IF(F182=0,1,F182),IF(G182=0,1,G182))),2)</f>
        <v>0</v>
      </c>
      <c r="I182" s="5"/>
    </row>
    <row r="183" spans="1:9" x14ac:dyDescent="0.2">
      <c r="A183" s="3"/>
      <c r="C183" s="10"/>
      <c r="D183" s="10"/>
      <c r="E183" s="9"/>
      <c r="F183" s="94" t="s">
        <v>11</v>
      </c>
      <c r="G183" s="95" t="s">
        <v>264</v>
      </c>
      <c r="H183" s="11">
        <f>SUM(H181:H181)</f>
        <v>211</v>
      </c>
      <c r="I183" s="12" t="s">
        <v>299</v>
      </c>
    </row>
    <row r="184" spans="1:9" ht="24.75" customHeight="1" x14ac:dyDescent="0.2">
      <c r="A184" s="3" t="str">
        <f>'Orçamento Sintético'!A46</f>
        <v>4.1.4</v>
      </c>
      <c r="B184" s="270" t="str">
        <f>'Orçamento Sintético'!D46</f>
        <v>CONCRETAGEM DE PILARES, FCK = 25 MPA, COM USO DE BOMBA - LANÇAMENTO, ADENSAMENTO E ACABAMENTO. AF_02/2022_PS</v>
      </c>
      <c r="C184" s="271"/>
      <c r="D184" s="271"/>
      <c r="E184" s="272"/>
      <c r="I184" s="5"/>
    </row>
    <row r="185" spans="1:9" x14ac:dyDescent="0.2">
      <c r="A185" s="3"/>
      <c r="B185" s="91" t="s">
        <v>260</v>
      </c>
      <c r="C185" s="91" t="s">
        <v>8</v>
      </c>
      <c r="D185" s="91" t="s">
        <v>677</v>
      </c>
      <c r="E185" s="91" t="s">
        <v>261</v>
      </c>
      <c r="F185" s="91" t="s">
        <v>262</v>
      </c>
      <c r="G185" s="91" t="s">
        <v>263</v>
      </c>
      <c r="H185" s="91" t="s">
        <v>11</v>
      </c>
      <c r="I185" s="5"/>
    </row>
    <row r="186" spans="1:9" ht="25.5" x14ac:dyDescent="0.2">
      <c r="A186" s="3"/>
      <c r="B186" s="149" t="s">
        <v>619</v>
      </c>
      <c r="C186" s="7"/>
      <c r="D186" s="7">
        <v>1.84</v>
      </c>
      <c r="E186" s="7"/>
      <c r="F186" s="7"/>
      <c r="G186" s="7"/>
      <c r="H186" s="8">
        <f>PRODUCT(C186,D186,E186,F186,G186)</f>
        <v>1.84</v>
      </c>
      <c r="I186" s="5"/>
    </row>
    <row r="187" spans="1:9" x14ac:dyDescent="0.2">
      <c r="A187" s="3"/>
      <c r="B187" s="6"/>
      <c r="C187" s="7"/>
      <c r="D187" s="7"/>
      <c r="E187" s="7"/>
      <c r="F187" s="7"/>
      <c r="G187" s="7"/>
      <c r="H187" s="8">
        <f>ROUND(IF(PRODUCT(IF(C187=0,1,C187),IF(E187=0,1,E187),IF(F187=0,1,F187),IF(G187=0,1,G187))=1,0,PRODUCT(IF(C187=0,1,C187),IF(E187=0,1,E187),IF(F187=0,1,F187),IF(G187=0,1,G187))),2)</f>
        <v>0</v>
      </c>
      <c r="I187" s="5"/>
    </row>
    <row r="188" spans="1:9" x14ac:dyDescent="0.2">
      <c r="A188" s="3"/>
      <c r="C188" s="10"/>
      <c r="D188" s="10"/>
      <c r="E188" s="9"/>
      <c r="F188" s="94" t="s">
        <v>11</v>
      </c>
      <c r="G188" s="95" t="s">
        <v>264</v>
      </c>
      <c r="H188" s="11">
        <f>SUM(H186:H186)</f>
        <v>1.84</v>
      </c>
      <c r="I188" s="12" t="s">
        <v>24</v>
      </c>
    </row>
    <row r="189" spans="1:9" x14ac:dyDescent="0.2">
      <c r="A189" s="96" t="str">
        <f>'Orçamento Sintético'!A47</f>
        <v xml:space="preserve"> 4.2 </v>
      </c>
      <c r="B189" s="97" t="str">
        <f>'Orçamento Sintético'!D47</f>
        <v>VIGAS SUPERIORES</v>
      </c>
      <c r="C189" s="273"/>
      <c r="D189" s="274"/>
      <c r="E189" s="274"/>
      <c r="F189" s="274"/>
      <c r="G189" s="274"/>
      <c r="H189" s="274"/>
      <c r="I189" s="275"/>
    </row>
    <row r="190" spans="1:9" ht="22.15" customHeight="1" x14ac:dyDescent="0.2">
      <c r="A190" s="3" t="str">
        <f>'Orçamento Sintético'!A48</f>
        <v>4.2.1</v>
      </c>
      <c r="B190" s="270" t="str">
        <f>'Orçamento Sintético'!D48</f>
        <v>MONTAGEM E DESMONTAGEM DE FÔRMA DE VIGA, ESCORAMENTO COM GARFO DE MADEIRA, PÉ-DIREITO SIMPLES, EM CHAPA DE MADEIRA PLASTIFICADA, 18 UTILIZAÇÕES. AF_09/2020</v>
      </c>
      <c r="C190" s="271"/>
      <c r="D190" s="271"/>
      <c r="E190" s="272"/>
      <c r="I190" s="5"/>
    </row>
    <row r="191" spans="1:9" x14ac:dyDescent="0.2">
      <c r="A191" s="3"/>
      <c r="B191" s="91" t="s">
        <v>260</v>
      </c>
      <c r="C191" s="91" t="s">
        <v>8</v>
      </c>
      <c r="D191" s="91" t="s">
        <v>266</v>
      </c>
      <c r="E191" s="91" t="s">
        <v>261</v>
      </c>
      <c r="F191" s="91" t="s">
        <v>262</v>
      </c>
      <c r="G191" s="91" t="s">
        <v>263</v>
      </c>
      <c r="H191" s="91" t="s">
        <v>11</v>
      </c>
      <c r="I191" s="5"/>
    </row>
    <row r="192" spans="1:9" x14ac:dyDescent="0.2">
      <c r="A192" s="3"/>
      <c r="B192" s="6"/>
      <c r="C192" s="7"/>
      <c r="D192" s="7">
        <v>17.940000000000001</v>
      </c>
      <c r="E192" s="7"/>
      <c r="F192" s="7"/>
      <c r="G192" s="7"/>
      <c r="H192" s="8">
        <f>ROUND(IF(PRODUCT(IF(C192=0,1,C192),IF(D192=0,1,D192),IF(E192=0,1,E192),IF(F192=0,1,F192),IF(G192=0,1,G192))=1,0,PRODUCT(IF(C192=0,1,C192),IF(D192=0,1,D192),IF(E192=0,1,E192),IF(F192=0,1,F192),IF(G192=0,1,G192))),2)</f>
        <v>17.940000000000001</v>
      </c>
      <c r="I192" s="5"/>
    </row>
    <row r="193" spans="1:9" x14ac:dyDescent="0.2">
      <c r="A193" s="3"/>
      <c r="B193" s="6"/>
      <c r="C193" s="7"/>
      <c r="D193" s="7"/>
      <c r="E193" s="7"/>
      <c r="F193" s="7"/>
      <c r="G193" s="7"/>
      <c r="H193" s="8">
        <f>ROUND(IF(PRODUCT(IF(C193=0,1,C193),IF(E193=0,1,E193),IF(F193=0,1,F193),IF(G193=0,1,G193))=1,0,PRODUCT(IF(C193=0,1,C193),IF(E193=0,1,E193),IF(F193=0,1,F193),IF(G193=0,1,G193))),2)</f>
        <v>0</v>
      </c>
      <c r="I193" s="5"/>
    </row>
    <row r="194" spans="1:9" x14ac:dyDescent="0.2">
      <c r="A194" s="3"/>
      <c r="C194" s="10"/>
      <c r="D194" s="10"/>
      <c r="E194" s="9"/>
      <c r="F194" s="94" t="s">
        <v>11</v>
      </c>
      <c r="G194" s="95" t="s">
        <v>264</v>
      </c>
      <c r="H194" s="11">
        <f>SUM(H192:H192)</f>
        <v>17.940000000000001</v>
      </c>
      <c r="I194" s="12" t="s">
        <v>17</v>
      </c>
    </row>
    <row r="195" spans="1:9" ht="22.9" customHeight="1" x14ac:dyDescent="0.2">
      <c r="A195" s="3" t="str">
        <f>'Orçamento Sintético'!A49</f>
        <v>4.2.2</v>
      </c>
      <c r="B195" s="270" t="str">
        <f>'Orçamento Sintético'!D49</f>
        <v>ARMAÇÃO DE PILAR OU VIGA DE ESTRUTURA CONVENCIONAL DE CONCRETO ARMADOUTILIZANDO AÇO CA-60 DE 5,0 MM - MONTAGEM. AF_06/2022</v>
      </c>
      <c r="C195" s="271"/>
      <c r="D195" s="271"/>
      <c r="E195" s="272"/>
      <c r="I195" s="5"/>
    </row>
    <row r="196" spans="1:9" x14ac:dyDescent="0.2">
      <c r="A196" s="3"/>
      <c r="B196" s="91" t="s">
        <v>260</v>
      </c>
      <c r="C196" s="91" t="s">
        <v>8</v>
      </c>
      <c r="D196" s="91" t="s">
        <v>676</v>
      </c>
      <c r="E196" s="91" t="s">
        <v>261</v>
      </c>
      <c r="F196" s="91" t="s">
        <v>262</v>
      </c>
      <c r="G196" s="91" t="s">
        <v>263</v>
      </c>
      <c r="H196" s="91" t="s">
        <v>11</v>
      </c>
      <c r="I196" s="5"/>
    </row>
    <row r="197" spans="1:9" x14ac:dyDescent="0.2">
      <c r="A197" s="3"/>
      <c r="B197" s="6"/>
      <c r="C197" s="198"/>
      <c r="D197" s="7">
        <v>30</v>
      </c>
      <c r="E197" s="7"/>
      <c r="F197" s="7"/>
      <c r="G197" s="7"/>
      <c r="H197" s="8">
        <f>ROUND(IF(PRODUCT(IF(C197=0,1,C197),IF(D197=0,1,D197),IF(E197=0,1,E197),IF(F197=0,1,F197),IF(G197=0,1,G197))=1,0,PRODUCT(IF(C197=0,1,C197),IF(D197=0,1,D197),IF(E197=0,1,E197),IF(F197=0,1,F197),IF(G197=0,1,G197))),2)</f>
        <v>30</v>
      </c>
      <c r="I197" s="5"/>
    </row>
    <row r="198" spans="1:9" x14ac:dyDescent="0.2">
      <c r="A198" s="3"/>
      <c r="B198" s="6"/>
      <c r="C198" s="7"/>
      <c r="D198" s="7"/>
      <c r="E198" s="7"/>
      <c r="F198" s="7"/>
      <c r="G198" s="7"/>
      <c r="H198" s="8">
        <f>ROUND(IF(PRODUCT(IF(C198=0,1,C198),IF(E198=0,1,E198),IF(F198=0,1,F198),IF(G198=0,1,G198))=1,0,PRODUCT(IF(C198=0,1,C198),IF(E198=0,1,E198),IF(F198=0,1,F198),IF(G198=0,1,G198))),2)</f>
        <v>0</v>
      </c>
      <c r="I198" s="5"/>
    </row>
    <row r="199" spans="1:9" x14ac:dyDescent="0.2">
      <c r="A199" s="3"/>
      <c r="C199" s="10"/>
      <c r="D199" s="10"/>
      <c r="E199" s="9"/>
      <c r="F199" s="94" t="s">
        <v>11</v>
      </c>
      <c r="G199" s="95" t="s">
        <v>264</v>
      </c>
      <c r="H199" s="11">
        <f>SUM(H197:H197)</f>
        <v>30</v>
      </c>
      <c r="I199" s="12" t="s">
        <v>299</v>
      </c>
    </row>
    <row r="200" spans="1:9" ht="21.6" customHeight="1" x14ac:dyDescent="0.2">
      <c r="A200" s="3" t="str">
        <f>'Orçamento Sintético'!A50</f>
        <v>4.2.3</v>
      </c>
      <c r="B200" s="270" t="str">
        <f>'Orçamento Sintético'!D50</f>
        <v>ARMAÇÃO DE PILAR OU VIGA DE ESTRUTURA CONVENCIONAL DE CONCRETO ARMADO UTILIZANDO AÇO CA-50 DE 8,0 MM - MONTAGEM. AF_06/2022</v>
      </c>
      <c r="C200" s="271"/>
      <c r="D200" s="271"/>
      <c r="E200" s="272"/>
      <c r="I200" s="5"/>
    </row>
    <row r="201" spans="1:9" x14ac:dyDescent="0.2">
      <c r="A201" s="3"/>
      <c r="B201" s="91" t="s">
        <v>260</v>
      </c>
      <c r="C201" s="91" t="s">
        <v>8</v>
      </c>
      <c r="D201" s="91" t="s">
        <v>676</v>
      </c>
      <c r="E201" s="91" t="s">
        <v>261</v>
      </c>
      <c r="F201" s="91" t="s">
        <v>262</v>
      </c>
      <c r="G201" s="91" t="s">
        <v>263</v>
      </c>
      <c r="H201" s="91" t="s">
        <v>11</v>
      </c>
      <c r="I201" s="5"/>
    </row>
    <row r="202" spans="1:9" x14ac:dyDescent="0.2">
      <c r="A202" s="3"/>
      <c r="B202" s="6"/>
      <c r="C202" s="198"/>
      <c r="D202" s="7">
        <v>63</v>
      </c>
      <c r="E202" s="7"/>
      <c r="F202" s="7"/>
      <c r="G202" s="7"/>
      <c r="H202" s="8">
        <f>PRODUCT(C202,D202,E202,F202,G202)</f>
        <v>63</v>
      </c>
      <c r="I202" s="5"/>
    </row>
    <row r="203" spans="1:9" x14ac:dyDescent="0.2">
      <c r="A203" s="3"/>
      <c r="B203" s="6"/>
      <c r="C203" s="7"/>
      <c r="D203" s="7"/>
      <c r="E203" s="7"/>
      <c r="F203" s="7"/>
      <c r="G203" s="7"/>
      <c r="H203" s="8">
        <f>ROUND(IF(PRODUCT(IF(C203=0,1,C203),IF(E203=0,1,E203),IF(F203=0,1,F203),IF(G203=0,1,G203))=1,0,PRODUCT(IF(C203=0,1,C203),IF(E203=0,1,E203),IF(F203=0,1,F203),IF(G203=0,1,G203))),2)</f>
        <v>0</v>
      </c>
      <c r="I203" s="5"/>
    </row>
    <row r="204" spans="1:9" x14ac:dyDescent="0.2">
      <c r="A204" s="3"/>
      <c r="C204" s="10"/>
      <c r="D204" s="10"/>
      <c r="E204" s="9"/>
      <c r="F204" s="94" t="s">
        <v>11</v>
      </c>
      <c r="G204" s="95" t="s">
        <v>264</v>
      </c>
      <c r="H204" s="11">
        <f>SUM(H202:H202)</f>
        <v>63</v>
      </c>
      <c r="I204" s="12" t="s">
        <v>299</v>
      </c>
    </row>
    <row r="205" spans="1:9" ht="21.6" customHeight="1" x14ac:dyDescent="0.2">
      <c r="A205" s="3" t="str">
        <f>'Orçamento Sintético'!A51</f>
        <v>4.2.4</v>
      </c>
      <c r="B205" s="270" t="str">
        <f>'Orçamento Sintético'!D51</f>
        <v>ARMAÇÃO DE PILAR OU VIGA DE ESTRUTURA CONVENCIONAL DE CONCRETO ARMADO UTILIZANDO AÇO CA-50 DE 10,0 MM - MONTAGEM. AF_06/2022</v>
      </c>
      <c r="C205" s="271"/>
      <c r="D205" s="271"/>
      <c r="E205" s="272"/>
      <c r="I205" s="5"/>
    </row>
    <row r="206" spans="1:9" x14ac:dyDescent="0.2">
      <c r="A206" s="3"/>
      <c r="B206" s="91" t="s">
        <v>260</v>
      </c>
      <c r="C206" s="91" t="s">
        <v>8</v>
      </c>
      <c r="D206" s="91" t="s">
        <v>676</v>
      </c>
      <c r="E206" s="91" t="s">
        <v>261</v>
      </c>
      <c r="F206" s="91" t="s">
        <v>262</v>
      </c>
      <c r="G206" s="91" t="s">
        <v>263</v>
      </c>
      <c r="H206" s="91" t="s">
        <v>11</v>
      </c>
      <c r="I206" s="5"/>
    </row>
    <row r="207" spans="1:9" x14ac:dyDescent="0.2">
      <c r="A207" s="3"/>
      <c r="B207" s="6"/>
      <c r="C207" s="198"/>
      <c r="D207" s="7">
        <v>7</v>
      </c>
      <c r="E207" s="7"/>
      <c r="F207" s="7"/>
      <c r="G207" s="7"/>
      <c r="H207" s="8">
        <f>PRODUCT(C207,D207,E207,F207,G207)</f>
        <v>7</v>
      </c>
      <c r="I207" s="5"/>
    </row>
    <row r="208" spans="1:9" x14ac:dyDescent="0.2">
      <c r="A208" s="3"/>
      <c r="B208" s="6"/>
      <c r="C208" s="7"/>
      <c r="D208" s="7"/>
      <c r="E208" s="7"/>
      <c r="F208" s="7"/>
      <c r="G208" s="7"/>
      <c r="H208" s="8">
        <f>ROUND(IF(PRODUCT(IF(C208=0,1,C208),IF(E208=0,1,E208),IF(F208=0,1,F208),IF(G208=0,1,G208))=1,0,PRODUCT(IF(C208=0,1,C208),IF(E208=0,1,E208),IF(F208=0,1,F208),IF(G208=0,1,G208))),2)</f>
        <v>0</v>
      </c>
      <c r="I208" s="5"/>
    </row>
    <row r="209" spans="1:9" x14ac:dyDescent="0.2">
      <c r="A209" s="3"/>
      <c r="C209" s="10"/>
      <c r="D209" s="10"/>
      <c r="E209" s="9"/>
      <c r="F209" s="94" t="s">
        <v>11</v>
      </c>
      <c r="G209" s="95" t="s">
        <v>264</v>
      </c>
      <c r="H209" s="11">
        <f>SUM(H207:H207)</f>
        <v>7</v>
      </c>
      <c r="I209" s="12" t="s">
        <v>299</v>
      </c>
    </row>
    <row r="210" spans="1:9" ht="23.25" customHeight="1" x14ac:dyDescent="0.2">
      <c r="A210" s="3" t="str">
        <f>'Orçamento Sintético'!A52</f>
        <v>4.2.5</v>
      </c>
      <c r="B210" s="270" t="str">
        <f>'Orçamento Sintético'!D52</f>
        <v>CONCRETAGEM DE VIGAS E LAJES, FCK=25 MPA, PARA LAJES PREMOLDADAS COM USO DE BOMBA - LANÇAMENTO, ADENSAMENTO E ACABAMENTO. AF_02/2022_PS</v>
      </c>
      <c r="C210" s="271"/>
      <c r="D210" s="271"/>
      <c r="E210" s="272"/>
      <c r="I210" s="5"/>
    </row>
    <row r="211" spans="1:9" x14ac:dyDescent="0.2">
      <c r="A211" s="3"/>
      <c r="B211" s="91" t="s">
        <v>260</v>
      </c>
      <c r="C211" s="91" t="s">
        <v>8</v>
      </c>
      <c r="D211" s="91" t="s">
        <v>677</v>
      </c>
      <c r="E211" s="91" t="s">
        <v>261</v>
      </c>
      <c r="F211" s="91" t="s">
        <v>262</v>
      </c>
      <c r="G211" s="91" t="s">
        <v>263</v>
      </c>
      <c r="H211" s="91" t="s">
        <v>11</v>
      </c>
      <c r="I211" s="5"/>
    </row>
    <row r="212" spans="1:9" ht="25.5" x14ac:dyDescent="0.2">
      <c r="A212" s="3"/>
      <c r="B212" s="149" t="s">
        <v>619</v>
      </c>
      <c r="C212" s="7"/>
      <c r="D212" s="7">
        <v>1.62</v>
      </c>
      <c r="E212" s="7"/>
      <c r="F212" s="7"/>
      <c r="G212" s="7"/>
      <c r="H212" s="8">
        <f>PRODUCT(C212,D212,E212,F212,G212)</f>
        <v>1.62</v>
      </c>
      <c r="I212" s="5"/>
    </row>
    <row r="213" spans="1:9" x14ac:dyDescent="0.2">
      <c r="A213" s="3"/>
      <c r="B213" s="6"/>
      <c r="C213" s="7"/>
      <c r="D213" s="7"/>
      <c r="E213" s="7"/>
      <c r="F213" s="7"/>
      <c r="G213" s="7"/>
      <c r="H213" s="8">
        <f>ROUND(IF(PRODUCT(IF(C213=0,1,C213),IF(E213=0,1,E213),IF(F213=0,1,F213),IF(G213=0,1,G213))=1,0,PRODUCT(IF(C213=0,1,C213),IF(E213=0,1,E213),IF(F213=0,1,F213),IF(G213=0,1,G213))),2)</f>
        <v>0</v>
      </c>
      <c r="I213" s="5"/>
    </row>
    <row r="214" spans="1:9" x14ac:dyDescent="0.2">
      <c r="A214" s="3"/>
      <c r="C214" s="10"/>
      <c r="D214" s="10"/>
      <c r="E214" s="9"/>
      <c r="F214" s="94" t="s">
        <v>11</v>
      </c>
      <c r="G214" s="95" t="s">
        <v>264</v>
      </c>
      <c r="H214" s="11">
        <f>SUM(H212:H213)</f>
        <v>1.62</v>
      </c>
      <c r="I214" s="12" t="s">
        <v>24</v>
      </c>
    </row>
    <row r="215" spans="1:9" x14ac:dyDescent="0.2">
      <c r="A215" s="96" t="str">
        <f>'Orçamento Sintético'!A53</f>
        <v xml:space="preserve"> 4.3 </v>
      </c>
      <c r="B215" s="97" t="str">
        <f>'Orçamento Sintético'!D53</f>
        <v>LAJE</v>
      </c>
      <c r="C215" s="273"/>
      <c r="D215" s="274"/>
      <c r="E215" s="274"/>
      <c r="F215" s="274"/>
      <c r="G215" s="274"/>
      <c r="H215" s="274"/>
      <c r="I215" s="275"/>
    </row>
    <row r="216" spans="1:9" ht="24.75" customHeight="1" x14ac:dyDescent="0.2">
      <c r="A216" s="3" t="str">
        <f>'Orçamento Sintético'!A54</f>
        <v xml:space="preserve"> 4.3.1 </v>
      </c>
      <c r="B216" s="270" t="str">
        <f>'Orçamento Sintético'!D54</f>
        <v>LAJE PRÉ-FABRICADA TRELIÇADA PARA PISO OU COBERTURA, INTEREIXO 38CM, H=12CM, EL. ENCHIMENTO EM EPS H=8CM, INCLUSIVE ESCORAMENTO EM MADEIRA E CAPEAMENTO 4CM</v>
      </c>
      <c r="C216" s="271"/>
      <c r="D216" s="271"/>
      <c r="E216" s="272"/>
      <c r="I216" s="5"/>
    </row>
    <row r="217" spans="1:9" x14ac:dyDescent="0.2">
      <c r="A217" s="3"/>
      <c r="B217" s="91" t="s">
        <v>260</v>
      </c>
      <c r="C217" s="91" t="s">
        <v>8</v>
      </c>
      <c r="D217" s="91" t="s">
        <v>266</v>
      </c>
      <c r="E217" s="91" t="s">
        <v>261</v>
      </c>
      <c r="F217" s="91" t="s">
        <v>262</v>
      </c>
      <c r="G217" s="91" t="s">
        <v>263</v>
      </c>
      <c r="H217" s="91" t="s">
        <v>11</v>
      </c>
      <c r="I217" s="5"/>
    </row>
    <row r="218" spans="1:9" ht="25.5" x14ac:dyDescent="0.2">
      <c r="A218" s="3"/>
      <c r="B218" s="149" t="s">
        <v>619</v>
      </c>
      <c r="C218" s="7"/>
      <c r="D218" s="7">
        <v>11.75</v>
      </c>
      <c r="E218" s="7"/>
      <c r="F218" s="7"/>
      <c r="G218" s="7"/>
      <c r="H218" s="8">
        <f>ROUND(IF(PRODUCT(IF(C218=0,1,C218),IF(D218=0,1,D218),IF(E218=0,1,E218),IF(F218=0,1,F218),IF(G218=0,1,G218))=1,0,PRODUCT(IF(C218=0,1,C218),IF(D218=0,1,D218),IF(E218=0,1,E218),IF(F218=0,1,F218),IF(G218=0,1,G218))),2)</f>
        <v>11.75</v>
      </c>
      <c r="I218" s="5"/>
    </row>
    <row r="219" spans="1:9" x14ac:dyDescent="0.2">
      <c r="A219" s="3"/>
      <c r="B219" s="6"/>
      <c r="C219" s="7"/>
      <c r="D219" s="7"/>
      <c r="E219" s="7"/>
      <c r="F219" s="7"/>
      <c r="G219" s="7"/>
      <c r="H219" s="8">
        <f>ROUND(IF(PRODUCT(IF(C219=0,1,C219),IF(E219=0,1,E219),IF(F219=0,1,F219),IF(G219=0,1,G219))=1,0,PRODUCT(IF(C219=0,1,C219),IF(E219=0,1,E219),IF(F219=0,1,F219),IF(G219=0,1,G219))),2)</f>
        <v>0</v>
      </c>
      <c r="I219" s="5"/>
    </row>
    <row r="220" spans="1:9" x14ac:dyDescent="0.2">
      <c r="A220" s="3"/>
      <c r="C220" s="10"/>
      <c r="D220" s="10"/>
      <c r="E220" s="9"/>
      <c r="F220" s="94" t="s">
        <v>11</v>
      </c>
      <c r="G220" s="95" t="s">
        <v>264</v>
      </c>
      <c r="H220" s="11">
        <f>SUM(H218:H218)</f>
        <v>11.75</v>
      </c>
      <c r="I220" s="12" t="s">
        <v>17</v>
      </c>
    </row>
    <row r="221" spans="1:9" x14ac:dyDescent="0.2">
      <c r="A221" s="96" t="str">
        <f>'Orçamento Sintético'!A55</f>
        <v xml:space="preserve"> 4.4 </v>
      </c>
      <c r="B221" s="97" t="str">
        <f>'Orçamento Sintético'!D55</f>
        <v>ALVENARIA E VEDAÇÕES</v>
      </c>
      <c r="C221" s="273"/>
      <c r="D221" s="274"/>
      <c r="E221" s="274"/>
      <c r="F221" s="274"/>
      <c r="G221" s="274"/>
      <c r="H221" s="274"/>
      <c r="I221" s="275"/>
    </row>
    <row r="222" spans="1:9" ht="24.75" customHeight="1" x14ac:dyDescent="0.2">
      <c r="A222" s="3" t="str">
        <f>'Orçamento Sintético'!A56</f>
        <v xml:space="preserve"> 4.4.1 </v>
      </c>
      <c r="B222" s="270" t="str">
        <f>'Orçamento Sintético'!D56</f>
        <v>ALVENARIA DE VEDAÇÃO DE BLOCOS CERÂMICOS FURADOS NA HORIZONTAL DE 9X19X19 CM (ESPESSURA 9 CM) E ARGAMASSA DE ASSENTAMENTO COM PREPARO EM BETONEIRA. AF_12/2021</v>
      </c>
      <c r="C222" s="271"/>
      <c r="D222" s="271"/>
      <c r="E222" s="272"/>
      <c r="I222" s="5"/>
    </row>
    <row r="223" spans="1:9" x14ac:dyDescent="0.2">
      <c r="A223" s="3"/>
      <c r="B223" s="91" t="s">
        <v>260</v>
      </c>
      <c r="C223" s="91" t="s">
        <v>8</v>
      </c>
      <c r="D223" s="91" t="s">
        <v>266</v>
      </c>
      <c r="E223" s="91" t="s">
        <v>261</v>
      </c>
      <c r="F223" s="91" t="s">
        <v>262</v>
      </c>
      <c r="G223" s="91" t="s">
        <v>263</v>
      </c>
      <c r="H223" s="91" t="s">
        <v>11</v>
      </c>
      <c r="I223" s="5"/>
    </row>
    <row r="224" spans="1:9" x14ac:dyDescent="0.2">
      <c r="A224" s="3"/>
      <c r="B224" s="6" t="s">
        <v>286</v>
      </c>
      <c r="C224" s="7"/>
      <c r="D224" s="7"/>
      <c r="E224" s="7">
        <f>2.95+2.95+2.95+1.5+10.1+10.1</f>
        <v>30.550000000000004</v>
      </c>
      <c r="F224" s="7"/>
      <c r="G224" s="7">
        <v>5</v>
      </c>
      <c r="H224" s="8">
        <f>ROUND(IF(PRODUCT(IF(C224=0,1,C224),IF(D224=0,1,D224),IF(E224=0,1,E224),IF(F224=0,1,F224),IF(G224=0,1,G224))=1,0,PRODUCT(IF(C224=0,1,C224),IF(D224=0,1,D224),IF(E224=0,1,E224),IF(F224=0,1,F224),IF(G224=0,1,G224))),2)</f>
        <v>152.75</v>
      </c>
      <c r="I224" s="5"/>
    </row>
    <row r="225" spans="1:9" x14ac:dyDescent="0.2">
      <c r="A225" s="3"/>
      <c r="B225" s="6" t="s">
        <v>561</v>
      </c>
      <c r="C225" s="7"/>
      <c r="D225" s="7"/>
      <c r="E225" s="7">
        <v>2.95</v>
      </c>
      <c r="F225" s="7"/>
      <c r="G225" s="7">
        <v>3</v>
      </c>
      <c r="H225" s="8">
        <f>ROUND(IF(PRODUCT(IF(C225=0,1,C225),IF(D225=0,1,D225),IF(E225=0,1,E225),IF(F225=0,1,F225),IF(G225=0,1,G225))=1,0,PRODUCT(IF(C225=0,1,C225),IF(D225=0,1,D225),IF(E225=0,1,E225),IF(F225=0,1,F225),IF(G225=0,1,G225))),2)</f>
        <v>8.85</v>
      </c>
      <c r="I225" s="5"/>
    </row>
    <row r="226" spans="1:9" x14ac:dyDescent="0.2">
      <c r="B226" s="6"/>
      <c r="C226" s="7"/>
      <c r="D226" s="7"/>
      <c r="E226" s="7"/>
      <c r="F226" s="7"/>
      <c r="G226" s="7"/>
      <c r="H226" s="8"/>
      <c r="I226" s="26"/>
    </row>
    <row r="227" spans="1:9" x14ac:dyDescent="0.2">
      <c r="B227" s="23" t="s">
        <v>287</v>
      </c>
      <c r="C227" s="7"/>
      <c r="D227" s="7"/>
      <c r="E227" s="7"/>
      <c r="F227" s="7"/>
      <c r="G227" s="24"/>
      <c r="H227" s="6"/>
      <c r="I227" s="27"/>
    </row>
    <row r="228" spans="1:9" x14ac:dyDescent="0.2">
      <c r="B228" s="6"/>
      <c r="C228" s="7"/>
      <c r="D228" s="7"/>
      <c r="E228" s="7"/>
      <c r="F228" s="7"/>
      <c r="G228" s="24"/>
      <c r="H228" s="6"/>
      <c r="I228" s="27"/>
    </row>
    <row r="229" spans="1:9" x14ac:dyDescent="0.2">
      <c r="B229" s="16" t="s">
        <v>288</v>
      </c>
      <c r="C229" s="25">
        <v>3</v>
      </c>
      <c r="D229" s="25"/>
      <c r="E229" s="25"/>
      <c r="F229" s="25">
        <v>0.8</v>
      </c>
      <c r="G229" s="25">
        <v>2.1</v>
      </c>
      <c r="H229" s="17">
        <f>-ROUND(IF(PRODUCT(IF(C229=0,1,C229),IF(D229=0,1,D229),IF(E229=0,1,E229),IF(F229=0,1,F229),IF(G229=0,1,G229))=1,0,PRODUCT(IF(C229=0,1,C229),IF(D229=0,1,D229),IF(E229=0,1,E229),IF(F229=0,1,F229),IF(G229=0,1,G229))),2)</f>
        <v>-5.04</v>
      </c>
      <c r="I229" s="27"/>
    </row>
    <row r="230" spans="1:9" x14ac:dyDescent="0.2">
      <c r="B230" s="16" t="s">
        <v>289</v>
      </c>
      <c r="C230" s="25">
        <v>2</v>
      </c>
      <c r="D230" s="25"/>
      <c r="E230" s="25"/>
      <c r="F230" s="25">
        <v>0.8</v>
      </c>
      <c r="G230" s="25">
        <v>0.5</v>
      </c>
      <c r="H230" s="17">
        <f>-ROUND(IF(PRODUCT(IF(C230=0,1,C230),IF(D230=0,1,D230),IF(E230=0,1,E230),IF(F230=0,1,F230),IF(G230=0,1,G230))=1,0,PRODUCT(IF(C230=0,1,C230),IF(D230=0,1,D230),IF(E230=0,1,E230),IF(F230=0,1,F230),IF(G230=0,1,G230))),2)</f>
        <v>-0.8</v>
      </c>
      <c r="I230" s="27"/>
    </row>
    <row r="231" spans="1:9" x14ac:dyDescent="0.2">
      <c r="B231" s="16" t="s">
        <v>296</v>
      </c>
      <c r="C231" s="25"/>
      <c r="D231" s="25"/>
      <c r="E231" s="25"/>
      <c r="F231" s="25">
        <v>1.5</v>
      </c>
      <c r="G231" s="25">
        <v>2.7</v>
      </c>
      <c r="H231" s="17">
        <f>-ROUND(IF(PRODUCT(IF(C231=0,1,C231),IF(D231=0,1,D231),IF(E231=0,1,E231),IF(F231=0,1,F231),IF(G231=0,1,G231))=1,0,PRODUCT(IF(C231=0,1,C231),IF(D231=0,1,D231),IF(E231=0,1,E231),IF(F231=0,1,F231),IF(G231=0,1,G231))),2)</f>
        <v>-4.05</v>
      </c>
      <c r="I231" s="27"/>
    </row>
    <row r="232" spans="1:9" x14ac:dyDescent="0.2">
      <c r="A232" s="3"/>
      <c r="B232" s="6"/>
      <c r="C232" s="7"/>
      <c r="D232" s="7"/>
      <c r="E232" s="7"/>
      <c r="F232" s="7"/>
      <c r="G232" s="7"/>
      <c r="H232" s="8">
        <f>ROUND(IF(PRODUCT(IF(C232=0,1,C232),IF(E232=0,1,E232),IF(F232=0,1,F232),IF(G232=0,1,G232))=1,0,PRODUCT(IF(C232=0,1,C232),IF(E232=0,1,E232),IF(F232=0,1,F232),IF(G232=0,1,G232))),2)</f>
        <v>0</v>
      </c>
      <c r="I232" s="5"/>
    </row>
    <row r="233" spans="1:9" x14ac:dyDescent="0.2">
      <c r="A233" s="3"/>
      <c r="C233" s="10"/>
      <c r="D233" s="10"/>
      <c r="E233" s="9"/>
      <c r="F233" s="94" t="s">
        <v>11</v>
      </c>
      <c r="G233" s="95" t="s">
        <v>264</v>
      </c>
      <c r="H233" s="11">
        <f>SUM(H224:H232)</f>
        <v>151.70999999999998</v>
      </c>
      <c r="I233" s="12" t="s">
        <v>17</v>
      </c>
    </row>
    <row r="234" spans="1:9" ht="14.25" customHeight="1" x14ac:dyDescent="0.2">
      <c r="A234" s="3" t="str">
        <f>'Orçamento Sintético'!A57</f>
        <v xml:space="preserve"> 4.4.2</v>
      </c>
      <c r="B234" s="270" t="str">
        <f>'Orçamento Sintético'!D57</f>
        <v>VERGA PRÉ-MOLDADA COM ATÉ 1,5 M DE VÃO, ESPESSURA DE *20* CM. AF_03/2024</v>
      </c>
      <c r="C234" s="271"/>
      <c r="D234" s="271"/>
      <c r="E234" s="272"/>
      <c r="I234" s="5"/>
    </row>
    <row r="235" spans="1:9" x14ac:dyDescent="0.2">
      <c r="A235" s="3"/>
      <c r="B235" s="91" t="s">
        <v>260</v>
      </c>
      <c r="C235" s="91" t="s">
        <v>8</v>
      </c>
      <c r="D235" s="91" t="s">
        <v>266</v>
      </c>
      <c r="E235" s="91" t="s">
        <v>261</v>
      </c>
      <c r="F235" s="91" t="s">
        <v>262</v>
      </c>
      <c r="G235" s="91" t="s">
        <v>263</v>
      </c>
      <c r="H235" s="91" t="s">
        <v>11</v>
      </c>
      <c r="I235" s="5"/>
    </row>
    <row r="236" spans="1:9" x14ac:dyDescent="0.2">
      <c r="A236" s="3"/>
      <c r="B236" s="6" t="s">
        <v>288</v>
      </c>
      <c r="C236" s="7">
        <v>3</v>
      </c>
      <c r="D236" s="7"/>
      <c r="E236" s="7">
        <f>0.8+0.2+0.2</f>
        <v>1.2</v>
      </c>
      <c r="F236" s="7"/>
      <c r="G236" s="7"/>
      <c r="H236" s="8">
        <f>ROUND(IF(PRODUCT(IF(C236=0,1,C236),IF(D236=0,1,D236),IF(E236=0,1,E236),IF(F236=0,1,F236),IF(G236=0,1,G236))=1,0,PRODUCT(IF(C236=0,1,C236),IF(D236=0,1,D236),IF(E236=0,1,E236),IF(F236=0,1,F236),IF(G236=0,1,G236))),2)</f>
        <v>3.6</v>
      </c>
      <c r="I236" s="5"/>
    </row>
    <row r="237" spans="1:9" x14ac:dyDescent="0.2">
      <c r="A237" s="3"/>
      <c r="B237" s="6"/>
      <c r="C237" s="7"/>
      <c r="D237" s="7"/>
      <c r="E237" s="7"/>
      <c r="F237" s="7"/>
      <c r="G237" s="7"/>
      <c r="H237" s="8">
        <f t="shared" ref="H237:H238" si="0">ROUND(IF(PRODUCT(IF(C237=0,1,C237),IF(D237=0,1,D237),IF(E237=0,1,E237),IF(F237=0,1,F237),IF(G237=0,1,G237))=1,0,PRODUCT(IF(C237=0,1,C237),IF(D237=0,1,D237),IF(E237=0,1,E237),IF(F237=0,1,F237),IF(G237=0,1,G237))),2)</f>
        <v>0</v>
      </c>
      <c r="I237" s="5"/>
    </row>
    <row r="238" spans="1:9" x14ac:dyDescent="0.2">
      <c r="A238" s="3"/>
      <c r="B238" s="6" t="s">
        <v>289</v>
      </c>
      <c r="C238" s="7">
        <v>2</v>
      </c>
      <c r="D238" s="7"/>
      <c r="E238" s="7">
        <f>0.8+0.2+0.2</f>
        <v>1.2</v>
      </c>
      <c r="F238" s="7"/>
      <c r="G238" s="7"/>
      <c r="H238" s="8">
        <f t="shared" si="0"/>
        <v>2.4</v>
      </c>
      <c r="I238" s="5"/>
    </row>
    <row r="239" spans="1:9" x14ac:dyDescent="0.2">
      <c r="A239" s="3"/>
      <c r="B239" s="6"/>
      <c r="C239" s="7"/>
      <c r="D239" s="7"/>
      <c r="E239" s="7"/>
      <c r="F239" s="7"/>
      <c r="G239" s="7"/>
      <c r="H239" s="8">
        <f>ROUND(IF(PRODUCT(IF(C239=0,1,C239),IF(E239=0,1,E239),IF(F239=0,1,F239),IF(G239=0,1,G239))=1,0,PRODUCT(IF(C239=0,1,C239),IF(E239=0,1,E239),IF(F239=0,1,F239),IF(G239=0,1,G239))),2)</f>
        <v>0</v>
      </c>
      <c r="I239" s="5"/>
    </row>
    <row r="240" spans="1:9" x14ac:dyDescent="0.2">
      <c r="A240" s="3"/>
      <c r="C240" s="10"/>
      <c r="D240" s="10"/>
      <c r="E240" s="9"/>
      <c r="F240" s="94" t="s">
        <v>11</v>
      </c>
      <c r="G240" s="95" t="s">
        <v>264</v>
      </c>
      <c r="H240" s="11">
        <f>SUM(H236:H238)</f>
        <v>6</v>
      </c>
      <c r="I240" s="12" t="s">
        <v>186</v>
      </c>
    </row>
    <row r="241" spans="1:9" ht="13.5" customHeight="1" x14ac:dyDescent="0.2">
      <c r="A241" s="3" t="str">
        <f>'Orçamento Sintético'!A58</f>
        <v xml:space="preserve"> 4.4.3</v>
      </c>
      <c r="B241" s="270" t="str">
        <f>'Orçamento Sintético'!D58</f>
        <v>CONTRAVERGA PRÉ-MOLDADA, ESPESSURA DE *20* CM. AF_03/2024</v>
      </c>
      <c r="C241" s="271"/>
      <c r="D241" s="271"/>
      <c r="E241" s="272"/>
      <c r="I241" s="5"/>
    </row>
    <row r="242" spans="1:9" x14ac:dyDescent="0.2">
      <c r="A242" s="3"/>
      <c r="B242" s="91" t="s">
        <v>260</v>
      </c>
      <c r="C242" s="91" t="s">
        <v>8</v>
      </c>
      <c r="D242" s="91" t="s">
        <v>266</v>
      </c>
      <c r="E242" s="91" t="s">
        <v>261</v>
      </c>
      <c r="F242" s="91" t="s">
        <v>262</v>
      </c>
      <c r="G242" s="91" t="s">
        <v>263</v>
      </c>
      <c r="H242" s="91" t="s">
        <v>11</v>
      </c>
      <c r="I242" s="5"/>
    </row>
    <row r="243" spans="1:9" x14ac:dyDescent="0.2">
      <c r="A243" s="3"/>
      <c r="B243" s="6" t="s">
        <v>289</v>
      </c>
      <c r="C243" s="7">
        <v>2</v>
      </c>
      <c r="D243" s="7"/>
      <c r="E243" s="7">
        <f>0.8+0.2+0.2</f>
        <v>1.2</v>
      </c>
      <c r="F243" s="7"/>
      <c r="G243" s="7"/>
      <c r="H243" s="8">
        <f t="shared" ref="H243" si="1">ROUND(IF(PRODUCT(IF(C243=0,1,C243),IF(D243=0,1,D243),IF(E243=0,1,E243),IF(F243=0,1,F243),IF(G243=0,1,G243))=1,0,PRODUCT(IF(C243=0,1,C243),IF(D243=0,1,D243),IF(E243=0,1,E243),IF(F243=0,1,F243),IF(G243=0,1,G243))),2)</f>
        <v>2.4</v>
      </c>
      <c r="I243" s="5"/>
    </row>
    <row r="244" spans="1:9" x14ac:dyDescent="0.2">
      <c r="A244" s="3"/>
      <c r="B244" s="6"/>
      <c r="C244" s="7"/>
      <c r="D244" s="7"/>
      <c r="E244" s="7"/>
      <c r="F244" s="7"/>
      <c r="G244" s="7"/>
      <c r="H244" s="8">
        <f>ROUND(IF(PRODUCT(IF(C244=0,1,C244),IF(E244=0,1,E244),IF(F244=0,1,F244),IF(G244=0,1,G244))=1,0,PRODUCT(IF(C244=0,1,C244),IF(E244=0,1,E244),IF(F244=0,1,F244),IF(G244=0,1,G244))),2)</f>
        <v>0</v>
      </c>
      <c r="I244" s="5"/>
    </row>
    <row r="245" spans="1:9" x14ac:dyDescent="0.2">
      <c r="A245" s="3"/>
      <c r="C245" s="10"/>
      <c r="D245" s="10"/>
      <c r="E245" s="9"/>
      <c r="F245" s="94" t="s">
        <v>11</v>
      </c>
      <c r="G245" s="95" t="s">
        <v>264</v>
      </c>
      <c r="H245" s="11">
        <f>SUM(H243:H243)</f>
        <v>2.4</v>
      </c>
      <c r="I245" s="12" t="s">
        <v>186</v>
      </c>
    </row>
    <row r="246" spans="1:9" x14ac:dyDescent="0.2">
      <c r="A246" s="89" t="str">
        <f>'Orçamento Sintético'!A59</f>
        <v>5.0</v>
      </c>
      <c r="B246" s="90" t="str">
        <f>'Orçamento Sintético'!D59</f>
        <v xml:space="preserve">CHAPISCO / REBOCO - BANHEIROS  </v>
      </c>
      <c r="C246" s="282"/>
      <c r="D246" s="282"/>
      <c r="E246" s="282"/>
      <c r="F246" s="282"/>
      <c r="G246" s="282"/>
      <c r="H246" s="282"/>
      <c r="I246" s="282"/>
    </row>
    <row r="247" spans="1:9" x14ac:dyDescent="0.2">
      <c r="A247" s="96" t="str">
        <f>'Orçamento Sintético'!A60</f>
        <v>5.1</v>
      </c>
      <c r="B247" s="97" t="str">
        <f>'Orçamento Sintético'!D60</f>
        <v>PAREDES INTERNAS</v>
      </c>
      <c r="C247" s="273"/>
      <c r="D247" s="274"/>
      <c r="E247" s="274"/>
      <c r="F247" s="274"/>
      <c r="G247" s="274"/>
      <c r="H247" s="274"/>
      <c r="I247" s="275"/>
    </row>
    <row r="248" spans="1:9" ht="24.75" customHeight="1" x14ac:dyDescent="0.2">
      <c r="A248" s="3" t="str">
        <f>'Orçamento Sintético'!A61</f>
        <v>5.1.1</v>
      </c>
      <c r="B248" s="270" t="str">
        <f>'Orçamento Sintético'!D61</f>
        <v>CHAPISCO APLICADO EM ALVENARIAS E ESTRUTURAS DE CONCRETO INTERNAS, COM COLHER DE PEDREIRO.  ARGAMASSA TRAÇO 1:3 COM PREPARO EM BETONEIRA 400L. AF_10/2022</v>
      </c>
      <c r="C248" s="271"/>
      <c r="D248" s="271"/>
      <c r="E248" s="272"/>
      <c r="I248" s="5"/>
    </row>
    <row r="249" spans="1:9" x14ac:dyDescent="0.2">
      <c r="A249" s="3"/>
      <c r="B249" s="91" t="s">
        <v>260</v>
      </c>
      <c r="C249" s="91" t="s">
        <v>8</v>
      </c>
      <c r="D249" s="91" t="s">
        <v>266</v>
      </c>
      <c r="E249" s="91" t="s">
        <v>261</v>
      </c>
      <c r="F249" s="91" t="s">
        <v>262</v>
      </c>
      <c r="G249" s="91" t="s">
        <v>263</v>
      </c>
      <c r="H249" s="91" t="s">
        <v>11</v>
      </c>
      <c r="I249" s="5"/>
    </row>
    <row r="250" spans="1:9" x14ac:dyDescent="0.2">
      <c r="A250" s="3"/>
      <c r="B250" s="6" t="s">
        <v>292</v>
      </c>
      <c r="C250" s="7"/>
      <c r="D250" s="7"/>
      <c r="E250" s="7">
        <v>13.9</v>
      </c>
      <c r="F250" s="7"/>
      <c r="G250" s="7">
        <v>2.7</v>
      </c>
      <c r="H250" s="8">
        <f t="shared" ref="H250:H253" si="2">ROUND(IF(PRODUCT(IF(C250=0,1,C250),IF(D250=0,1,D250),IF(E250=0,1,E250),IF(F250=0,1,F250),IF(G250=0,1,G250))=1,0,PRODUCT(IF(C250=0,1,C250),IF(D250=0,1,D250),IF(E250=0,1,E250),IF(F250=0,1,F250),IF(G250=0,1,G250))),2)</f>
        <v>37.53</v>
      </c>
      <c r="I250" s="5"/>
    </row>
    <row r="251" spans="1:9" x14ac:dyDescent="0.2">
      <c r="A251" s="3"/>
      <c r="B251" s="6" t="s">
        <v>293</v>
      </c>
      <c r="C251" s="7"/>
      <c r="D251" s="7"/>
      <c r="E251" s="7">
        <v>13.9</v>
      </c>
      <c r="F251" s="7"/>
      <c r="G251" s="7">
        <v>2.7</v>
      </c>
      <c r="H251" s="8">
        <f t="shared" si="2"/>
        <v>37.53</v>
      </c>
      <c r="I251" s="5"/>
    </row>
    <row r="252" spans="1:9" x14ac:dyDescent="0.2">
      <c r="A252" s="3"/>
      <c r="B252" s="6" t="s">
        <v>294</v>
      </c>
      <c r="C252" s="7"/>
      <c r="D252" s="7"/>
      <c r="E252" s="7">
        <v>6.7</v>
      </c>
      <c r="F252" s="7"/>
      <c r="G252" s="7">
        <v>2.7</v>
      </c>
      <c r="H252" s="8">
        <f t="shared" si="2"/>
        <v>18.09</v>
      </c>
      <c r="I252" s="5"/>
    </row>
    <row r="253" spans="1:9" x14ac:dyDescent="0.2">
      <c r="A253" s="3"/>
      <c r="B253" s="6" t="s">
        <v>295</v>
      </c>
      <c r="C253" s="7"/>
      <c r="D253" s="7"/>
      <c r="E253" s="7">
        <f>5.2</f>
        <v>5.2</v>
      </c>
      <c r="F253" s="7"/>
      <c r="G253" s="7">
        <v>2.7</v>
      </c>
      <c r="H253" s="8">
        <f t="shared" si="2"/>
        <v>14.04</v>
      </c>
      <c r="I253" s="5"/>
    </row>
    <row r="254" spans="1:9" x14ac:dyDescent="0.2">
      <c r="B254" s="6"/>
      <c r="C254" s="7"/>
      <c r="D254" s="7"/>
      <c r="E254" s="7"/>
      <c r="F254" s="7"/>
      <c r="G254" s="7"/>
      <c r="H254" s="8"/>
      <c r="I254" s="5"/>
    </row>
    <row r="255" spans="1:9" x14ac:dyDescent="0.2">
      <c r="B255" s="23" t="s">
        <v>287</v>
      </c>
      <c r="C255" s="7"/>
      <c r="D255" s="7"/>
      <c r="E255" s="7"/>
      <c r="F255" s="7"/>
      <c r="G255" s="24"/>
      <c r="H255" s="6"/>
      <c r="I255" s="27"/>
    </row>
    <row r="256" spans="1:9" x14ac:dyDescent="0.2">
      <c r="B256" s="6"/>
      <c r="C256" s="7"/>
      <c r="D256" s="7"/>
      <c r="E256" s="7"/>
      <c r="F256" s="7"/>
      <c r="G256" s="24"/>
      <c r="H256" s="6"/>
      <c r="I256" s="27"/>
    </row>
    <row r="257" spans="1:9" x14ac:dyDescent="0.2">
      <c r="B257" s="16" t="s">
        <v>288</v>
      </c>
      <c r="C257" s="25">
        <v>3</v>
      </c>
      <c r="D257" s="25"/>
      <c r="E257" s="25"/>
      <c r="F257" s="25">
        <v>0.8</v>
      </c>
      <c r="G257" s="25">
        <v>2.1</v>
      </c>
      <c r="H257" s="17">
        <f>-ROUND(IF(PRODUCT(IF(C257=0,1,C257),IF(D257=0,1,D257),IF(E257=0,1,E257),IF(F257=0,1,F257),IF(G257=0,1,G257))=1,0,PRODUCT(IF(C257=0,1,C257),IF(D257=0,1,D257),IF(E257=0,1,E257),IF(F257=0,1,F257),IF(G257=0,1,G257))),2)</f>
        <v>-5.04</v>
      </c>
      <c r="I257" s="27"/>
    </row>
    <row r="258" spans="1:9" x14ac:dyDescent="0.2">
      <c r="B258" s="16" t="s">
        <v>289</v>
      </c>
      <c r="C258" s="25">
        <v>2</v>
      </c>
      <c r="D258" s="25"/>
      <c r="E258" s="25"/>
      <c r="F258" s="25">
        <v>0.8</v>
      </c>
      <c r="G258" s="25">
        <v>0.5</v>
      </c>
      <c r="H258" s="17">
        <f t="shared" ref="H258:H259" si="3">-ROUND(IF(PRODUCT(IF(C258=0,1,C258),IF(D258=0,1,D258),IF(E258=0,1,E258),IF(F258=0,1,F258),IF(G258=0,1,G258))=1,0,PRODUCT(IF(C258=0,1,C258),IF(D258=0,1,D258),IF(E258=0,1,E258),IF(F258=0,1,F258),IF(G258=0,1,G258))),2)</f>
        <v>-0.8</v>
      </c>
      <c r="I258" s="27"/>
    </row>
    <row r="259" spans="1:9" x14ac:dyDescent="0.2">
      <c r="B259" s="16" t="s">
        <v>296</v>
      </c>
      <c r="C259" s="25"/>
      <c r="D259" s="25"/>
      <c r="E259" s="25"/>
      <c r="F259" s="25">
        <v>1.5</v>
      </c>
      <c r="G259" s="25">
        <v>2.7</v>
      </c>
      <c r="H259" s="17">
        <f t="shared" si="3"/>
        <v>-4.05</v>
      </c>
      <c r="I259" s="27"/>
    </row>
    <row r="260" spans="1:9" x14ac:dyDescent="0.2">
      <c r="A260" s="3"/>
      <c r="B260" s="6"/>
      <c r="C260" s="7"/>
      <c r="D260" s="7"/>
      <c r="E260" s="7"/>
      <c r="F260" s="7"/>
      <c r="G260" s="7"/>
      <c r="H260" s="8">
        <f>ROUND(IF(PRODUCT(IF(C260=0,1,C260),IF(E260=0,1,E260),IF(F260=0,1,F260),IF(G260=0,1,G260))=1,0,PRODUCT(IF(C260=0,1,C260),IF(E260=0,1,E260),IF(F260=0,1,F260),IF(G260=0,1,G260))),2)</f>
        <v>0</v>
      </c>
      <c r="I260" s="5"/>
    </row>
    <row r="261" spans="1:9" x14ac:dyDescent="0.2">
      <c r="A261" s="3"/>
      <c r="C261" s="10"/>
      <c r="D261" s="10"/>
      <c r="E261" s="9"/>
      <c r="F261" s="94" t="s">
        <v>11</v>
      </c>
      <c r="G261" s="95" t="s">
        <v>264</v>
      </c>
      <c r="H261" s="11">
        <f>SUM(H250:H259)</f>
        <v>97.3</v>
      </c>
      <c r="I261" s="12" t="s">
        <v>17</v>
      </c>
    </row>
    <row r="262" spans="1:9" ht="24.75" customHeight="1" x14ac:dyDescent="0.2">
      <c r="A262" s="3" t="str">
        <f>'Orçamento Sintético'!A62</f>
        <v>5.1.2</v>
      </c>
      <c r="B262" s="270" t="str">
        <f>'Orçamento Sintético'!D62</f>
        <v>MASSA ÚNICA, EM ARGAMASSA TRAÇO 1:2:8, PREPARO MECÂNICO, APLICADA MANUALMENTE EM PAREDES INTERNAS DE AMBIENTES COM ÁREA ENTRE 5M² E 10M², E = 10MM, COM TALISCAS. AF_03/2024</v>
      </c>
      <c r="C262" s="271"/>
      <c r="D262" s="271"/>
      <c r="E262" s="272"/>
      <c r="I262" s="5"/>
    </row>
    <row r="263" spans="1:9" x14ac:dyDescent="0.2">
      <c r="A263" s="3"/>
      <c r="B263" s="91" t="s">
        <v>260</v>
      </c>
      <c r="C263" s="91" t="s">
        <v>8</v>
      </c>
      <c r="D263" s="91" t="s">
        <v>266</v>
      </c>
      <c r="E263" s="91" t="s">
        <v>261</v>
      </c>
      <c r="F263" s="91" t="s">
        <v>262</v>
      </c>
      <c r="G263" s="91" t="s">
        <v>263</v>
      </c>
      <c r="H263" s="91" t="s">
        <v>11</v>
      </c>
      <c r="I263" s="5"/>
    </row>
    <row r="264" spans="1:9" x14ac:dyDescent="0.2">
      <c r="A264" s="3"/>
      <c r="B264" s="6"/>
      <c r="C264" s="7"/>
      <c r="D264" s="161">
        <f>H261</f>
        <v>97.3</v>
      </c>
      <c r="E264" s="7"/>
      <c r="F264" s="7"/>
      <c r="G264" s="7"/>
      <c r="H264" s="8">
        <f>ROUND(IF(PRODUCT(IF(C264=0,1,C264),IF(D264=0,1,D264),IF(E264=0,1,E264),IF(F264=0,1,F264),IF(G264=0,1,G264))=1,0,PRODUCT(IF(C264=0,1,C264),IF(D264=0,1,D264),IF(E264=0,1,E264),IF(F264=0,1,F264),IF(G264=0,1,G264))),2)</f>
        <v>97.3</v>
      </c>
      <c r="I264" s="5"/>
    </row>
    <row r="265" spans="1:9" x14ac:dyDescent="0.2">
      <c r="A265" s="3"/>
      <c r="B265" s="6"/>
      <c r="C265" s="7"/>
      <c r="D265" s="7"/>
      <c r="E265" s="7"/>
      <c r="F265" s="7"/>
      <c r="G265" s="7"/>
      <c r="H265" s="8">
        <f>ROUND(IF(PRODUCT(IF(C265=0,1,C265),IF(E265=0,1,E265),IF(F265=0,1,F265),IF(G265=0,1,G265))=1,0,PRODUCT(IF(C265=0,1,C265),IF(E265=0,1,E265),IF(F265=0,1,F265),IF(G265=0,1,G265))),2)</f>
        <v>0</v>
      </c>
      <c r="I265" s="5"/>
    </row>
    <row r="266" spans="1:9" x14ac:dyDescent="0.2">
      <c r="A266" s="3"/>
      <c r="C266" s="10"/>
      <c r="D266" s="10"/>
      <c r="E266" s="9"/>
      <c r="F266" s="94" t="s">
        <v>11</v>
      </c>
      <c r="G266" s="95" t="s">
        <v>264</v>
      </c>
      <c r="H266" s="11">
        <f>SUM(H264:H264)</f>
        <v>97.3</v>
      </c>
      <c r="I266" s="12" t="s">
        <v>17</v>
      </c>
    </row>
    <row r="267" spans="1:9" x14ac:dyDescent="0.2">
      <c r="A267" s="96" t="str">
        <f>'Orçamento Sintético'!A63</f>
        <v>5.2</v>
      </c>
      <c r="B267" s="97" t="str">
        <f>'Orçamento Sintético'!D63</f>
        <v>PAREDES EXTERNAS</v>
      </c>
      <c r="C267" s="273"/>
      <c r="D267" s="274"/>
      <c r="E267" s="274"/>
      <c r="F267" s="274"/>
      <c r="G267" s="274"/>
      <c r="H267" s="274"/>
      <c r="I267" s="275"/>
    </row>
    <row r="268" spans="1:9" ht="24.75" customHeight="1" x14ac:dyDescent="0.2">
      <c r="A268" s="3" t="str">
        <f>'Orçamento Sintético'!A64</f>
        <v>5.2.1</v>
      </c>
      <c r="B268" s="270" t="str">
        <f>'Orçamento Sintético'!D64</f>
        <v>CHAPISCO APLICADO EM ALVENARIA (COM PRESENÇA DE VÃOS) E ESTRUTURAS DE CONCRETO DE FACHADA, COM COLHER DE PEDREIRO. ARGAMASSA TRAÇO 1:3 COM PREPARO EM BETONEIRA 400L. AF_10/2022</v>
      </c>
      <c r="C268" s="271"/>
      <c r="D268" s="271"/>
      <c r="E268" s="272"/>
      <c r="I268" s="5"/>
    </row>
    <row r="269" spans="1:9" x14ac:dyDescent="0.2">
      <c r="A269" s="3"/>
      <c r="B269" s="91" t="s">
        <v>260</v>
      </c>
      <c r="C269" s="91" t="s">
        <v>8</v>
      </c>
      <c r="D269" s="91" t="s">
        <v>266</v>
      </c>
      <c r="E269" s="91" t="s">
        <v>261</v>
      </c>
      <c r="F269" s="91" t="s">
        <v>262</v>
      </c>
      <c r="G269" s="91" t="s">
        <v>263</v>
      </c>
      <c r="H269" s="91" t="s">
        <v>11</v>
      </c>
      <c r="I269" s="5"/>
    </row>
    <row r="270" spans="1:9" x14ac:dyDescent="0.2">
      <c r="A270" s="3"/>
      <c r="B270" s="6" t="s">
        <v>297</v>
      </c>
      <c r="C270" s="7"/>
      <c r="D270" s="7"/>
      <c r="E270" s="7">
        <f>3.25+10.1+10.1+3.25</f>
        <v>26.7</v>
      </c>
      <c r="F270" s="7"/>
      <c r="G270" s="7">
        <v>5</v>
      </c>
      <c r="H270" s="8">
        <f t="shared" ref="H270" si="4">ROUND(IF(PRODUCT(IF(C270=0,1,C270),IF(D270=0,1,D270),IF(E270=0,1,E270),IF(F270=0,1,F270),IF(G270=0,1,G270))=1,0,PRODUCT(IF(C270=0,1,C270),IF(D270=0,1,D270),IF(E270=0,1,E270),IF(F270=0,1,F270),IF(G270=0,1,G270))),2)</f>
        <v>133.5</v>
      </c>
      <c r="I270" s="5"/>
    </row>
    <row r="271" spans="1:9" x14ac:dyDescent="0.2">
      <c r="B271" s="6"/>
      <c r="C271" s="7"/>
      <c r="D271" s="7"/>
      <c r="E271" s="7"/>
      <c r="F271" s="7"/>
      <c r="G271" s="7"/>
      <c r="H271" s="8"/>
      <c r="I271" s="5"/>
    </row>
    <row r="272" spans="1:9" x14ac:dyDescent="0.2">
      <c r="B272" s="23" t="s">
        <v>287</v>
      </c>
      <c r="C272" s="7"/>
      <c r="D272" s="7"/>
      <c r="E272" s="7"/>
      <c r="F272" s="7"/>
      <c r="G272" s="24"/>
      <c r="H272" s="6"/>
      <c r="I272" s="27"/>
    </row>
    <row r="273" spans="1:9" x14ac:dyDescent="0.2">
      <c r="B273" s="6"/>
      <c r="C273" s="7"/>
      <c r="D273" s="7"/>
      <c r="E273" s="7"/>
      <c r="F273" s="7"/>
      <c r="G273" s="24"/>
      <c r="H273" s="6"/>
      <c r="I273" s="27"/>
    </row>
    <row r="274" spans="1:9" x14ac:dyDescent="0.2">
      <c r="B274" s="16" t="s">
        <v>288</v>
      </c>
      <c r="C274" s="25">
        <v>3</v>
      </c>
      <c r="D274" s="25"/>
      <c r="E274" s="25"/>
      <c r="F274" s="25">
        <v>0.8</v>
      </c>
      <c r="G274" s="25">
        <v>2.1</v>
      </c>
      <c r="H274" s="17">
        <f>-ROUND(IF(PRODUCT(IF(C274=0,1,C274),IF(D274=0,1,D274),IF(E274=0,1,E274),IF(F274=0,1,F274),IF(G274=0,1,G274))=1,0,PRODUCT(IF(C274=0,1,C274),IF(D274=0,1,D274),IF(E274=0,1,E274),IF(F274=0,1,F274),IF(G274=0,1,G274))),2)</f>
        <v>-5.04</v>
      </c>
      <c r="I274" s="27"/>
    </row>
    <row r="275" spans="1:9" x14ac:dyDescent="0.2">
      <c r="B275" s="16" t="s">
        <v>289</v>
      </c>
      <c r="C275" s="25">
        <v>2</v>
      </c>
      <c r="D275" s="25"/>
      <c r="E275" s="25"/>
      <c r="F275" s="25">
        <v>0.8</v>
      </c>
      <c r="G275" s="25">
        <v>0.5</v>
      </c>
      <c r="H275" s="17">
        <f t="shared" ref="H275:H276" si="5">-ROUND(IF(PRODUCT(IF(C275=0,1,C275),IF(D275=0,1,D275),IF(E275=0,1,E275),IF(F275=0,1,F275),IF(G275=0,1,G275))=1,0,PRODUCT(IF(C275=0,1,C275),IF(D275=0,1,D275),IF(E275=0,1,E275),IF(F275=0,1,F275),IF(G275=0,1,G275))),2)</f>
        <v>-0.8</v>
      </c>
      <c r="I275" s="27"/>
    </row>
    <row r="276" spans="1:9" x14ac:dyDescent="0.2">
      <c r="B276" s="16" t="s">
        <v>296</v>
      </c>
      <c r="C276" s="25"/>
      <c r="D276" s="25"/>
      <c r="E276" s="25"/>
      <c r="F276" s="25">
        <v>1.5</v>
      </c>
      <c r="G276" s="25">
        <v>2.7</v>
      </c>
      <c r="H276" s="17">
        <f t="shared" si="5"/>
        <v>-4.05</v>
      </c>
      <c r="I276" s="27"/>
    </row>
    <row r="277" spans="1:9" x14ac:dyDescent="0.2">
      <c r="A277" s="3"/>
      <c r="B277" s="6"/>
      <c r="C277" s="7"/>
      <c r="D277" s="7"/>
      <c r="E277" s="7"/>
      <c r="F277" s="7"/>
      <c r="G277" s="7"/>
      <c r="H277" s="8">
        <f>ROUND(IF(PRODUCT(IF(C277=0,1,C277),IF(E277=0,1,E277),IF(F277=0,1,F277),IF(G277=0,1,G277))=1,0,PRODUCT(IF(C277=0,1,C277),IF(E277=0,1,E277),IF(F277=0,1,F277),IF(G277=0,1,G277))),2)</f>
        <v>0</v>
      </c>
      <c r="I277" s="5"/>
    </row>
    <row r="278" spans="1:9" x14ac:dyDescent="0.2">
      <c r="A278" s="3"/>
      <c r="C278" s="10"/>
      <c r="D278" s="10"/>
      <c r="E278" s="9"/>
      <c r="F278" s="94" t="s">
        <v>11</v>
      </c>
      <c r="G278" s="95" t="s">
        <v>264</v>
      </c>
      <c r="H278" s="11">
        <f>SUM(H270:H276)</f>
        <v>123.61000000000001</v>
      </c>
      <c r="I278" s="12" t="s">
        <v>17</v>
      </c>
    </row>
    <row r="279" spans="1:9" ht="24.75" customHeight="1" x14ac:dyDescent="0.2">
      <c r="A279" s="3" t="str">
        <f>'Orçamento Sintético'!A65</f>
        <v>5.2.2</v>
      </c>
      <c r="B279" s="270" t="str">
        <f>'Orçamento Sintético'!D65</f>
        <v>EMBOÇO OU MASSA ÚNICA EM ARGAMASSA TRAÇO 1:2:8, PREPARO MANUAL, APLICADA MANUALMENTE EM PANOS DE FACHADA COM PRESENÇA DE VÃOS, ESPESSURA DE 25 MM. AF_08/2022</v>
      </c>
      <c r="C279" s="271"/>
      <c r="D279" s="271"/>
      <c r="E279" s="272"/>
      <c r="I279" s="5"/>
    </row>
    <row r="280" spans="1:9" x14ac:dyDescent="0.2">
      <c r="A280" s="3"/>
      <c r="B280" s="91" t="s">
        <v>260</v>
      </c>
      <c r="C280" s="91" t="s">
        <v>8</v>
      </c>
      <c r="D280" s="91" t="s">
        <v>266</v>
      </c>
      <c r="E280" s="91" t="s">
        <v>261</v>
      </c>
      <c r="F280" s="91" t="s">
        <v>262</v>
      </c>
      <c r="G280" s="91" t="s">
        <v>263</v>
      </c>
      <c r="H280" s="91" t="s">
        <v>11</v>
      </c>
      <c r="I280" s="5"/>
    </row>
    <row r="281" spans="1:9" x14ac:dyDescent="0.2">
      <c r="A281" s="3"/>
      <c r="B281" s="6"/>
      <c r="C281" s="7"/>
      <c r="D281" s="161">
        <f>H278</f>
        <v>123.61000000000001</v>
      </c>
      <c r="E281" s="7"/>
      <c r="F281" s="7"/>
      <c r="G281" s="7"/>
      <c r="H281" s="8">
        <f>ROUND(IF(PRODUCT(IF(C281=0,1,C281),IF(D281=0,1,D281),IF(E281=0,1,E281),IF(F281=0,1,F281),IF(G281=0,1,G281))=1,0,PRODUCT(IF(C281=0,1,C281),IF(D281=0,1,D281),IF(E281=0,1,E281),IF(F281=0,1,F281),IF(G281=0,1,G281))),2)</f>
        <v>123.61</v>
      </c>
      <c r="I281" s="5"/>
    </row>
    <row r="282" spans="1:9" x14ac:dyDescent="0.2">
      <c r="A282" s="3"/>
      <c r="B282" s="6"/>
      <c r="C282" s="7"/>
      <c r="D282" s="7"/>
      <c r="E282" s="7"/>
      <c r="F282" s="7"/>
      <c r="G282" s="7"/>
      <c r="H282" s="8">
        <f>ROUND(IF(PRODUCT(IF(C282=0,1,C282),IF(E282=0,1,E282),IF(F282=0,1,F282),IF(G282=0,1,G282))=1,0,PRODUCT(IF(C282=0,1,C282),IF(E282=0,1,E282),IF(F282=0,1,F282),IF(G282=0,1,G282))),2)</f>
        <v>0</v>
      </c>
      <c r="I282" s="5"/>
    </row>
    <row r="283" spans="1:9" x14ac:dyDescent="0.2">
      <c r="A283" s="3"/>
      <c r="C283" s="10"/>
      <c r="D283" s="10"/>
      <c r="E283" s="9"/>
      <c r="F283" s="94" t="s">
        <v>11</v>
      </c>
      <c r="G283" s="95" t="s">
        <v>264</v>
      </c>
      <c r="H283" s="11">
        <f>SUM(H281:H281)</f>
        <v>123.61</v>
      </c>
      <c r="I283" s="12" t="s">
        <v>17</v>
      </c>
    </row>
    <row r="284" spans="1:9" x14ac:dyDescent="0.2">
      <c r="A284" s="89" t="str">
        <f>'Orçamento Sintético'!A66</f>
        <v>6.0</v>
      </c>
      <c r="B284" s="90" t="str">
        <f>'Orçamento Sintético'!D66</f>
        <v>PAVIMENTAÇÃO</v>
      </c>
      <c r="C284" s="282"/>
      <c r="D284" s="282"/>
      <c r="E284" s="282"/>
      <c r="F284" s="282"/>
      <c r="G284" s="282"/>
      <c r="H284" s="282"/>
      <c r="I284" s="282"/>
    </row>
    <row r="285" spans="1:9" x14ac:dyDescent="0.2">
      <c r="A285" s="96" t="str">
        <f>'Orçamento Sintético'!A67</f>
        <v xml:space="preserve"> 6.1 </v>
      </c>
      <c r="B285" s="97" t="str">
        <f>'Orçamento Sintético'!D67</f>
        <v>PISO - QUADRA</v>
      </c>
      <c r="C285" s="273"/>
      <c r="D285" s="274"/>
      <c r="E285" s="274"/>
      <c r="F285" s="274"/>
      <c r="G285" s="274"/>
      <c r="H285" s="274"/>
      <c r="I285" s="275"/>
    </row>
    <row r="286" spans="1:9" ht="24.75" customHeight="1" x14ac:dyDescent="0.2">
      <c r="A286" s="3" t="str">
        <f>'Orçamento Sintético'!A68</f>
        <v xml:space="preserve"> 6.1.1 </v>
      </c>
      <c r="B286" s="270" t="str">
        <f>'Orçamento Sintético'!D68</f>
        <v>COMPACTAÇÃO MECÂNICA DE SOLO PARA EXECUÇÃO DE RADIER, PISO DE CONCRETO OU LAJE SOBRE SOLO, COM COMPACTADOR DE SOLOS A PERCUSSÃO. AF_09/2021</v>
      </c>
      <c r="C286" s="271"/>
      <c r="D286" s="271"/>
      <c r="E286" s="272"/>
      <c r="I286" s="5"/>
    </row>
    <row r="287" spans="1:9" x14ac:dyDescent="0.2">
      <c r="A287" s="3"/>
      <c r="B287" s="91" t="s">
        <v>260</v>
      </c>
      <c r="C287" s="91" t="s">
        <v>8</v>
      </c>
      <c r="D287" s="91" t="s">
        <v>266</v>
      </c>
      <c r="E287" s="91" t="s">
        <v>261</v>
      </c>
      <c r="F287" s="91" t="s">
        <v>262</v>
      </c>
      <c r="G287" s="91" t="s">
        <v>263</v>
      </c>
      <c r="H287" s="91" t="s">
        <v>11</v>
      </c>
      <c r="I287" s="5"/>
    </row>
    <row r="288" spans="1:9" x14ac:dyDescent="0.2">
      <c r="A288" s="3"/>
      <c r="B288" s="6"/>
      <c r="C288" s="7"/>
      <c r="D288" s="7">
        <v>564</v>
      </c>
      <c r="E288" s="7"/>
      <c r="F288" s="7"/>
      <c r="G288" s="7"/>
      <c r="H288" s="8">
        <f>ROUND(IF(PRODUCT(IF(C288=0,1,C288),IF(D288=0,1,D288),IF(E288=0,1,E288),IF(F288=0,1,F288),IF(G288=0,1,G288))=1,0,PRODUCT(IF(C288=0,1,C288),IF(D288=0,1,D288),IF(E288=0,1,E288),IF(F288=0,1,F288),IF(G288=0,1,G288))),2)</f>
        <v>564</v>
      </c>
      <c r="I288" s="5"/>
    </row>
    <row r="289" spans="1:9" x14ac:dyDescent="0.2">
      <c r="A289" s="3"/>
      <c r="B289" s="6"/>
      <c r="C289" s="7"/>
      <c r="D289" s="7"/>
      <c r="E289" s="7"/>
      <c r="F289" s="7"/>
      <c r="G289" s="7"/>
      <c r="H289" s="8">
        <f>ROUND(IF(PRODUCT(IF(C289=0,1,C289),IF(E289=0,1,E289),IF(F289=0,1,F289),IF(G289=0,1,G289))=1,0,PRODUCT(IF(C289=0,1,C289),IF(E289=0,1,E289),IF(F289=0,1,F289),IF(G289=0,1,G289))),2)</f>
        <v>0</v>
      </c>
      <c r="I289" s="5"/>
    </row>
    <row r="290" spans="1:9" x14ac:dyDescent="0.2">
      <c r="A290" s="3"/>
      <c r="C290" s="10"/>
      <c r="D290" s="10"/>
      <c r="E290" s="9"/>
      <c r="F290" s="94" t="s">
        <v>11</v>
      </c>
      <c r="G290" s="95" t="s">
        <v>264</v>
      </c>
      <c r="H290" s="11">
        <f>SUM(H288:H288)</f>
        <v>564</v>
      </c>
      <c r="I290" s="12" t="s">
        <v>17</v>
      </c>
    </row>
    <row r="291" spans="1:9" ht="12.75" customHeight="1" x14ac:dyDescent="0.2">
      <c r="A291" s="3" t="str">
        <f>'Orçamento Sintético'!A69</f>
        <v xml:space="preserve"> 6.1.2 </v>
      </c>
      <c r="B291" s="270" t="str">
        <f>'Orçamento Sintético'!D69</f>
        <v>LASTRO DE CONCRETO MAGRO, APLICADO EM PISOS, LAJES SOBRE SOLO OU RADIERS. AF_01/2024</v>
      </c>
      <c r="C291" s="271"/>
      <c r="D291" s="271"/>
      <c r="E291" s="272"/>
      <c r="I291" s="5"/>
    </row>
    <row r="292" spans="1:9" x14ac:dyDescent="0.2">
      <c r="A292" s="3"/>
      <c r="B292" s="91" t="s">
        <v>260</v>
      </c>
      <c r="C292" s="91" t="s">
        <v>8</v>
      </c>
      <c r="D292" s="91" t="s">
        <v>266</v>
      </c>
      <c r="E292" s="91" t="s">
        <v>261</v>
      </c>
      <c r="F292" s="91" t="s">
        <v>262</v>
      </c>
      <c r="G292" s="91" t="s">
        <v>263</v>
      </c>
      <c r="H292" s="91" t="s">
        <v>11</v>
      </c>
      <c r="I292" s="5"/>
    </row>
    <row r="293" spans="1:9" x14ac:dyDescent="0.2">
      <c r="A293" s="3"/>
      <c r="B293" s="6"/>
      <c r="C293" s="7"/>
      <c r="D293" s="7">
        <f>H290</f>
        <v>564</v>
      </c>
      <c r="E293" s="7"/>
      <c r="F293" s="7"/>
      <c r="G293" s="7">
        <v>0.1</v>
      </c>
      <c r="H293" s="8">
        <f>ROUND(IF(PRODUCT(IF(C293=0,1,C293),IF(D293=0,1,D293),IF(E293=0,1,E293),IF(F293=0,1,F293),IF(G293=0,1,G293))=1,0,PRODUCT(IF(C293=0,1,C293),IF(D293=0,1,D293),IF(E293=0,1,E293),IF(F293=0,1,F293),IF(G293=0,1,G293))),2)</f>
        <v>56.4</v>
      </c>
      <c r="I293" s="5"/>
    </row>
    <row r="294" spans="1:9" x14ac:dyDescent="0.2">
      <c r="A294" s="3"/>
      <c r="B294" s="6"/>
      <c r="C294" s="7"/>
      <c r="D294" s="7"/>
      <c r="E294" s="7"/>
      <c r="F294" s="7"/>
      <c r="G294" s="7"/>
      <c r="H294" s="8">
        <f>ROUND(IF(PRODUCT(IF(C294=0,1,C294),IF(E294=0,1,E294),IF(F294=0,1,F294),IF(G294=0,1,G294))=1,0,PRODUCT(IF(C294=0,1,C294),IF(E294=0,1,E294),IF(F294=0,1,F294),IF(G294=0,1,G294))),2)</f>
        <v>0</v>
      </c>
      <c r="I294" s="5"/>
    </row>
    <row r="295" spans="1:9" x14ac:dyDescent="0.2">
      <c r="A295" s="3"/>
      <c r="C295" s="10"/>
      <c r="D295" s="10"/>
      <c r="E295" s="9"/>
      <c r="F295" s="94" t="s">
        <v>11</v>
      </c>
      <c r="G295" s="95" t="s">
        <v>264</v>
      </c>
      <c r="H295" s="11">
        <f>SUM(H293:H293)</f>
        <v>56.4</v>
      </c>
      <c r="I295" s="12" t="s">
        <v>24</v>
      </c>
    </row>
    <row r="296" spans="1:9" ht="15" customHeight="1" x14ac:dyDescent="0.2">
      <c r="A296" s="3" t="str">
        <f>'Orçamento Sintético'!A70</f>
        <v xml:space="preserve"> 6.1.3 </v>
      </c>
      <c r="B296" s="270" t="str">
        <f>'Orçamento Sintético'!D70</f>
        <v>EXECUÇÃO DE PISO INDUSTRIAL DE CONCRETO ARMADO, FCK = 20 MPA, ESPESSURA DE 12,0 CM. AF_04/2022</v>
      </c>
      <c r="C296" s="271"/>
      <c r="D296" s="271"/>
      <c r="E296" s="272"/>
      <c r="I296" s="5"/>
    </row>
    <row r="297" spans="1:9" x14ac:dyDescent="0.2">
      <c r="A297" s="3"/>
      <c r="B297" s="91" t="s">
        <v>260</v>
      </c>
      <c r="C297" s="91" t="s">
        <v>8</v>
      </c>
      <c r="D297" s="91" t="s">
        <v>266</v>
      </c>
      <c r="E297" s="91" t="s">
        <v>261</v>
      </c>
      <c r="F297" s="91" t="s">
        <v>262</v>
      </c>
      <c r="G297" s="91" t="s">
        <v>263</v>
      </c>
      <c r="H297" s="91" t="s">
        <v>11</v>
      </c>
      <c r="I297" s="5"/>
    </row>
    <row r="298" spans="1:9" x14ac:dyDescent="0.2">
      <c r="A298" s="3"/>
      <c r="B298" s="6"/>
      <c r="C298" s="7"/>
      <c r="D298" s="7">
        <v>564</v>
      </c>
      <c r="E298" s="7"/>
      <c r="F298" s="7"/>
      <c r="G298" s="7"/>
      <c r="H298" s="8">
        <f>ROUND(IF(PRODUCT(IF(C298=0,1,C298),IF(D298=0,1,D298),IF(E298=0,1,E298),IF(F298=0,1,F298),IF(G298=0,1,G298))=1,0,PRODUCT(IF(C298=0,1,C298),IF(D298=0,1,D298),IF(E298=0,1,E298),IF(F298=0,1,F298),IF(G298=0,1,G298))),2)</f>
        <v>564</v>
      </c>
      <c r="I298" s="5"/>
    </row>
    <row r="299" spans="1:9" x14ac:dyDescent="0.2">
      <c r="A299" s="3"/>
      <c r="B299" s="6"/>
      <c r="C299" s="7"/>
      <c r="D299" s="7"/>
      <c r="E299" s="7"/>
      <c r="F299" s="7"/>
      <c r="G299" s="7"/>
      <c r="H299" s="8">
        <f>ROUND(IF(PRODUCT(IF(C299=0,1,C299),IF(E299=0,1,E299),IF(F299=0,1,F299),IF(G299=0,1,G299))=1,0,PRODUCT(IF(C299=0,1,C299),IF(E299=0,1,E299),IF(F299=0,1,F299),IF(G299=0,1,G299))),2)</f>
        <v>0</v>
      </c>
      <c r="I299" s="5"/>
    </row>
    <row r="300" spans="1:9" x14ac:dyDescent="0.2">
      <c r="A300" s="3"/>
      <c r="C300" s="10"/>
      <c r="D300" s="10"/>
      <c r="E300" s="9"/>
      <c r="F300" s="94" t="s">
        <v>11</v>
      </c>
      <c r="G300" s="95" t="s">
        <v>264</v>
      </c>
      <c r="H300" s="11">
        <f>SUM(H298:H298)</f>
        <v>564</v>
      </c>
      <c r="I300" s="12" t="s">
        <v>17</v>
      </c>
    </row>
    <row r="301" spans="1:9" ht="14.25" customHeight="1" x14ac:dyDescent="0.2">
      <c r="A301" s="3" t="str">
        <f>'Orçamento Sintético'!A71</f>
        <v xml:space="preserve"> 6.1.4 </v>
      </c>
      <c r="B301" s="270" t="str">
        <f>'Orçamento Sintético'!D71</f>
        <v>ACABAMENTO POLIDO PARA PISO DE CONCRETO ARMADO OU LAJE SOBRE SOLO DE ALTA RESISTÊNCIA. AF_09/2021</v>
      </c>
      <c r="C301" s="271"/>
      <c r="D301" s="271"/>
      <c r="E301" s="272"/>
      <c r="I301" s="5"/>
    </row>
    <row r="302" spans="1:9" x14ac:dyDescent="0.2">
      <c r="A302" s="3"/>
      <c r="B302" s="91" t="s">
        <v>260</v>
      </c>
      <c r="C302" s="91" t="s">
        <v>8</v>
      </c>
      <c r="D302" s="91" t="s">
        <v>266</v>
      </c>
      <c r="E302" s="91" t="s">
        <v>261</v>
      </c>
      <c r="F302" s="91" t="s">
        <v>262</v>
      </c>
      <c r="G302" s="91" t="s">
        <v>263</v>
      </c>
      <c r="H302" s="91" t="s">
        <v>11</v>
      </c>
      <c r="I302" s="5"/>
    </row>
    <row r="303" spans="1:9" x14ac:dyDescent="0.2">
      <c r="A303" s="3"/>
      <c r="B303" s="6"/>
      <c r="C303" s="7"/>
      <c r="D303" s="7">
        <f>H300</f>
        <v>564</v>
      </c>
      <c r="E303" s="7"/>
      <c r="F303" s="7"/>
      <c r="G303" s="7"/>
      <c r="H303" s="8">
        <f>ROUND(IF(PRODUCT(IF(C303=0,1,C303),IF(D303=0,1,D303),IF(E303=0,1,E303),IF(F303=0,1,F303),IF(G303=0,1,G303))=1,0,PRODUCT(IF(C303=0,1,C303),IF(D303=0,1,D303),IF(E303=0,1,E303),IF(F303=0,1,F303),IF(G303=0,1,G303))),2)</f>
        <v>564</v>
      </c>
      <c r="I303" s="5"/>
    </row>
    <row r="304" spans="1:9" x14ac:dyDescent="0.2">
      <c r="A304" s="3"/>
      <c r="B304" s="6"/>
      <c r="C304" s="7"/>
      <c r="D304" s="7"/>
      <c r="E304" s="7"/>
      <c r="F304" s="7"/>
      <c r="G304" s="7"/>
      <c r="H304" s="8">
        <f>ROUND(IF(PRODUCT(IF(C304=0,1,C304),IF(E304=0,1,E304),IF(F304=0,1,F304),IF(G304=0,1,G304))=1,0,PRODUCT(IF(C304=0,1,C304),IF(E304=0,1,E304),IF(F304=0,1,F304),IF(G304=0,1,G304))),2)</f>
        <v>0</v>
      </c>
      <c r="I304" s="5"/>
    </row>
    <row r="305" spans="1:9" x14ac:dyDescent="0.2">
      <c r="A305" s="3"/>
      <c r="C305" s="10"/>
      <c r="D305" s="10"/>
      <c r="E305" s="9"/>
      <c r="F305" s="94" t="s">
        <v>11</v>
      </c>
      <c r="G305" s="95" t="s">
        <v>264</v>
      </c>
      <c r="H305" s="11">
        <f>SUM(H303:H303)</f>
        <v>564</v>
      </c>
      <c r="I305" s="12" t="s">
        <v>17</v>
      </c>
    </row>
    <row r="306" spans="1:9" ht="14.25" customHeight="1" x14ac:dyDescent="0.2">
      <c r="A306" s="3" t="str">
        <f>'Orçamento Sintético'!A72</f>
        <v xml:space="preserve"> 6.1.5 </v>
      </c>
      <c r="B306" s="270" t="str">
        <f>'Orçamento Sintético'!D72</f>
        <v>JUNTA PLASTICA DE DILATACAO PARA PISOS, COR CINZA, 17 X 3 MM (ALTURA X ESPESSURA)</v>
      </c>
      <c r="C306" s="271"/>
      <c r="D306" s="271"/>
      <c r="E306" s="272"/>
      <c r="I306" s="5"/>
    </row>
    <row r="307" spans="1:9" x14ac:dyDescent="0.2">
      <c r="A307" s="3"/>
      <c r="B307" s="91" t="s">
        <v>260</v>
      </c>
      <c r="C307" s="91" t="s">
        <v>8</v>
      </c>
      <c r="D307" s="91" t="s">
        <v>266</v>
      </c>
      <c r="E307" s="91" t="s">
        <v>261</v>
      </c>
      <c r="F307" s="91" t="s">
        <v>262</v>
      </c>
      <c r="G307" s="91" t="s">
        <v>263</v>
      </c>
      <c r="H307" s="91" t="s">
        <v>11</v>
      </c>
      <c r="I307" s="5"/>
    </row>
    <row r="308" spans="1:9" x14ac:dyDescent="0.2">
      <c r="A308" s="3"/>
      <c r="B308" s="6" t="s">
        <v>298</v>
      </c>
      <c r="C308" s="7"/>
      <c r="D308" s="7"/>
      <c r="E308" s="7">
        <f>30+18.8+30+18.8</f>
        <v>97.6</v>
      </c>
      <c r="F308" s="7"/>
      <c r="G308" s="7"/>
      <c r="H308" s="8">
        <f>ROUND(IF(PRODUCT(IF(C308=0,1,C308),IF(D308=0,1,D308),IF(E308=0,1,E308),IF(F308=0,1,F308),IF(G308=0,1,G308))=1,0,PRODUCT(IF(C308=0,1,C308),IF(D308=0,1,D308),IF(E308=0,1,E308),IF(F308=0,1,F308),IF(G308=0,1,G308))),2)</f>
        <v>97.6</v>
      </c>
      <c r="I308" s="5"/>
    </row>
    <row r="309" spans="1:9" x14ac:dyDescent="0.2">
      <c r="A309" s="3"/>
      <c r="B309" s="6" t="s">
        <v>436</v>
      </c>
      <c r="C309" s="7">
        <v>3</v>
      </c>
      <c r="D309" s="7"/>
      <c r="E309" s="7">
        <v>18.8</v>
      </c>
      <c r="F309" s="7"/>
      <c r="G309" s="7"/>
      <c r="H309" s="8">
        <f>ROUND(IF(PRODUCT(IF(C309=0,1,C309),IF(D309=0,1,D309),IF(E309=0,1,E309),IF(F309=0,1,F309),IF(G309=0,1,G309))=1,0,PRODUCT(IF(C309=0,1,C309),IF(D309=0,1,D309),IF(E309=0,1,E309),IF(F309=0,1,F309),IF(G309=0,1,G309))),2)</f>
        <v>56.4</v>
      </c>
      <c r="I309" s="5"/>
    </row>
    <row r="310" spans="1:9" x14ac:dyDescent="0.2">
      <c r="A310" s="3"/>
      <c r="B310" s="6"/>
      <c r="C310" s="7"/>
      <c r="D310" s="7"/>
      <c r="E310" s="7"/>
      <c r="F310" s="7"/>
      <c r="G310" s="7"/>
      <c r="H310" s="8">
        <f>ROUND(IF(PRODUCT(IF(C310=0,1,C310),IF(E310=0,1,E310),IF(F310=0,1,F310),IF(G310=0,1,G310))=1,0,PRODUCT(IF(C310=0,1,C310),IF(E310=0,1,E310),IF(F310=0,1,F310),IF(G310=0,1,G310))),2)</f>
        <v>0</v>
      </c>
      <c r="I310" s="5"/>
    </row>
    <row r="311" spans="1:9" x14ac:dyDescent="0.2">
      <c r="A311" s="3"/>
      <c r="C311" s="10"/>
      <c r="D311" s="10"/>
      <c r="E311" s="9"/>
      <c r="F311" s="94" t="s">
        <v>11</v>
      </c>
      <c r="G311" s="95" t="s">
        <v>264</v>
      </c>
      <c r="H311" s="11">
        <f>SUM(H308:H309)</f>
        <v>154</v>
      </c>
      <c r="I311" s="12" t="s">
        <v>186</v>
      </c>
    </row>
    <row r="312" spans="1:9" x14ac:dyDescent="0.2">
      <c r="A312" s="96" t="str">
        <f>'Orçamento Sintético'!A73</f>
        <v xml:space="preserve"> 6.2 </v>
      </c>
      <c r="B312" s="97" t="str">
        <f>'Orçamento Sintético'!D73</f>
        <v>PISO - BANHEIROS</v>
      </c>
      <c r="C312" s="273"/>
      <c r="D312" s="274"/>
      <c r="E312" s="274"/>
      <c r="F312" s="274"/>
      <c r="G312" s="274"/>
      <c r="H312" s="274"/>
      <c r="I312" s="275"/>
    </row>
    <row r="313" spans="1:9" ht="13.5" customHeight="1" x14ac:dyDescent="0.2">
      <c r="A313" s="3" t="str">
        <f>'Orçamento Sintético'!A74</f>
        <v xml:space="preserve"> 6.2.1 </v>
      </c>
      <c r="B313" s="270" t="str">
        <f>'Orçamento Sintético'!D74</f>
        <v>LASTRO DE CONCRETO MAGRO, APLICADO EM PISOS, LAJES SOBRE SOLO OU RADIERS. AF_01/2024</v>
      </c>
      <c r="C313" s="271"/>
      <c r="D313" s="271"/>
      <c r="E313" s="272"/>
      <c r="I313" s="5"/>
    </row>
    <row r="314" spans="1:9" x14ac:dyDescent="0.2">
      <c r="A314" s="3"/>
      <c r="B314" s="91" t="s">
        <v>260</v>
      </c>
      <c r="C314" s="91" t="s">
        <v>8</v>
      </c>
      <c r="D314" s="91" t="s">
        <v>266</v>
      </c>
      <c r="E314" s="91" t="s">
        <v>261</v>
      </c>
      <c r="F314" s="91" t="s">
        <v>262</v>
      </c>
      <c r="G314" s="91" t="s">
        <v>263</v>
      </c>
      <c r="H314" s="91" t="s">
        <v>11</v>
      </c>
      <c r="I314" s="5"/>
    </row>
    <row r="315" spans="1:9" x14ac:dyDescent="0.2">
      <c r="A315" s="3"/>
      <c r="B315" s="6" t="s">
        <v>292</v>
      </c>
      <c r="C315" s="7"/>
      <c r="D315" s="7">
        <v>11.8</v>
      </c>
      <c r="E315" s="7"/>
      <c r="F315" s="7"/>
      <c r="G315" s="7">
        <v>0.05</v>
      </c>
      <c r="H315" s="8">
        <f>ROUND(IF(PRODUCT(IF(C315=0,1,C315),IF(D315=0,1,D315),IF(E315=0,1,E315),IF(F315=0,1,F315),IF(G315=0,1,G315))=1,0,PRODUCT(IF(C315=0,1,C315),IF(D315=0,1,D315),IF(E315=0,1,E315),IF(F315=0,1,F315),IF(G315=0,1,G315))),2)</f>
        <v>0.59</v>
      </c>
      <c r="I315" s="5"/>
    </row>
    <row r="316" spans="1:9" x14ac:dyDescent="0.2">
      <c r="A316" s="3"/>
      <c r="B316" s="6" t="s">
        <v>293</v>
      </c>
      <c r="C316" s="7"/>
      <c r="D316" s="7">
        <v>11.8</v>
      </c>
      <c r="E316" s="7"/>
      <c r="F316" s="7"/>
      <c r="G316" s="7">
        <v>0.05</v>
      </c>
      <c r="H316" s="8">
        <f>ROUND(IF(PRODUCT(IF(C316=0,1,C316),IF(D316=0,1,D316),IF(E316=0,1,E316),IF(F316=0,1,F316),IF(G316=0,1,G316))=1,0,PRODUCT(IF(C316=0,1,C316),IF(D316=0,1,D316),IF(E316=0,1,E316),IF(F316=0,1,F316),IF(G316=0,1,G316))),2)</f>
        <v>0.59</v>
      </c>
      <c r="I316" s="5"/>
    </row>
    <row r="317" spans="1:9" x14ac:dyDescent="0.2">
      <c r="A317" s="3"/>
      <c r="B317" s="6" t="s">
        <v>294</v>
      </c>
      <c r="C317" s="7"/>
      <c r="D317" s="7">
        <v>2.78</v>
      </c>
      <c r="E317" s="7"/>
      <c r="F317" s="7"/>
      <c r="G317" s="7">
        <v>0.05</v>
      </c>
      <c r="H317" s="8">
        <f>ROUND(IF(PRODUCT(IF(C317=0,1,C317),IF(D317=0,1,D317),IF(E317=0,1,E317),IF(F317=0,1,F317),IF(G317=0,1,G317))=1,0,PRODUCT(IF(C317=0,1,C317),IF(D317=0,1,D317),IF(E317=0,1,E317),IF(F317=0,1,F317),IF(G317=0,1,G317))),2)</f>
        <v>0.14000000000000001</v>
      </c>
      <c r="I317" s="5"/>
    </row>
    <row r="318" spans="1:9" x14ac:dyDescent="0.2">
      <c r="A318" s="3"/>
      <c r="B318" s="6" t="s">
        <v>295</v>
      </c>
      <c r="C318" s="7"/>
      <c r="D318" s="7">
        <f>1.5*1.1</f>
        <v>1.6500000000000001</v>
      </c>
      <c r="E318" s="7"/>
      <c r="F318" s="7"/>
      <c r="G318" s="7">
        <v>0.05</v>
      </c>
      <c r="H318" s="8">
        <f>ROUND(IF(PRODUCT(IF(C318=0,1,C318),IF(D318=0,1,D318),IF(E318=0,1,E318),IF(F318=0,1,F318),IF(G318=0,1,G318))=1,0,PRODUCT(IF(C318=0,1,C318),IF(D318=0,1,D318),IF(E318=0,1,E318),IF(F318=0,1,F318),IF(G318=0,1,G318))),2)</f>
        <v>0.08</v>
      </c>
      <c r="I318" s="5"/>
    </row>
    <row r="319" spans="1:9" x14ac:dyDescent="0.2">
      <c r="A319" s="3"/>
      <c r="B319" s="6"/>
      <c r="C319" s="7"/>
      <c r="D319" s="7"/>
      <c r="E319" s="7"/>
      <c r="F319" s="7"/>
      <c r="G319" s="7"/>
      <c r="H319" s="8">
        <f>ROUND(IF(PRODUCT(IF(C319=0,1,C319),IF(E319=0,1,E319),IF(F319=0,1,F319),IF(G319=0,1,G319))=1,0,PRODUCT(IF(C319=0,1,C319),IF(E319=0,1,E319),IF(F319=0,1,F319),IF(G319=0,1,G319))),2)</f>
        <v>0</v>
      </c>
      <c r="I319" s="5"/>
    </row>
    <row r="320" spans="1:9" x14ac:dyDescent="0.2">
      <c r="A320" s="3"/>
      <c r="C320" s="10"/>
      <c r="D320" s="10"/>
      <c r="E320" s="9"/>
      <c r="F320" s="94" t="s">
        <v>11</v>
      </c>
      <c r="G320" s="95" t="s">
        <v>264</v>
      </c>
      <c r="H320" s="11">
        <f>SUM(H315:H318)</f>
        <v>1.4</v>
      </c>
      <c r="I320" s="12" t="s">
        <v>24</v>
      </c>
    </row>
    <row r="321" spans="1:9" ht="22.5" customHeight="1" x14ac:dyDescent="0.2">
      <c r="A321" s="3" t="str">
        <f>'Orçamento Sintético'!A75</f>
        <v xml:space="preserve"> 6.2.2 </v>
      </c>
      <c r="B321" s="270" t="str">
        <f>'Orçamento Sintético'!D75</f>
        <v>CONTRAPISO EM ARGAMASSA TRAÇO 1:4 (CIMENTO E AREIA), PREPARO MECÂNICO COM BETONEIRA 400 L, APLICADO EM ÁREAS MOLHADAS SOBRE LAJE, ADERIDO, ACABAMENTO NÃO REFORÇADO, ESPESSURA 3CM. AF_07/2021</v>
      </c>
      <c r="C321" s="271"/>
      <c r="D321" s="271"/>
      <c r="E321" s="272"/>
      <c r="I321" s="5"/>
    </row>
    <row r="322" spans="1:9" x14ac:dyDescent="0.2">
      <c r="A322" s="3"/>
      <c r="B322" s="91" t="s">
        <v>260</v>
      </c>
      <c r="C322" s="91" t="s">
        <v>8</v>
      </c>
      <c r="D322" s="91" t="s">
        <v>266</v>
      </c>
      <c r="E322" s="91" t="s">
        <v>261</v>
      </c>
      <c r="F322" s="91" t="s">
        <v>262</v>
      </c>
      <c r="G322" s="91" t="s">
        <v>263</v>
      </c>
      <c r="H322" s="91" t="s">
        <v>11</v>
      </c>
      <c r="I322" s="5"/>
    </row>
    <row r="323" spans="1:9" x14ac:dyDescent="0.2">
      <c r="A323" s="3"/>
      <c r="B323" s="6" t="s">
        <v>292</v>
      </c>
      <c r="C323" s="7"/>
      <c r="D323" s="7">
        <v>11.8</v>
      </c>
      <c r="E323" s="7"/>
      <c r="F323" s="7"/>
      <c r="G323" s="7"/>
      <c r="H323" s="8">
        <f>ROUND(IF(PRODUCT(IF(C323=0,1,C323),IF(D323=0,1,D323),IF(E323=0,1,E323),IF(F323=0,1,F323),IF(G323=0,1,G323))=1,0,PRODUCT(IF(C323=0,1,C323),IF(D323=0,1,D323),IF(E323=0,1,E323),IF(F323=0,1,F323),IF(G323=0,1,G323))),2)</f>
        <v>11.8</v>
      </c>
      <c r="I323" s="5"/>
    </row>
    <row r="324" spans="1:9" x14ac:dyDescent="0.2">
      <c r="A324" s="3"/>
      <c r="B324" s="6" t="s">
        <v>293</v>
      </c>
      <c r="C324" s="7"/>
      <c r="D324" s="7">
        <v>11.8</v>
      </c>
      <c r="E324" s="7"/>
      <c r="F324" s="7"/>
      <c r="G324" s="7"/>
      <c r="H324" s="8">
        <f>ROUND(IF(PRODUCT(IF(C324=0,1,C324),IF(D324=0,1,D324),IF(E324=0,1,E324),IF(F324=0,1,F324),IF(G324=0,1,G324))=1,0,PRODUCT(IF(C324=0,1,C324),IF(D324=0,1,D324),IF(E324=0,1,E324),IF(F324=0,1,F324),IF(G324=0,1,G324))),2)</f>
        <v>11.8</v>
      </c>
      <c r="I324" s="5"/>
    </row>
    <row r="325" spans="1:9" x14ac:dyDescent="0.2">
      <c r="A325" s="3"/>
      <c r="B325" s="6" t="s">
        <v>294</v>
      </c>
      <c r="C325" s="7"/>
      <c r="D325" s="7">
        <v>2.78</v>
      </c>
      <c r="E325" s="7"/>
      <c r="F325" s="7"/>
      <c r="G325" s="7"/>
      <c r="H325" s="8">
        <f>ROUND(IF(PRODUCT(IF(C325=0,1,C325),IF(D325=0,1,D325),IF(E325=0,1,E325),IF(F325=0,1,F325),IF(G325=0,1,G325))=1,0,PRODUCT(IF(C325=0,1,C325),IF(D325=0,1,D325),IF(E325=0,1,E325),IF(F325=0,1,F325),IF(G325=0,1,G325))),2)</f>
        <v>2.78</v>
      </c>
      <c r="I325" s="5"/>
    </row>
    <row r="326" spans="1:9" x14ac:dyDescent="0.2">
      <c r="A326" s="3"/>
      <c r="B326" s="6" t="s">
        <v>295</v>
      </c>
      <c r="C326" s="7"/>
      <c r="D326" s="7">
        <f>1.5*1.1</f>
        <v>1.6500000000000001</v>
      </c>
      <c r="E326" s="7"/>
      <c r="F326" s="7"/>
      <c r="G326" s="7"/>
      <c r="H326" s="8">
        <f>ROUND(IF(PRODUCT(IF(C326=0,1,C326),IF(D326=0,1,D326),IF(E326=0,1,E326),IF(F326=0,1,F326),IF(G326=0,1,G326))=1,0,PRODUCT(IF(C326=0,1,C326),IF(D326=0,1,D326),IF(E326=0,1,E326),IF(F326=0,1,F326),IF(G326=0,1,G326))),2)</f>
        <v>1.65</v>
      </c>
      <c r="I326" s="5"/>
    </row>
    <row r="327" spans="1:9" x14ac:dyDescent="0.2">
      <c r="A327" s="3"/>
      <c r="B327" s="6"/>
      <c r="C327" s="7"/>
      <c r="D327" s="7"/>
      <c r="E327" s="7"/>
      <c r="F327" s="7"/>
      <c r="G327" s="7"/>
      <c r="H327" s="8">
        <f>ROUND(IF(PRODUCT(IF(C327=0,1,C327),IF(E327=0,1,E327),IF(F327=0,1,F327),IF(G327=0,1,G327))=1,0,PRODUCT(IF(C327=0,1,C327),IF(E327=0,1,E327),IF(F327=0,1,F327),IF(G327=0,1,G327))),2)</f>
        <v>0</v>
      </c>
      <c r="I327" s="5"/>
    </row>
    <row r="328" spans="1:9" x14ac:dyDescent="0.2">
      <c r="A328" s="3"/>
      <c r="C328" s="10"/>
      <c r="D328" s="10"/>
      <c r="E328" s="9"/>
      <c r="F328" s="94" t="s">
        <v>11</v>
      </c>
      <c r="G328" s="95" t="s">
        <v>264</v>
      </c>
      <c r="H328" s="11">
        <f>SUM(H323:H326)</f>
        <v>28.03</v>
      </c>
      <c r="I328" s="12" t="s">
        <v>17</v>
      </c>
    </row>
    <row r="329" spans="1:9" x14ac:dyDescent="0.2">
      <c r="A329" s="96" t="str">
        <f>'Orçamento Sintético'!A76</f>
        <v xml:space="preserve"> 6.3 </v>
      </c>
      <c r="B329" s="97" t="str">
        <f>'Orçamento Sintético'!D76</f>
        <v>PISO - EXTERNO</v>
      </c>
      <c r="C329" s="273"/>
      <c r="D329" s="274"/>
      <c r="E329" s="274"/>
      <c r="F329" s="274"/>
      <c r="G329" s="274"/>
      <c r="H329" s="274"/>
      <c r="I329" s="275"/>
    </row>
    <row r="330" spans="1:9" ht="15.6" customHeight="1" x14ac:dyDescent="0.2">
      <c r="A330" s="3" t="str">
        <f>'Orçamento Sintético'!A77</f>
        <v xml:space="preserve"> 6.1.1</v>
      </c>
      <c r="B330" s="270" t="str">
        <f>'Orçamento Sintético'!D77</f>
        <v>LASTRO DE CONCRETO MAGRO, APLICADO EM PISOS, LAJES SOBRE SOLO OU RADIERS. AF_01/2024</v>
      </c>
      <c r="C330" s="271"/>
      <c r="D330" s="271"/>
      <c r="E330" s="272"/>
      <c r="I330" s="5"/>
    </row>
    <row r="331" spans="1:9" x14ac:dyDescent="0.2">
      <c r="A331" s="3"/>
      <c r="B331" s="91" t="s">
        <v>260</v>
      </c>
      <c r="C331" s="91" t="s">
        <v>8</v>
      </c>
      <c r="D331" s="91" t="s">
        <v>266</v>
      </c>
      <c r="E331" s="91" t="s">
        <v>261</v>
      </c>
      <c r="F331" s="91" t="s">
        <v>262</v>
      </c>
      <c r="G331" s="91" t="s">
        <v>263</v>
      </c>
      <c r="H331" s="91" t="s">
        <v>11</v>
      </c>
      <c r="I331" s="5"/>
    </row>
    <row r="332" spans="1:9" x14ac:dyDescent="0.2">
      <c r="A332" s="3"/>
      <c r="B332" s="6" t="s">
        <v>672</v>
      </c>
      <c r="C332" s="7"/>
      <c r="D332" s="7">
        <v>177.6</v>
      </c>
      <c r="E332" s="7"/>
      <c r="F332" s="7"/>
      <c r="G332" s="7">
        <v>0.05</v>
      </c>
      <c r="H332" s="8">
        <f>ROUND(IF(PRODUCT(IF(C332=0,1,C332),IF(D332=0,1,D332),IF(E332=0,1,E332),IF(F332=0,1,F332),IF(G332=0,1,G332))=1,0,PRODUCT(IF(C332=0,1,C332),IF(D332=0,1,D332),IF(E332=0,1,E332),IF(F332=0,1,F332),IF(G332=0,1,G332))),2)</f>
        <v>8.8800000000000008</v>
      </c>
      <c r="I332" s="5"/>
    </row>
    <row r="333" spans="1:9" x14ac:dyDescent="0.2">
      <c r="A333" s="3"/>
      <c r="B333" s="6"/>
      <c r="C333" s="7"/>
      <c r="D333" s="7"/>
      <c r="E333" s="7"/>
      <c r="F333" s="7"/>
      <c r="G333" s="7"/>
      <c r="H333" s="8">
        <f>ROUND(IF(PRODUCT(IF(C333=0,1,C333),IF(E333=0,1,E333),IF(F333=0,1,F333),IF(G333=0,1,G333))=1,0,PRODUCT(IF(C333=0,1,C333),IF(E333=0,1,E333),IF(F333=0,1,F333),IF(G333=0,1,G333))),2)</f>
        <v>0</v>
      </c>
      <c r="I333" s="5"/>
    </row>
    <row r="334" spans="1:9" x14ac:dyDescent="0.2">
      <c r="A334" s="3"/>
      <c r="C334" s="10"/>
      <c r="D334" s="10"/>
      <c r="E334" s="9"/>
      <c r="F334" s="94" t="s">
        <v>11</v>
      </c>
      <c r="G334" s="95" t="s">
        <v>264</v>
      </c>
      <c r="H334" s="11">
        <f>SUM(H332:H332)</f>
        <v>8.8800000000000008</v>
      </c>
      <c r="I334" s="12" t="s">
        <v>17</v>
      </c>
    </row>
    <row r="335" spans="1:9" ht="24" customHeight="1" x14ac:dyDescent="0.2">
      <c r="A335" s="3" t="str">
        <f>'Orçamento Sintético'!A78</f>
        <v xml:space="preserve"> 6.1.2</v>
      </c>
      <c r="B335" s="270" t="str">
        <f>'Orçamento Sintético'!D78</f>
        <v>EXECUÇÃO DE PASSEIO (CALÇADA) OU PISO DE CONCRETO COM CONCRETO MOLDADO IN LOCO, FEITO EM OBRA, ACABAMENTO CONVENCIONAL, ESPESSURA 8 CM, ARMADO. AF_08/2022</v>
      </c>
      <c r="C335" s="271"/>
      <c r="D335" s="271"/>
      <c r="E335" s="272"/>
      <c r="I335" s="5"/>
    </row>
    <row r="336" spans="1:9" x14ac:dyDescent="0.2">
      <c r="A336" s="3"/>
      <c r="B336" s="91" t="s">
        <v>260</v>
      </c>
      <c r="C336" s="91" t="s">
        <v>8</v>
      </c>
      <c r="D336" s="91" t="s">
        <v>266</v>
      </c>
      <c r="E336" s="91" t="s">
        <v>261</v>
      </c>
      <c r="F336" s="91" t="s">
        <v>262</v>
      </c>
      <c r="G336" s="91" t="s">
        <v>263</v>
      </c>
      <c r="H336" s="91" t="s">
        <v>11</v>
      </c>
      <c r="I336" s="5"/>
    </row>
    <row r="337" spans="1:9" x14ac:dyDescent="0.2">
      <c r="A337" s="3"/>
      <c r="B337" s="6" t="s">
        <v>672</v>
      </c>
      <c r="C337" s="7"/>
      <c r="D337" s="7">
        <v>177.6</v>
      </c>
      <c r="E337" s="7"/>
      <c r="F337" s="7"/>
      <c r="G337" s="7"/>
      <c r="H337" s="8">
        <f>ROUND(IF(PRODUCT(IF(C337=0,1,C337),IF(D337=0,1,D337),IF(E337=0,1,E337),IF(F337=0,1,F337),IF(G337=0,1,G337))=1,0,PRODUCT(IF(C337=0,1,C337),IF(D337=0,1,D337),IF(E337=0,1,E337),IF(F337=0,1,F337),IF(G337=0,1,G337))),2)</f>
        <v>177.6</v>
      </c>
      <c r="I337" s="5"/>
    </row>
    <row r="338" spans="1:9" x14ac:dyDescent="0.2">
      <c r="A338" s="3"/>
      <c r="B338" s="6"/>
      <c r="C338" s="7"/>
      <c r="D338" s="7"/>
      <c r="E338" s="7"/>
      <c r="F338" s="7"/>
      <c r="G338" s="7"/>
      <c r="H338" s="8">
        <f>ROUND(IF(PRODUCT(IF(C338=0,1,C338),IF(E338=0,1,E338),IF(F338=0,1,F338),IF(G338=0,1,G338))=1,0,PRODUCT(IF(C338=0,1,C338),IF(E338=0,1,E338),IF(F338=0,1,F338),IF(G338=0,1,G338))),2)</f>
        <v>0</v>
      </c>
      <c r="I338" s="5"/>
    </row>
    <row r="339" spans="1:9" x14ac:dyDescent="0.2">
      <c r="A339" s="3"/>
      <c r="C339" s="10"/>
      <c r="D339" s="10"/>
      <c r="E339" s="9"/>
      <c r="F339" s="94" t="s">
        <v>11</v>
      </c>
      <c r="G339" s="95" t="s">
        <v>264</v>
      </c>
      <c r="H339" s="11">
        <f>SUM(H337:H337)</f>
        <v>177.6</v>
      </c>
      <c r="I339" s="12" t="s">
        <v>17</v>
      </c>
    </row>
    <row r="340" spans="1:9" ht="24" customHeight="1" x14ac:dyDescent="0.2">
      <c r="A340" s="3" t="str">
        <f>'Orçamento Sintético'!A79</f>
        <v xml:space="preserve"> 6.1.3</v>
      </c>
      <c r="B340" s="270" t="str">
        <f>'Orçamento Sintético'!D79</f>
        <v>EXECUÇÃO DE PASSEIO EM PISO INTERTRAVADO, COM BLOCO RETANGULAR COR NATURAL DE 20 X 10 CM, ESPESSURA 6 CM. AF_12/2015</v>
      </c>
      <c r="C340" s="271"/>
      <c r="D340" s="271"/>
      <c r="E340" s="272"/>
      <c r="I340" s="5"/>
    </row>
    <row r="341" spans="1:9" x14ac:dyDescent="0.2">
      <c r="A341" s="3"/>
      <c r="B341" s="91" t="s">
        <v>260</v>
      </c>
      <c r="C341" s="91" t="s">
        <v>8</v>
      </c>
      <c r="D341" s="91" t="s">
        <v>266</v>
      </c>
      <c r="E341" s="91" t="s">
        <v>261</v>
      </c>
      <c r="F341" s="91" t="s">
        <v>262</v>
      </c>
      <c r="G341" s="91" t="s">
        <v>263</v>
      </c>
      <c r="H341" s="91" t="s">
        <v>11</v>
      </c>
      <c r="I341" s="5"/>
    </row>
    <row r="342" spans="1:9" x14ac:dyDescent="0.2">
      <c r="A342" s="3"/>
      <c r="B342" s="6" t="s">
        <v>673</v>
      </c>
      <c r="C342" s="7"/>
      <c r="D342" s="7">
        <v>91.82</v>
      </c>
      <c r="E342" s="7"/>
      <c r="F342" s="7"/>
      <c r="G342" s="7"/>
      <c r="H342" s="8">
        <f>ROUND(IF(PRODUCT(IF(C342=0,1,C342),IF(D342=0,1,D342),IF(E342=0,1,E342),IF(F342=0,1,F342),IF(G342=0,1,G342))=1,0,PRODUCT(IF(C342=0,1,C342),IF(D342=0,1,D342),IF(E342=0,1,E342),IF(F342=0,1,F342),IF(G342=0,1,G342))),2)</f>
        <v>91.82</v>
      </c>
      <c r="I342" s="5"/>
    </row>
    <row r="343" spans="1:9" x14ac:dyDescent="0.2">
      <c r="A343" s="3"/>
      <c r="B343" s="6"/>
      <c r="C343" s="7"/>
      <c r="D343" s="7"/>
      <c r="E343" s="7"/>
      <c r="F343" s="7"/>
      <c r="G343" s="7"/>
      <c r="H343" s="8">
        <f>ROUND(IF(PRODUCT(IF(C343=0,1,C343),IF(E343=0,1,E343),IF(F343=0,1,F343),IF(G343=0,1,G343))=1,0,PRODUCT(IF(C343=0,1,C343),IF(E343=0,1,E343),IF(F343=0,1,F343),IF(G343=0,1,G343))),2)</f>
        <v>0</v>
      </c>
      <c r="I343" s="5"/>
    </row>
    <row r="344" spans="1:9" x14ac:dyDescent="0.2">
      <c r="A344" s="3"/>
      <c r="C344" s="10"/>
      <c r="D344" s="10"/>
      <c r="E344" s="9"/>
      <c r="F344" s="94" t="s">
        <v>11</v>
      </c>
      <c r="G344" s="95" t="s">
        <v>264</v>
      </c>
      <c r="H344" s="11">
        <f>SUM(H342:H342)</f>
        <v>91.82</v>
      </c>
      <c r="I344" s="12" t="s">
        <v>17</v>
      </c>
    </row>
    <row r="345" spans="1:9" ht="24" customHeight="1" x14ac:dyDescent="0.2">
      <c r="A345" s="3" t="str">
        <f>'Orçamento Sintético'!A80</f>
        <v xml:space="preserve"> 6.1.4</v>
      </c>
      <c r="B345" s="270" t="str">
        <f>'Orçamento Sintético'!D80</f>
        <v>LASTRO COM MATERIAL GRANULAR (PEDRA BRITADA N.2), APLICADO EM PISOS OU LAJES SOBRE SOLO, ESPESSURA DE *10 CM*. AF_01/2024</v>
      </c>
      <c r="C345" s="271"/>
      <c r="D345" s="271"/>
      <c r="E345" s="272"/>
      <c r="I345" s="5"/>
    </row>
    <row r="346" spans="1:9" x14ac:dyDescent="0.2">
      <c r="A346" s="3"/>
      <c r="B346" s="91" t="s">
        <v>260</v>
      </c>
      <c r="C346" s="91" t="s">
        <v>8</v>
      </c>
      <c r="D346" s="91" t="s">
        <v>266</v>
      </c>
      <c r="E346" s="91" t="s">
        <v>261</v>
      </c>
      <c r="F346" s="91" t="s">
        <v>262</v>
      </c>
      <c r="G346" s="91" t="s">
        <v>263</v>
      </c>
      <c r="H346" s="91" t="s">
        <v>11</v>
      </c>
      <c r="I346" s="5"/>
    </row>
    <row r="347" spans="1:9" x14ac:dyDescent="0.2">
      <c r="A347" s="3"/>
      <c r="B347" s="6" t="s">
        <v>826</v>
      </c>
      <c r="C347" s="7"/>
      <c r="D347" s="7">
        <v>101.6</v>
      </c>
      <c r="E347" s="7"/>
      <c r="F347" s="7"/>
      <c r="G347" s="7">
        <v>0.1</v>
      </c>
      <c r="H347" s="8">
        <f>ROUND(IF(PRODUCT(IF(C347=0,1,C347),IF(D347=0,1,D347),IF(E347=0,1,E347),IF(F347=0,1,F347),IF(G347=0,1,G347))=1,0,PRODUCT(IF(C347=0,1,C347),IF(D347=0,1,D347),IF(E347=0,1,E347),IF(F347=0,1,F347),IF(G347=0,1,G347))),2)</f>
        <v>10.16</v>
      </c>
      <c r="I347" s="5"/>
    </row>
    <row r="348" spans="1:9" x14ac:dyDescent="0.2">
      <c r="A348" s="3"/>
      <c r="B348" s="6"/>
      <c r="C348" s="7"/>
      <c r="D348" s="7"/>
      <c r="E348" s="7"/>
      <c r="F348" s="7"/>
      <c r="G348" s="7"/>
      <c r="H348" s="8">
        <f>ROUND(IF(PRODUCT(IF(C348=0,1,C348),IF(E348=0,1,E348),IF(F348=0,1,F348),IF(G348=0,1,G348))=1,0,PRODUCT(IF(C348=0,1,C348),IF(E348=0,1,E348),IF(F348=0,1,F348),IF(G348=0,1,G348))),2)</f>
        <v>0</v>
      </c>
      <c r="I348" s="5"/>
    </row>
    <row r="349" spans="1:9" x14ac:dyDescent="0.2">
      <c r="A349" s="3"/>
      <c r="C349" s="10"/>
      <c r="D349" s="10"/>
      <c r="E349" s="9"/>
      <c r="F349" s="94" t="s">
        <v>11</v>
      </c>
      <c r="G349" s="95" t="s">
        <v>264</v>
      </c>
      <c r="H349" s="11">
        <f>SUM(H347:H347)</f>
        <v>10.16</v>
      </c>
      <c r="I349" s="12" t="s">
        <v>24</v>
      </c>
    </row>
    <row r="350" spans="1:9" x14ac:dyDescent="0.2">
      <c r="A350" s="89" t="str">
        <f>'Orçamento Sintético'!A81</f>
        <v>7.0</v>
      </c>
      <c r="B350" s="90" t="str">
        <f>'Orçamento Sintético'!D81</f>
        <v>COBERTA - BANHEIRO</v>
      </c>
      <c r="C350" s="282"/>
      <c r="D350" s="282"/>
      <c r="E350" s="282"/>
      <c r="F350" s="282"/>
      <c r="G350" s="282"/>
      <c r="H350" s="282"/>
      <c r="I350" s="282"/>
    </row>
    <row r="351" spans="1:9" ht="22.15" customHeight="1" x14ac:dyDescent="0.2">
      <c r="A351" s="3" t="str">
        <f>'Orçamento Sintético'!A82</f>
        <v xml:space="preserve"> 7.1 </v>
      </c>
      <c r="B351" s="270" t="str">
        <f>'Orçamento Sintético'!D82</f>
        <v>TRAMA DE AÇO COMPOSTA POR TERÇAS PARA TELHADOS DE ATÉ 2 ÁGUAS PARA TELHA ONDULADA DE FIBROCIMENTO, METÁLICA, PLÁSTICA OU TERMOACÚSTICA, INCLUSO TRANSPORTE VERTICAL. AF_07/2019</v>
      </c>
      <c r="C351" s="271"/>
      <c r="D351" s="271"/>
      <c r="E351" s="272"/>
      <c r="I351" s="5"/>
    </row>
    <row r="352" spans="1:9" x14ac:dyDescent="0.2">
      <c r="A352" s="3"/>
      <c r="B352" s="91" t="s">
        <v>260</v>
      </c>
      <c r="C352" s="91" t="s">
        <v>8</v>
      </c>
      <c r="D352" s="91" t="s">
        <v>266</v>
      </c>
      <c r="E352" s="91" t="s">
        <v>261</v>
      </c>
      <c r="F352" s="91" t="s">
        <v>262</v>
      </c>
      <c r="G352" s="91" t="s">
        <v>263</v>
      </c>
      <c r="H352" s="91" t="s">
        <v>11</v>
      </c>
      <c r="I352" s="5"/>
    </row>
    <row r="353" spans="1:9" x14ac:dyDescent="0.2">
      <c r="A353" s="3"/>
      <c r="B353" s="6"/>
      <c r="C353" s="7"/>
      <c r="D353" s="7">
        <v>16.03</v>
      </c>
      <c r="E353" s="7"/>
      <c r="F353" s="7"/>
      <c r="G353" s="7"/>
      <c r="H353" s="8">
        <f>ROUND(IF(PRODUCT(IF(C353=0,1,C353),IF(D353=0,1,D353),IF(E353=0,1,E353),IF(F353=0,1,F353),IF(G353=0,1,G353))=1,0,PRODUCT(IF(C353=0,1,C353),IF(D353=0,1,D353),IF(E353=0,1,E353),IF(F353=0,1,F353),IF(G353=0,1,G353))),2)</f>
        <v>16.03</v>
      </c>
      <c r="I353" s="5"/>
    </row>
    <row r="354" spans="1:9" x14ac:dyDescent="0.2">
      <c r="A354" s="3"/>
      <c r="B354" s="6"/>
      <c r="C354" s="7"/>
      <c r="D354" s="7"/>
      <c r="E354" s="7"/>
      <c r="F354" s="7"/>
      <c r="G354" s="7"/>
      <c r="H354" s="8">
        <f>ROUND(IF(PRODUCT(IF(C354=0,1,C354),IF(E354=0,1,E354),IF(F354=0,1,F354),IF(G354=0,1,G354))=1,0,PRODUCT(IF(C354=0,1,C354),IF(E354=0,1,E354),IF(F354=0,1,F354),IF(G354=0,1,G354))),2)</f>
        <v>0</v>
      </c>
      <c r="I354" s="5"/>
    </row>
    <row r="355" spans="1:9" x14ac:dyDescent="0.2">
      <c r="A355" s="3"/>
      <c r="C355" s="10"/>
      <c r="D355" s="10"/>
      <c r="E355" s="9"/>
      <c r="F355" s="94" t="s">
        <v>11</v>
      </c>
      <c r="G355" s="95" t="s">
        <v>264</v>
      </c>
      <c r="H355" s="11">
        <f>SUM(H353:H353)</f>
        <v>16.03</v>
      </c>
      <c r="I355" s="12" t="s">
        <v>17</v>
      </c>
    </row>
    <row r="356" spans="1:9" ht="13.5" customHeight="1" x14ac:dyDescent="0.2">
      <c r="A356" s="3" t="str">
        <f>'Orçamento Sintético'!A83</f>
        <v xml:space="preserve"> 7.2 </v>
      </c>
      <c r="B356" s="270" t="str">
        <f>'Orçamento Sintético'!D83</f>
        <v>TELHAMENTO COM TELHA EM ALUMÍNIO, SIMPLES, TRAPEZOIDAL, NÃO PINTADA E = 0,5 MM - REV. 01</v>
      </c>
      <c r="C356" s="271"/>
      <c r="D356" s="271"/>
      <c r="E356" s="272"/>
      <c r="I356" s="5"/>
    </row>
    <row r="357" spans="1:9" x14ac:dyDescent="0.2">
      <c r="A357" s="3"/>
      <c r="B357" s="91" t="s">
        <v>260</v>
      </c>
      <c r="C357" s="91" t="s">
        <v>8</v>
      </c>
      <c r="D357" s="91" t="s">
        <v>266</v>
      </c>
      <c r="E357" s="91" t="s">
        <v>261</v>
      </c>
      <c r="F357" s="91" t="s">
        <v>262</v>
      </c>
      <c r="G357" s="91" t="s">
        <v>263</v>
      </c>
      <c r="H357" s="91" t="s">
        <v>11</v>
      </c>
      <c r="I357" s="5"/>
    </row>
    <row r="358" spans="1:9" x14ac:dyDescent="0.2">
      <c r="A358" s="3"/>
      <c r="B358" s="6"/>
      <c r="C358" s="7"/>
      <c r="D358" s="7">
        <f>H355</f>
        <v>16.03</v>
      </c>
      <c r="E358" s="7"/>
      <c r="F358" s="7"/>
      <c r="G358" s="7"/>
      <c r="H358" s="8">
        <f>ROUND(IF(PRODUCT(IF(C358=0,1,C358),IF(D358=0,1,D358),IF(E358=0,1,E358),IF(F358=0,1,F358),IF(G358=0,1,G358))=1,0,PRODUCT(IF(C358=0,1,C358),IF(D358=0,1,D358),IF(E358=0,1,E358),IF(F358=0,1,F358),IF(G358=0,1,G358))),2)</f>
        <v>16.03</v>
      </c>
      <c r="I358" s="5"/>
    </row>
    <row r="359" spans="1:9" x14ac:dyDescent="0.2">
      <c r="A359" s="3"/>
      <c r="B359" s="6"/>
      <c r="C359" s="7"/>
      <c r="D359" s="7"/>
      <c r="E359" s="7"/>
      <c r="F359" s="7"/>
      <c r="G359" s="7"/>
      <c r="H359" s="8">
        <f>ROUND(IF(PRODUCT(IF(C359=0,1,C359),IF(E359=0,1,E359),IF(F359=0,1,F359),IF(G359=0,1,G359))=1,0,PRODUCT(IF(C359=0,1,C359),IF(E359=0,1,E359),IF(F359=0,1,F359),IF(G359=0,1,G359))),2)</f>
        <v>0</v>
      </c>
      <c r="I359" s="5"/>
    </row>
    <row r="360" spans="1:9" x14ac:dyDescent="0.2">
      <c r="A360" s="3"/>
      <c r="C360" s="10"/>
      <c r="D360" s="10"/>
      <c r="E360" s="9"/>
      <c r="F360" s="94" t="s">
        <v>11</v>
      </c>
      <c r="G360" s="95" t="s">
        <v>264</v>
      </c>
      <c r="H360" s="11">
        <f>SUM(H358:H358)</f>
        <v>16.03</v>
      </c>
      <c r="I360" s="12" t="s">
        <v>17</v>
      </c>
    </row>
    <row r="361" spans="1:9" ht="15" customHeight="1" x14ac:dyDescent="0.2">
      <c r="A361" s="3" t="str">
        <f>'Orçamento Sintético'!A84</f>
        <v xml:space="preserve"> 7.3 </v>
      </c>
      <c r="B361" s="270" t="str">
        <f>'Orçamento Sintético'!D84</f>
        <v>RUFO EM CHAPA DE AÇO GALVANIZADO NÚMERO 24, CORTE DE 25 CM, INCLUSO TRANSPORTE VERTICAL. AF_07/2019</v>
      </c>
      <c r="C361" s="271"/>
      <c r="D361" s="271"/>
      <c r="E361" s="272"/>
      <c r="I361" s="5"/>
    </row>
    <row r="362" spans="1:9" x14ac:dyDescent="0.2">
      <c r="A362" s="3"/>
      <c r="B362" s="91" t="s">
        <v>260</v>
      </c>
      <c r="C362" s="91" t="s">
        <v>8</v>
      </c>
      <c r="D362" s="91" t="s">
        <v>266</v>
      </c>
      <c r="E362" s="91" t="s">
        <v>261</v>
      </c>
      <c r="F362" s="91" t="s">
        <v>262</v>
      </c>
      <c r="G362" s="91" t="s">
        <v>263</v>
      </c>
      <c r="H362" s="91" t="s">
        <v>11</v>
      </c>
      <c r="I362" s="5"/>
    </row>
    <row r="363" spans="1:9" x14ac:dyDescent="0.2">
      <c r="A363" s="3"/>
      <c r="B363" s="6"/>
      <c r="C363" s="7"/>
      <c r="D363" s="7"/>
      <c r="E363" s="7">
        <f>2.95+2.95+5.05</f>
        <v>10.95</v>
      </c>
      <c r="F363" s="7"/>
      <c r="G363" s="7"/>
      <c r="H363" s="8">
        <f>ROUND(IF(PRODUCT(IF(C363=0,1,C363),IF(D363=0,1,D363),IF(E363=0,1,E363),IF(F363=0,1,F363),IF(G363=0,1,G363))=1,0,PRODUCT(IF(C363=0,1,C363),IF(D363=0,1,D363),IF(E363=0,1,E363),IF(F363=0,1,F363),IF(G363=0,1,G363))),2)</f>
        <v>10.95</v>
      </c>
      <c r="I363" s="5"/>
    </row>
    <row r="364" spans="1:9" x14ac:dyDescent="0.2">
      <c r="A364" s="3"/>
      <c r="B364" s="6"/>
      <c r="C364" s="7"/>
      <c r="D364" s="7"/>
      <c r="E364" s="7"/>
      <c r="F364" s="7"/>
      <c r="G364" s="7"/>
      <c r="H364" s="8">
        <f>ROUND(IF(PRODUCT(IF(C364=0,1,C364),IF(E364=0,1,E364),IF(F364=0,1,F364),IF(G364=0,1,G364))=1,0,PRODUCT(IF(C364=0,1,C364),IF(E364=0,1,E364),IF(F364=0,1,F364),IF(G364=0,1,G364))),2)</f>
        <v>0</v>
      </c>
      <c r="I364" s="5"/>
    </row>
    <row r="365" spans="1:9" x14ac:dyDescent="0.2">
      <c r="A365" s="3"/>
      <c r="C365" s="10"/>
      <c r="D365" s="10"/>
      <c r="E365" s="9"/>
      <c r="F365" s="94" t="s">
        <v>11</v>
      </c>
      <c r="G365" s="95" t="s">
        <v>264</v>
      </c>
      <c r="H365" s="11">
        <f>SUM(H363:H363)</f>
        <v>10.95</v>
      </c>
      <c r="I365" s="12" t="s">
        <v>186</v>
      </c>
    </row>
    <row r="366" spans="1:9" ht="24.75" customHeight="1" x14ac:dyDescent="0.2">
      <c r="A366" s="3" t="str">
        <f>'Orçamento Sintético'!A85</f>
        <v xml:space="preserve"> 7.4 </v>
      </c>
      <c r="B366" s="270" t="str">
        <f>'Orçamento Sintético'!D85</f>
        <v>CALHA EM CHAPA DE AÇO GALVANIZADO NÚMERO 24, DESENVOLVIMENTO DE 50 CM, INCLUSO TRANSPORTE VERTICAL. AF_07/2019</v>
      </c>
      <c r="C366" s="271"/>
      <c r="D366" s="271"/>
      <c r="E366" s="272"/>
      <c r="I366" s="5"/>
    </row>
    <row r="367" spans="1:9" x14ac:dyDescent="0.2">
      <c r="A367" s="3"/>
      <c r="B367" s="91" t="s">
        <v>260</v>
      </c>
      <c r="C367" s="91" t="s">
        <v>8</v>
      </c>
      <c r="D367" s="91" t="s">
        <v>266</v>
      </c>
      <c r="E367" s="91" t="s">
        <v>261</v>
      </c>
      <c r="F367" s="91" t="s">
        <v>262</v>
      </c>
      <c r="G367" s="91" t="s">
        <v>263</v>
      </c>
      <c r="H367" s="91" t="s">
        <v>11</v>
      </c>
      <c r="I367" s="5"/>
    </row>
    <row r="368" spans="1:9" x14ac:dyDescent="0.2">
      <c r="A368" s="3"/>
      <c r="B368" s="6"/>
      <c r="C368" s="7"/>
      <c r="D368" s="7"/>
      <c r="E368" s="7">
        <v>5.65</v>
      </c>
      <c r="F368" s="7"/>
      <c r="G368" s="7"/>
      <c r="H368" s="8">
        <f>ROUND(IF(PRODUCT(IF(C368=0,1,C368),IF(D368=0,1,D368),IF(E368=0,1,E368),IF(F368=0,1,F368),IF(G368=0,1,G368))=1,0,PRODUCT(IF(C368=0,1,C368),IF(D368=0,1,D368),IF(E368=0,1,E368),IF(F368=0,1,F368),IF(G368=0,1,G368))),2)</f>
        <v>5.65</v>
      </c>
      <c r="I368" s="5"/>
    </row>
    <row r="369" spans="1:9" x14ac:dyDescent="0.2">
      <c r="A369" s="3"/>
      <c r="B369" s="6"/>
      <c r="C369" s="7"/>
      <c r="D369" s="7"/>
      <c r="E369" s="7"/>
      <c r="F369" s="7"/>
      <c r="G369" s="7"/>
      <c r="H369" s="8">
        <f>ROUND(IF(PRODUCT(IF(C369=0,1,C369),IF(E369=0,1,E369),IF(F369=0,1,F369),IF(G369=0,1,G369))=1,0,PRODUCT(IF(C369=0,1,C369),IF(E369=0,1,E369),IF(F369=0,1,F369),IF(G369=0,1,G369))),2)</f>
        <v>0</v>
      </c>
      <c r="I369" s="5"/>
    </row>
    <row r="370" spans="1:9" x14ac:dyDescent="0.2">
      <c r="A370" s="3"/>
      <c r="C370" s="10"/>
      <c r="D370" s="10"/>
      <c r="E370" s="9"/>
      <c r="F370" s="94" t="s">
        <v>11</v>
      </c>
      <c r="G370" s="95" t="s">
        <v>264</v>
      </c>
      <c r="H370" s="11">
        <f>SUM(H368:H368)</f>
        <v>5.65</v>
      </c>
      <c r="I370" s="12" t="s">
        <v>186</v>
      </c>
    </row>
    <row r="371" spans="1:9" x14ac:dyDescent="0.2">
      <c r="A371" s="89" t="str">
        <f>'Orçamento Sintético'!A86</f>
        <v>8.0</v>
      </c>
      <c r="B371" s="90" t="str">
        <f>'Orçamento Sintético'!D86</f>
        <v>ESTRUTURA METÁLICA / COBERTA - QUADRA</v>
      </c>
      <c r="C371" s="282"/>
      <c r="D371" s="282"/>
      <c r="E371" s="282"/>
      <c r="F371" s="282"/>
      <c r="G371" s="282"/>
      <c r="H371" s="282"/>
      <c r="I371" s="282"/>
    </row>
    <row r="372" spans="1:9" x14ac:dyDescent="0.2">
      <c r="A372" s="96" t="str">
        <f>'Orçamento Sintético'!A87</f>
        <v xml:space="preserve"> 8.1 </v>
      </c>
      <c r="B372" s="97" t="str">
        <f>'Orçamento Sintético'!D87</f>
        <v>BASE - PILARES METÁLICOS</v>
      </c>
      <c r="C372" s="273"/>
      <c r="D372" s="274"/>
      <c r="E372" s="274"/>
      <c r="F372" s="274"/>
      <c r="G372" s="274"/>
      <c r="H372" s="274"/>
      <c r="I372" s="275"/>
    </row>
    <row r="373" spans="1:9" ht="14.25" customHeight="1" x14ac:dyDescent="0.2">
      <c r="A373" s="3" t="str">
        <f>'Orçamento Sintético'!A88</f>
        <v>8.1.1</v>
      </c>
      <c r="B373" s="270" t="str">
        <f>'Orçamento Sintético'!D88</f>
        <v>ESCAVAÇÃO MANUAL DE VALA. AF_09/2024</v>
      </c>
      <c r="C373" s="271"/>
      <c r="D373" s="271"/>
      <c r="E373" s="272"/>
      <c r="I373" s="5"/>
    </row>
    <row r="374" spans="1:9" x14ac:dyDescent="0.2">
      <c r="A374" s="3"/>
      <c r="B374" s="91" t="s">
        <v>260</v>
      </c>
      <c r="C374" s="91" t="s">
        <v>8</v>
      </c>
      <c r="D374" s="91" t="s">
        <v>266</v>
      </c>
      <c r="E374" s="91" t="s">
        <v>261</v>
      </c>
      <c r="F374" s="91" t="s">
        <v>262</v>
      </c>
      <c r="G374" s="91" t="s">
        <v>263</v>
      </c>
      <c r="H374" s="91" t="s">
        <v>11</v>
      </c>
      <c r="I374" s="5"/>
    </row>
    <row r="375" spans="1:9" x14ac:dyDescent="0.2">
      <c r="A375" s="3"/>
      <c r="B375" s="6" t="s">
        <v>712</v>
      </c>
      <c r="C375" s="7">
        <v>4</v>
      </c>
      <c r="D375" s="7"/>
      <c r="E375" s="7">
        <f>1.3+0.2+0.2</f>
        <v>1.7</v>
      </c>
      <c r="F375" s="7">
        <f>1.3+0.2+0.2</f>
        <v>1.7</v>
      </c>
      <c r="G375" s="7">
        <f>0.4+0.05</f>
        <v>0.45</v>
      </c>
      <c r="H375" s="8">
        <f t="shared" ref="H375:H376" si="6">ROUND(IF(PRODUCT(IF(C375=0,1,C375),IF(D375=0,1,D375),IF(E375=0,1,E375),IF(F375=0,1,F375),IF(G375=0,1,G375))=1,0,PRODUCT(IF(C375=0,1,C375),IF(D375=0,1,D375),IF(E375=0,1,E375),IF(F375=0,1,F375),IF(G375=0,1,G375))),2)</f>
        <v>5.2</v>
      </c>
      <c r="I375" s="5"/>
    </row>
    <row r="376" spans="1:9" x14ac:dyDescent="0.2">
      <c r="A376" s="3"/>
      <c r="B376" s="6" t="s">
        <v>713</v>
      </c>
      <c r="C376" s="7">
        <v>12</v>
      </c>
      <c r="D376" s="7"/>
      <c r="E376" s="7">
        <f>1.9+0.2+0.2</f>
        <v>2.3000000000000003</v>
      </c>
      <c r="F376" s="7">
        <f>1.9+0.2+0.2</f>
        <v>2.3000000000000003</v>
      </c>
      <c r="G376" s="7">
        <f>0.45+0.05</f>
        <v>0.5</v>
      </c>
      <c r="H376" s="8">
        <f t="shared" si="6"/>
        <v>31.74</v>
      </c>
      <c r="I376" s="5"/>
    </row>
    <row r="377" spans="1:9" x14ac:dyDescent="0.2">
      <c r="A377" s="3"/>
      <c r="B377" s="6"/>
      <c r="C377" s="198"/>
      <c r="D377" s="198"/>
      <c r="E377" s="198"/>
      <c r="F377" s="198"/>
      <c r="G377" s="198"/>
      <c r="H377" s="8"/>
      <c r="I377" s="5"/>
    </row>
    <row r="378" spans="1:9" x14ac:dyDescent="0.2">
      <c r="A378" s="3"/>
      <c r="B378" s="6" t="s">
        <v>326</v>
      </c>
      <c r="C378" s="198"/>
      <c r="D378" s="198"/>
      <c r="E378" s="7">
        <f>3.65+3.1+3.1+3.1+3.1+3.1+3.4+3.4+3.1+3.1+3.1+3.1+3.1+3.65</f>
        <v>45.1</v>
      </c>
      <c r="F378" s="7">
        <f>0.4+0.2+0.2</f>
        <v>0.8</v>
      </c>
      <c r="G378" s="7">
        <v>0.25</v>
      </c>
      <c r="H378" s="8">
        <f>ROUND(IF(PRODUCT(IF(C378=0,1,C378),IF(D378=0,1,D378),IF(E378=0,1,E378),IF(F378=0,1,F378),IF(G378=0,1,G378))=1,0,PRODUCT(IF(C378=0,1,C378),IF(D378=0,1,D378),IF(E378=0,1,E378),IF(F378=0,1,F378),IF(G378=0,1,G378))),2)</f>
        <v>9.02</v>
      </c>
      <c r="I378" s="5"/>
    </row>
    <row r="379" spans="1:9" x14ac:dyDescent="0.2">
      <c r="A379" s="3"/>
      <c r="B379" s="6"/>
      <c r="C379" s="7"/>
      <c r="D379" s="7"/>
      <c r="E379" s="7"/>
      <c r="F379" s="7"/>
      <c r="G379" s="7"/>
      <c r="H379" s="8">
        <f>ROUND(IF(PRODUCT(IF(C379=0,1,C379),IF(E379=0,1,E379),IF(F379=0,1,F379),IF(G379=0,1,G379))=1,0,PRODUCT(IF(C379=0,1,C379),IF(E379=0,1,E379),IF(F379=0,1,F379),IF(G379=0,1,G379))),2)</f>
        <v>0</v>
      </c>
      <c r="I379" s="5"/>
    </row>
    <row r="380" spans="1:9" x14ac:dyDescent="0.2">
      <c r="A380" s="3"/>
      <c r="C380" s="10"/>
      <c r="D380" s="10"/>
      <c r="E380" s="9"/>
      <c r="F380" s="94" t="s">
        <v>11</v>
      </c>
      <c r="G380" s="95" t="s">
        <v>264</v>
      </c>
      <c r="H380" s="11">
        <f>SUM(H375:H378)</f>
        <v>45.959999999999994</v>
      </c>
      <c r="I380" s="12" t="s">
        <v>24</v>
      </c>
    </row>
    <row r="381" spans="1:9" ht="12.75" customHeight="1" x14ac:dyDescent="0.2">
      <c r="A381" s="3" t="str">
        <f>'Orçamento Sintético'!A89</f>
        <v>8.1.2</v>
      </c>
      <c r="B381" s="270" t="str">
        <f>'Orçamento Sintético'!D89</f>
        <v>PREPARO DE FUNDO DE VALA COM LARGURA MENOR QUE 1,5 M (ACERTO DO SOLO NATURAL). AF_08/2020</v>
      </c>
      <c r="C381" s="271"/>
      <c r="D381" s="271"/>
      <c r="E381" s="272"/>
      <c r="I381" s="5"/>
    </row>
    <row r="382" spans="1:9" x14ac:dyDescent="0.2">
      <c r="A382" s="3"/>
      <c r="B382" s="91" t="s">
        <v>260</v>
      </c>
      <c r="C382" s="91" t="s">
        <v>8</v>
      </c>
      <c r="D382" s="91" t="s">
        <v>266</v>
      </c>
      <c r="E382" s="91" t="s">
        <v>261</v>
      </c>
      <c r="F382" s="91" t="s">
        <v>262</v>
      </c>
      <c r="G382" s="91" t="s">
        <v>263</v>
      </c>
      <c r="H382" s="91" t="s">
        <v>11</v>
      </c>
      <c r="I382" s="5"/>
    </row>
    <row r="383" spans="1:9" x14ac:dyDescent="0.2">
      <c r="A383" s="3"/>
      <c r="B383" s="6" t="s">
        <v>712</v>
      </c>
      <c r="C383" s="7">
        <v>4</v>
      </c>
      <c r="D383" s="7"/>
      <c r="E383" s="7">
        <f>1.3+0.2+0.2</f>
        <v>1.7</v>
      </c>
      <c r="F383" s="7">
        <f>1.3+0.2+0.2</f>
        <v>1.7</v>
      </c>
      <c r="G383" s="161"/>
      <c r="H383" s="8">
        <f t="shared" ref="H383:H384" si="7">ROUND(IF(PRODUCT(IF(C383=0,1,C383),IF(D383=0,1,D383),IF(E383=0,1,E383),IF(F383=0,1,F383),IF(G383=0,1,G383))=1,0,PRODUCT(IF(C383=0,1,C383),IF(D383=0,1,D383),IF(E383=0,1,E383),IF(F383=0,1,F383),IF(G383=0,1,G383))),2)</f>
        <v>11.56</v>
      </c>
      <c r="I383" s="5"/>
    </row>
    <row r="384" spans="1:9" x14ac:dyDescent="0.2">
      <c r="A384" s="3"/>
      <c r="B384" s="6" t="s">
        <v>713</v>
      </c>
      <c r="C384" s="7">
        <v>12</v>
      </c>
      <c r="D384" s="7"/>
      <c r="E384" s="7">
        <f>1.9+0.2+0.2</f>
        <v>2.3000000000000003</v>
      </c>
      <c r="F384" s="7">
        <f>1.9+0.2+0.2</f>
        <v>2.3000000000000003</v>
      </c>
      <c r="G384" s="161"/>
      <c r="H384" s="8">
        <f t="shared" si="7"/>
        <v>63.48</v>
      </c>
      <c r="I384" s="5"/>
    </row>
    <row r="385" spans="1:9" x14ac:dyDescent="0.2">
      <c r="A385" s="3"/>
      <c r="B385" s="6"/>
      <c r="C385" s="7"/>
      <c r="D385" s="7"/>
      <c r="E385" s="7"/>
      <c r="F385" s="7"/>
      <c r="G385" s="161"/>
      <c r="H385" s="8"/>
      <c r="I385" s="5"/>
    </row>
    <row r="386" spans="1:9" x14ac:dyDescent="0.2">
      <c r="A386" s="3"/>
      <c r="B386" s="6" t="s">
        <v>326</v>
      </c>
      <c r="C386" s="7"/>
      <c r="D386" s="7"/>
      <c r="E386" s="7">
        <f>3.65+3.1+3.1+3.1+3.1+3.1+3.4+3.4+3.1+3.1+3.1+3.1+3.1+3.65</f>
        <v>45.1</v>
      </c>
      <c r="F386" s="7">
        <f>0.4+0.2+0.2</f>
        <v>0.8</v>
      </c>
      <c r="G386" s="161"/>
      <c r="H386" s="8">
        <f>ROUND(IF(PRODUCT(IF(C386=0,1,C386),IF(D386=0,1,D386),IF(E386=0,1,E386),IF(F386=0,1,F386),IF(G386=0,1,G386))=1,0,PRODUCT(IF(C386=0,1,C386),IF(D386=0,1,D386),IF(E386=0,1,E386),IF(F386=0,1,F386),IF(G386=0,1,G386))),2)</f>
        <v>36.08</v>
      </c>
      <c r="I386" s="5"/>
    </row>
    <row r="387" spans="1:9" x14ac:dyDescent="0.2">
      <c r="A387" s="3"/>
      <c r="B387" s="6"/>
      <c r="C387" s="7"/>
      <c r="D387" s="7"/>
      <c r="E387" s="7"/>
      <c r="F387" s="7"/>
      <c r="G387" s="7"/>
      <c r="H387" s="8">
        <f>ROUND(IF(PRODUCT(IF(C387=0,1,C387),IF(E387=0,1,E387),IF(F387=0,1,F387),IF(G387=0,1,G387))=1,0,PRODUCT(IF(C387=0,1,C387),IF(E387=0,1,E387),IF(F387=0,1,F387),IF(G387=0,1,G387))),2)</f>
        <v>0</v>
      </c>
      <c r="I387" s="5"/>
    </row>
    <row r="388" spans="1:9" x14ac:dyDescent="0.2">
      <c r="A388" s="3"/>
      <c r="C388" s="10"/>
      <c r="D388" s="10"/>
      <c r="E388" s="9"/>
      <c r="F388" s="94" t="s">
        <v>11</v>
      </c>
      <c r="G388" s="95" t="s">
        <v>264</v>
      </c>
      <c r="H388" s="11">
        <f>SUM(H383:H386)</f>
        <v>111.11999999999999</v>
      </c>
      <c r="I388" s="12" t="s">
        <v>17</v>
      </c>
    </row>
    <row r="389" spans="1:9" ht="13.9" customHeight="1" x14ac:dyDescent="0.2">
      <c r="A389" s="3" t="str">
        <f>'Orçamento Sintético'!A90</f>
        <v>8.1.3</v>
      </c>
      <c r="B389" s="270" t="str">
        <f>'Orçamento Sintético'!D90</f>
        <v>LASTRO DE CONCRETO MAGRO, APLICADO EM BLOCOS DE COROAMENTO OU SAPATAS, ESPESSURA DE 5 CM. AF_01/2024</v>
      </c>
      <c r="C389" s="271"/>
      <c r="D389" s="271"/>
      <c r="E389" s="272"/>
      <c r="I389" s="5"/>
    </row>
    <row r="390" spans="1:9" x14ac:dyDescent="0.2">
      <c r="A390" s="3"/>
      <c r="B390" s="91" t="s">
        <v>260</v>
      </c>
      <c r="C390" s="91" t="s">
        <v>8</v>
      </c>
      <c r="D390" s="91" t="s">
        <v>266</v>
      </c>
      <c r="E390" s="91" t="s">
        <v>261</v>
      </c>
      <c r="F390" s="91" t="s">
        <v>262</v>
      </c>
      <c r="G390" s="91" t="s">
        <v>263</v>
      </c>
      <c r="H390" s="91" t="s">
        <v>11</v>
      </c>
      <c r="I390" s="5"/>
    </row>
    <row r="391" spans="1:9" x14ac:dyDescent="0.2">
      <c r="A391" s="3"/>
      <c r="B391" s="6"/>
      <c r="C391" s="7"/>
      <c r="D391" s="7">
        <f>H388</f>
        <v>111.11999999999999</v>
      </c>
      <c r="E391" s="7"/>
      <c r="F391" s="7"/>
      <c r="G391" s="7"/>
      <c r="H391" s="8">
        <f>ROUND(IF(PRODUCT(IF(C391=0,1,C391),IF(D391=0,1,D391),IF(E391=0,1,E391),IF(F391=0,1,F391),IF(G391=0,1,G391))=1,0,PRODUCT(IF(C391=0,1,C391),IF(D391=0,1,D391),IF(E391=0,1,E391),IF(F391=0,1,F391),IF(G391=0,1,G391))),2)</f>
        <v>111.12</v>
      </c>
      <c r="I391" s="5"/>
    </row>
    <row r="392" spans="1:9" x14ac:dyDescent="0.2">
      <c r="A392" s="3"/>
      <c r="B392" s="6"/>
      <c r="C392" s="7"/>
      <c r="D392" s="7"/>
      <c r="E392" s="7"/>
      <c r="F392" s="7"/>
      <c r="G392" s="7"/>
      <c r="H392" s="8">
        <f>ROUND(IF(PRODUCT(IF(C392=0,1,C392),IF(E392=0,1,E392),IF(F392=0,1,F392),IF(G392=0,1,G392))=1,0,PRODUCT(IF(C392=0,1,C392),IF(E392=0,1,E392),IF(F392=0,1,F392),IF(G392=0,1,G392))),2)</f>
        <v>0</v>
      </c>
      <c r="I392" s="5"/>
    </row>
    <row r="393" spans="1:9" x14ac:dyDescent="0.2">
      <c r="A393" s="3"/>
      <c r="C393" s="10"/>
      <c r="D393" s="10"/>
      <c r="E393" s="9"/>
      <c r="F393" s="94" t="s">
        <v>11</v>
      </c>
      <c r="G393" s="95" t="s">
        <v>264</v>
      </c>
      <c r="H393" s="11">
        <f>SUM(H391:H391)</f>
        <v>111.12</v>
      </c>
      <c r="I393" s="12" t="s">
        <v>17</v>
      </c>
    </row>
    <row r="394" spans="1:9" ht="22.15" customHeight="1" x14ac:dyDescent="0.2">
      <c r="A394" s="3" t="str">
        <f>'Orçamento Sintético'!A91</f>
        <v>8.1.4</v>
      </c>
      <c r="B394" s="270" t="str">
        <f>'Orçamento Sintético'!D91</f>
        <v>FABRICAÇÃO, MONTAGEM E DESMONTAGEM DE FÔRMA PARA SAPATA, EM MADEIRA SERRADA, E=25 MM, 4UTILIZAÇÕES. AF_01/2024</v>
      </c>
      <c r="C394" s="271"/>
      <c r="D394" s="271"/>
      <c r="E394" s="272"/>
      <c r="I394" s="5"/>
    </row>
    <row r="395" spans="1:9" x14ac:dyDescent="0.2">
      <c r="A395" s="3"/>
      <c r="B395" s="91" t="s">
        <v>260</v>
      </c>
      <c r="C395" s="91" t="s">
        <v>8</v>
      </c>
      <c r="D395" s="91" t="s">
        <v>266</v>
      </c>
      <c r="E395" s="91" t="s">
        <v>261</v>
      </c>
      <c r="F395" s="91" t="s">
        <v>262</v>
      </c>
      <c r="G395" s="91" t="s">
        <v>263</v>
      </c>
      <c r="H395" s="91" t="s">
        <v>11</v>
      </c>
      <c r="I395" s="5"/>
    </row>
    <row r="396" spans="1:9" x14ac:dyDescent="0.2">
      <c r="A396" s="3"/>
      <c r="B396" s="6" t="s">
        <v>712</v>
      </c>
      <c r="C396" s="7">
        <v>4</v>
      </c>
      <c r="D396" s="7"/>
      <c r="E396" s="7">
        <f>1.3+1.3+1.3+1.3</f>
        <v>5.2</v>
      </c>
      <c r="F396" s="7"/>
      <c r="G396" s="7">
        <v>0.4</v>
      </c>
      <c r="H396" s="8">
        <f t="shared" ref="H396:H397" si="8">ROUND(IF(PRODUCT(IF(C396=0,1,C396),IF(D396=0,1,D396),IF(E396=0,1,E396),IF(F396=0,1,F396),IF(G396=0,1,G396))=1,0,PRODUCT(IF(C396=0,1,C396),IF(D396=0,1,D396),IF(E396=0,1,E396),IF(F396=0,1,F396),IF(G396=0,1,G396))),2)</f>
        <v>8.32</v>
      </c>
      <c r="I396" s="5"/>
    </row>
    <row r="397" spans="1:9" x14ac:dyDescent="0.2">
      <c r="A397" s="3"/>
      <c r="B397" s="6" t="s">
        <v>713</v>
      </c>
      <c r="C397" s="7">
        <v>12</v>
      </c>
      <c r="D397" s="7"/>
      <c r="E397" s="7">
        <f>1.9+1.9+1.9+1.9</f>
        <v>7.6</v>
      </c>
      <c r="F397" s="7"/>
      <c r="G397" s="7">
        <v>0.45</v>
      </c>
      <c r="H397" s="8">
        <f t="shared" si="8"/>
        <v>41.04</v>
      </c>
      <c r="I397" s="5"/>
    </row>
    <row r="398" spans="1:9" x14ac:dyDescent="0.2">
      <c r="A398" s="3"/>
      <c r="B398" s="6"/>
      <c r="C398" s="7"/>
      <c r="D398" s="7"/>
      <c r="E398" s="7"/>
      <c r="F398" s="7"/>
      <c r="G398" s="7"/>
      <c r="H398" s="8"/>
      <c r="I398" s="5"/>
    </row>
    <row r="399" spans="1:9" x14ac:dyDescent="0.2">
      <c r="A399" s="3"/>
      <c r="B399" s="6" t="s">
        <v>326</v>
      </c>
      <c r="C399" s="7">
        <v>2</v>
      </c>
      <c r="D399" s="7"/>
      <c r="E399" s="7">
        <f>3.65+3.1+3.1+3.1+3.1+3.1+3.4+3.4+3.1+3.1+3.1+3.1+3.1+3.65</f>
        <v>45.1</v>
      </c>
      <c r="F399" s="7"/>
      <c r="G399" s="7">
        <v>0.2</v>
      </c>
      <c r="H399" s="8">
        <f>ROUND(IF(PRODUCT(IF(C399=0,1,C399),IF(D399=0,1,D399),IF(E399=0,1,E399),IF(F399=0,1,F399),IF(G399=0,1,G399))=1,0,PRODUCT(IF(C399=0,1,C399),IF(D399=0,1,D399),IF(E399=0,1,E399),IF(F399=0,1,F399),IF(G399=0,1,G399))),2)</f>
        <v>18.04</v>
      </c>
      <c r="I399" s="5"/>
    </row>
    <row r="400" spans="1:9" x14ac:dyDescent="0.2">
      <c r="A400" s="3"/>
      <c r="B400" s="6"/>
      <c r="C400" s="7"/>
      <c r="D400" s="7"/>
      <c r="E400" s="7"/>
      <c r="F400" s="7"/>
      <c r="G400" s="7"/>
      <c r="H400" s="8">
        <f>ROUND(IF(PRODUCT(IF(C400=0,1,C400),IF(E400=0,1,E400),IF(F400=0,1,F400),IF(G400=0,1,G400))=1,0,PRODUCT(IF(C400=0,1,C400),IF(E400=0,1,E400),IF(F400=0,1,F400),IF(G400=0,1,G400))),2)</f>
        <v>0</v>
      </c>
      <c r="I400" s="5"/>
    </row>
    <row r="401" spans="1:9" x14ac:dyDescent="0.2">
      <c r="A401" s="3"/>
      <c r="C401" s="10"/>
      <c r="D401" s="10"/>
      <c r="E401" s="9"/>
      <c r="F401" s="94" t="s">
        <v>11</v>
      </c>
      <c r="G401" s="95" t="s">
        <v>264</v>
      </c>
      <c r="H401" s="11">
        <f>SUM(H396:H399)</f>
        <v>67.400000000000006</v>
      </c>
      <c r="I401" s="12" t="s">
        <v>17</v>
      </c>
    </row>
    <row r="402" spans="1:9" ht="22.9" customHeight="1" x14ac:dyDescent="0.2">
      <c r="A402" s="3" t="str">
        <f>'Orçamento Sintético'!A92</f>
        <v>8.1.5</v>
      </c>
      <c r="B402" s="270" t="str">
        <f>'Orçamento Sintético'!D92</f>
        <v>ARMAÇÃO DE SAPATA ISOLADA, VIGA BALDRAME E SAPATA CORRIDA UTILIZANDO AÇO CA-50 DE 10 MM - MONTAGEM. AF_01/2024</v>
      </c>
      <c r="C402" s="271"/>
      <c r="D402" s="271"/>
      <c r="E402" s="272"/>
      <c r="I402" s="5"/>
    </row>
    <row r="403" spans="1:9" x14ac:dyDescent="0.2">
      <c r="A403" s="3"/>
      <c r="B403" s="91" t="s">
        <v>260</v>
      </c>
      <c r="C403" s="91" t="s">
        <v>8</v>
      </c>
      <c r="D403" s="91" t="s">
        <v>676</v>
      </c>
      <c r="E403" s="91" t="s">
        <v>261</v>
      </c>
      <c r="F403" s="91" t="s">
        <v>262</v>
      </c>
      <c r="G403" s="91" t="s">
        <v>263</v>
      </c>
      <c r="H403" s="91" t="s">
        <v>11</v>
      </c>
      <c r="I403" s="5"/>
    </row>
    <row r="404" spans="1:9" x14ac:dyDescent="0.2">
      <c r="A404" s="3"/>
      <c r="B404" s="23"/>
      <c r="C404" s="7"/>
      <c r="D404" s="7">
        <v>201</v>
      </c>
      <c r="E404" s="7"/>
      <c r="F404" s="7"/>
      <c r="G404" s="7"/>
      <c r="H404" s="8">
        <f>ROUND(IF(PRODUCT(IF(C404=0,1,C404),IF(D404=0,1,D404),IF(E404=0,1,E404),IF(F404=0,1,F404),IF(G404=0,1,G404))=1,0,PRODUCT(IF(C404=0,1,C404),IF(D404=0,1,D404),IF(E404=0,1,E404),IF(F404=0,1,F404),IF(G404=0,1,G404))),2)</f>
        <v>201</v>
      </c>
      <c r="I404" s="5"/>
    </row>
    <row r="405" spans="1:9" x14ac:dyDescent="0.2">
      <c r="A405" s="3"/>
      <c r="B405" s="6"/>
      <c r="C405" s="7"/>
      <c r="D405" s="7"/>
      <c r="E405" s="7"/>
      <c r="F405" s="7"/>
      <c r="G405" s="7"/>
      <c r="H405" s="8">
        <f>ROUND(IF(PRODUCT(IF(C405=0,1,C405),IF(E405=0,1,E405),IF(F405=0,1,F405),IF(G405=0,1,G405))=1,0,PRODUCT(IF(C405=0,1,C405),IF(E405=0,1,E405),IF(F405=0,1,F405),IF(G405=0,1,G405))),2)</f>
        <v>0</v>
      </c>
      <c r="I405" s="5"/>
    </row>
    <row r="406" spans="1:9" x14ac:dyDescent="0.2">
      <c r="A406" s="3"/>
      <c r="C406" s="10"/>
      <c r="D406" s="10"/>
      <c r="E406" s="9"/>
      <c r="F406" s="94" t="s">
        <v>11</v>
      </c>
      <c r="G406" s="95" t="s">
        <v>264</v>
      </c>
      <c r="H406" s="11">
        <f>SUM(H404:H404)</f>
        <v>201</v>
      </c>
      <c r="I406" s="12" t="s">
        <v>299</v>
      </c>
    </row>
    <row r="407" spans="1:9" ht="21.6" customHeight="1" x14ac:dyDescent="0.2">
      <c r="A407" s="3" t="str">
        <f>'Orçamento Sintético'!A93</f>
        <v>8.1.6</v>
      </c>
      <c r="B407" s="270" t="str">
        <f>'Orçamento Sintético'!D93</f>
        <v>ARMAÇÃO DE BLOCO, SAPATA ISOLADA, VIGA BALDRAME E SAPATA CORRIDA UTILIZANDO AÇO CA-50 DE 12,5MM - MONTAGEM. AF_01/2024</v>
      </c>
      <c r="C407" s="271"/>
      <c r="D407" s="271"/>
      <c r="E407" s="272"/>
      <c r="I407" s="5"/>
    </row>
    <row r="408" spans="1:9" x14ac:dyDescent="0.2">
      <c r="A408" s="3"/>
      <c r="B408" s="91" t="s">
        <v>260</v>
      </c>
      <c r="C408" s="91" t="s">
        <v>8</v>
      </c>
      <c r="D408" s="91" t="s">
        <v>676</v>
      </c>
      <c r="E408" s="91" t="s">
        <v>261</v>
      </c>
      <c r="F408" s="91" t="s">
        <v>262</v>
      </c>
      <c r="G408" s="91" t="s">
        <v>263</v>
      </c>
      <c r="H408" s="91" t="s">
        <v>11</v>
      </c>
      <c r="I408" s="5"/>
    </row>
    <row r="409" spans="1:9" x14ac:dyDescent="0.2">
      <c r="A409" s="3"/>
      <c r="B409" s="23"/>
      <c r="C409" s="7"/>
      <c r="D409" s="7">
        <v>753</v>
      </c>
      <c r="E409" s="7"/>
      <c r="F409" s="7"/>
      <c r="G409" s="7"/>
      <c r="H409" s="8">
        <f>ROUND(IF(PRODUCT(IF(C409=0,1,C409),IF(D409=0,1,D409),IF(E409=0,1,E409),IF(F409=0,1,F409),IF(G409=0,1,G409))=1,0,PRODUCT(IF(C409=0,1,C409),IF(D409=0,1,D409),IF(E409=0,1,E409),IF(F409=0,1,F409),IF(G409=0,1,G409))),2)</f>
        <v>753</v>
      </c>
      <c r="I409" s="5"/>
    </row>
    <row r="410" spans="1:9" x14ac:dyDescent="0.2">
      <c r="A410" s="3"/>
      <c r="B410" s="6"/>
      <c r="C410" s="7"/>
      <c r="D410" s="7"/>
      <c r="E410" s="7"/>
      <c r="F410" s="7"/>
      <c r="G410" s="7"/>
      <c r="H410" s="8">
        <f>ROUND(IF(PRODUCT(IF(C410=0,1,C410),IF(E410=0,1,E410),IF(F410=0,1,F410),IF(G410=0,1,G410))=1,0,PRODUCT(IF(C410=0,1,C410),IF(E410=0,1,E410),IF(F410=0,1,F410),IF(G410=0,1,G410))),2)</f>
        <v>0</v>
      </c>
      <c r="I410" s="5"/>
    </row>
    <row r="411" spans="1:9" x14ac:dyDescent="0.2">
      <c r="A411" s="3"/>
      <c r="C411" s="10"/>
      <c r="D411" s="10"/>
      <c r="E411" s="9"/>
      <c r="F411" s="94" t="s">
        <v>11</v>
      </c>
      <c r="G411" s="95" t="s">
        <v>264</v>
      </c>
      <c r="H411" s="11">
        <f>SUM(H409:H409)</f>
        <v>753</v>
      </c>
      <c r="I411" s="12" t="s">
        <v>299</v>
      </c>
    </row>
    <row r="412" spans="1:9" ht="21.6" customHeight="1" x14ac:dyDescent="0.2">
      <c r="A412" s="3" t="str">
        <f>'Orçamento Sintético'!A94</f>
        <v>8.1.7</v>
      </c>
      <c r="B412" s="270" t="str">
        <f>'Orçamento Sintético'!D94</f>
        <v>ARMAÇÃO DE SAPATA ISOLADA, VIGA BALDRAME E SAPATA CORRIDA UTILIZANDO AÇO CA-60 DE 5 MM - MONTAGEM. AF_01/2024</v>
      </c>
      <c r="C412" s="271"/>
      <c r="D412" s="271"/>
      <c r="E412" s="272"/>
      <c r="I412" s="5"/>
    </row>
    <row r="413" spans="1:9" x14ac:dyDescent="0.2">
      <c r="A413" s="3"/>
      <c r="B413" s="91" t="s">
        <v>260</v>
      </c>
      <c r="C413" s="91" t="s">
        <v>8</v>
      </c>
      <c r="D413" s="91" t="s">
        <v>676</v>
      </c>
      <c r="E413" s="91" t="s">
        <v>261</v>
      </c>
      <c r="F413" s="91" t="s">
        <v>262</v>
      </c>
      <c r="G413" s="91" t="s">
        <v>263</v>
      </c>
      <c r="H413" s="91" t="s">
        <v>11</v>
      </c>
      <c r="I413" s="5"/>
    </row>
    <row r="414" spans="1:9" x14ac:dyDescent="0.2">
      <c r="A414" s="3"/>
      <c r="B414" s="23"/>
      <c r="C414" s="7"/>
      <c r="D414" s="7">
        <v>48</v>
      </c>
      <c r="E414" s="7"/>
      <c r="F414" s="7"/>
      <c r="G414" s="7"/>
      <c r="H414" s="8">
        <f>ROUND(IF(PRODUCT(IF(C414=0,1,C414),IF(D414=0,1,D414),IF(E414=0,1,E414),IF(F414=0,1,F414),IF(G414=0,1,G414))=1,0,PRODUCT(IF(C414=0,1,C414),IF(D414=0,1,D414),IF(E414=0,1,E414),IF(F414=0,1,F414),IF(G414=0,1,G414))),2)</f>
        <v>48</v>
      </c>
      <c r="I414" s="5"/>
    </row>
    <row r="415" spans="1:9" x14ac:dyDescent="0.2">
      <c r="A415" s="3"/>
      <c r="B415" s="6"/>
      <c r="C415" s="7"/>
      <c r="D415" s="7"/>
      <c r="E415" s="7"/>
      <c r="F415" s="7"/>
      <c r="G415" s="7"/>
      <c r="H415" s="8">
        <f>ROUND(IF(PRODUCT(IF(C415=0,1,C415),IF(E415=0,1,E415),IF(F415=0,1,F415),IF(G415=0,1,G415))=1,0,PRODUCT(IF(C415=0,1,C415),IF(E415=0,1,E415),IF(F415=0,1,F415),IF(G415=0,1,G415))),2)</f>
        <v>0</v>
      </c>
      <c r="I415" s="5"/>
    </row>
    <row r="416" spans="1:9" x14ac:dyDescent="0.2">
      <c r="A416" s="3"/>
      <c r="C416" s="10"/>
      <c r="D416" s="10"/>
      <c r="E416" s="9"/>
      <c r="F416" s="94" t="s">
        <v>11</v>
      </c>
      <c r="G416" s="95" t="s">
        <v>264</v>
      </c>
      <c r="H416" s="11">
        <f>SUM(H414:H414)</f>
        <v>48</v>
      </c>
      <c r="I416" s="12" t="s">
        <v>299</v>
      </c>
    </row>
    <row r="417" spans="1:10" ht="22.5" customHeight="1" x14ac:dyDescent="0.2">
      <c r="A417" s="3" t="str">
        <f>'Orçamento Sintético'!A95</f>
        <v>8.1.8</v>
      </c>
      <c r="B417" s="270" t="str">
        <f>'Orçamento Sintético'!D95</f>
        <v>CONCRETAGEM DE SAPATA, FCK 30 MPA, COM USO DE BOMBA - LANÇAMENTO, ADENSAMENTO E ACABAMENTO. AF_01/2024</v>
      </c>
      <c r="C417" s="271"/>
      <c r="D417" s="271"/>
      <c r="E417" s="272"/>
      <c r="I417" s="5"/>
    </row>
    <row r="418" spans="1:10" x14ac:dyDescent="0.2">
      <c r="A418" s="3"/>
      <c r="B418" s="91" t="s">
        <v>260</v>
      </c>
      <c r="C418" s="91" t="s">
        <v>8</v>
      </c>
      <c r="D418" s="91" t="s">
        <v>266</v>
      </c>
      <c r="E418" s="91" t="s">
        <v>261</v>
      </c>
      <c r="F418" s="91" t="s">
        <v>262</v>
      </c>
      <c r="G418" s="91" t="s">
        <v>263</v>
      </c>
      <c r="H418" s="91" t="s">
        <v>11</v>
      </c>
      <c r="I418" s="5"/>
    </row>
    <row r="419" spans="1:10" x14ac:dyDescent="0.2">
      <c r="A419" s="3"/>
      <c r="B419" s="6" t="s">
        <v>712</v>
      </c>
      <c r="C419" s="7">
        <v>4</v>
      </c>
      <c r="D419" s="7"/>
      <c r="E419" s="7">
        <v>1.3</v>
      </c>
      <c r="F419" s="7">
        <v>1.3</v>
      </c>
      <c r="G419" s="7">
        <v>0.4</v>
      </c>
      <c r="H419" s="8">
        <f t="shared" ref="H419:H420" si="9">ROUND(IF(PRODUCT(IF(C419=0,1,C419),IF(D419=0,1,D419),IF(E419=0,1,E419),IF(F419=0,1,F419),IF(G419=0,1,G419))=1,0,PRODUCT(IF(C419=0,1,C419),IF(D419=0,1,D419),IF(E419=0,1,E419),IF(F419=0,1,F419),IF(G419=0,1,G419))),2)</f>
        <v>2.7</v>
      </c>
      <c r="I419" s="5"/>
    </row>
    <row r="420" spans="1:10" x14ac:dyDescent="0.2">
      <c r="A420" s="3"/>
      <c r="B420" s="6" t="s">
        <v>713</v>
      </c>
      <c r="C420" s="7">
        <v>12</v>
      </c>
      <c r="D420" s="7"/>
      <c r="E420" s="7">
        <v>1.9</v>
      </c>
      <c r="F420" s="7">
        <v>1.9</v>
      </c>
      <c r="G420" s="7">
        <v>0.45</v>
      </c>
      <c r="H420" s="8">
        <f t="shared" si="9"/>
        <v>19.489999999999998</v>
      </c>
      <c r="I420" s="5"/>
    </row>
    <row r="421" spans="1:10" x14ac:dyDescent="0.2">
      <c r="A421" s="3"/>
      <c r="B421" s="6"/>
      <c r="C421" s="198"/>
      <c r="D421" s="198"/>
      <c r="E421" s="198"/>
      <c r="F421" s="198"/>
      <c r="G421" s="198"/>
      <c r="H421" s="8"/>
      <c r="I421" s="5"/>
    </row>
    <row r="422" spans="1:10" x14ac:dyDescent="0.2">
      <c r="A422" s="3"/>
      <c r="B422" s="6" t="s">
        <v>326</v>
      </c>
      <c r="C422" s="198"/>
      <c r="D422" s="198"/>
      <c r="E422" s="7">
        <f>3.65+3.1+3.1+3.1+3.1+3.1+3.4+3.4+3.1+3.1+3.1+3.1+3.1+3.65</f>
        <v>45.1</v>
      </c>
      <c r="F422" s="7">
        <v>0.4</v>
      </c>
      <c r="G422" s="7">
        <v>0.2</v>
      </c>
      <c r="H422" s="8">
        <f>ROUND(IF(PRODUCT(IF(C422=0,1,C422),IF(D422=0,1,D422),IF(E422=0,1,E422),IF(F422=0,1,F422),IF(G422=0,1,G422))=1,0,PRODUCT(IF(C422=0,1,C422),IF(D422=0,1,D422),IF(E422=0,1,E422),IF(F422=0,1,F422),IF(G422=0,1,G422))),2)</f>
        <v>3.61</v>
      </c>
      <c r="I422" s="5"/>
    </row>
    <row r="423" spans="1:10" x14ac:dyDescent="0.2">
      <c r="A423" s="3"/>
      <c r="B423" s="6"/>
      <c r="C423" s="198"/>
      <c r="D423" s="198"/>
      <c r="E423" s="198"/>
      <c r="F423" s="198"/>
      <c r="G423" s="198"/>
      <c r="H423" s="8">
        <f>ROUND(IF(PRODUCT(IF(C423=0,1,C423),IF(E423=0,1,E423),IF(F423=0,1,F423),IF(G423=0,1,G423))=1,0,PRODUCT(IF(C423=0,1,C423),IF(E423=0,1,E423),IF(F423=0,1,F423),IF(G423=0,1,G423))),2)</f>
        <v>0</v>
      </c>
      <c r="I423" s="5"/>
    </row>
    <row r="424" spans="1:10" x14ac:dyDescent="0.2">
      <c r="A424" s="3"/>
      <c r="C424" s="10"/>
      <c r="D424" s="10"/>
      <c r="E424" s="9"/>
      <c r="F424" s="94" t="s">
        <v>11</v>
      </c>
      <c r="G424" s="95" t="s">
        <v>264</v>
      </c>
      <c r="H424" s="11">
        <f>SUM(H419:H422)</f>
        <v>25.799999999999997</v>
      </c>
      <c r="I424" s="12" t="s">
        <v>24</v>
      </c>
    </row>
    <row r="425" spans="1:10" ht="12" customHeight="1" x14ac:dyDescent="0.2">
      <c r="A425" s="3" t="str">
        <f>'Orçamento Sintético'!A96</f>
        <v>8.1.9</v>
      </c>
      <c r="B425" s="270" t="str">
        <f>'Orçamento Sintético'!D96</f>
        <v>REATERRO MANUAL DE VALAS, COM PLACA VIBRATÓRIA. AF_08/2023</v>
      </c>
      <c r="C425" s="271"/>
      <c r="D425" s="271"/>
      <c r="E425" s="272"/>
      <c r="I425" s="5"/>
    </row>
    <row r="426" spans="1:10" x14ac:dyDescent="0.2">
      <c r="A426" s="3"/>
      <c r="B426" s="91" t="s">
        <v>260</v>
      </c>
      <c r="C426" s="91" t="s">
        <v>8</v>
      </c>
      <c r="D426" s="91" t="s">
        <v>266</v>
      </c>
      <c r="E426" s="91" t="s">
        <v>261</v>
      </c>
      <c r="F426" s="91" t="s">
        <v>262</v>
      </c>
      <c r="G426" s="91" t="s">
        <v>263</v>
      </c>
      <c r="H426" s="91" t="s">
        <v>11</v>
      </c>
      <c r="I426" s="5"/>
    </row>
    <row r="427" spans="1:10" x14ac:dyDescent="0.2">
      <c r="A427" s="3"/>
      <c r="B427" s="6" t="s">
        <v>279</v>
      </c>
      <c r="C427" s="15">
        <f>H380</f>
        <v>45.959999999999994</v>
      </c>
      <c r="D427" s="15"/>
      <c r="E427" s="15"/>
      <c r="F427" s="15"/>
      <c r="G427" s="7"/>
      <c r="H427" s="8">
        <f>ROUND(IF(PRODUCT(IF(C427=0,1,C427),IF(D427=0,1,D427),IF(E427=0,1,E427),IF(F427=0,1,F427),IF(G427=0,1,G427))=1,0,PRODUCT(IF(C427=0,1,C427),IF(D427=0,1,D427),IF(E427=0,1,E427),IF(F427=0,1,F427),IF(G427=0,1,G427))),2)</f>
        <v>45.96</v>
      </c>
      <c r="I427" s="5"/>
    </row>
    <row r="428" spans="1:10" x14ac:dyDescent="0.2">
      <c r="A428" s="3"/>
      <c r="B428" s="16" t="s">
        <v>280</v>
      </c>
      <c r="C428" s="17">
        <f>H393*0.05</f>
        <v>5.5560000000000009</v>
      </c>
      <c r="D428" s="15"/>
      <c r="E428" s="15"/>
      <c r="F428" s="15"/>
      <c r="G428" s="7"/>
      <c r="H428" s="17">
        <f>-ROUND(IF(PRODUCT(IF(C428=0,1,C428),IF(D428=0,1,D428),IF(E428=0,1,E428),IF(F428=0,1,F428),IF(G428=0,1,G428))=1,0,PRODUCT(IF(C428=0,1,C428),IF(D428=0,1,D428),IF(E428=0,1,E428),IF(F428=0,1,F428),IF(G428=0,1,G428))),2)</f>
        <v>-5.56</v>
      </c>
      <c r="I428" s="5"/>
      <c r="J428" s="19"/>
    </row>
    <row r="429" spans="1:10" x14ac:dyDescent="0.2">
      <c r="A429" s="3"/>
      <c r="B429" s="16" t="s">
        <v>281</v>
      </c>
      <c r="C429" s="17">
        <f>H424</f>
        <v>25.799999999999997</v>
      </c>
      <c r="D429" s="15"/>
      <c r="E429" s="15"/>
      <c r="F429" s="15"/>
      <c r="G429" s="7"/>
      <c r="H429" s="17">
        <f>-ROUND(IF(PRODUCT(IF(C429=0,1,C429),IF(D429=0,1,D429),IF(E429=0,1,E429),IF(F429=0,1,F429),IF(G429=0,1,G429))=1,0,PRODUCT(IF(C429=0,1,C429),IF(D429=0,1,D429),IF(E429=0,1,E429),IF(F429=0,1,F429),IF(G429=0,1,G429))),2)</f>
        <v>-25.8</v>
      </c>
      <c r="I429" s="5"/>
    </row>
    <row r="430" spans="1:10" x14ac:dyDescent="0.2">
      <c r="A430" s="3"/>
      <c r="B430" s="6"/>
      <c r="C430" s="7"/>
      <c r="D430" s="7"/>
      <c r="E430" s="7"/>
      <c r="F430" s="7"/>
      <c r="G430" s="7"/>
      <c r="H430" s="8">
        <f>ROUND(IF(PRODUCT(IF(C430=0,1,C430),IF(E430=0,1,E430),IF(F430=0,1,F430),IF(G430=0,1,G430))=1,0,PRODUCT(IF(C430=0,1,C430),IF(E430=0,1,E430),IF(F430=0,1,F430),IF(G430=0,1,G430))),2)</f>
        <v>0</v>
      </c>
      <c r="I430" s="5"/>
    </row>
    <row r="431" spans="1:10" x14ac:dyDescent="0.2">
      <c r="A431" s="3"/>
      <c r="C431" s="10"/>
      <c r="D431" s="10"/>
      <c r="E431" s="9"/>
      <c r="F431" s="94" t="s">
        <v>11</v>
      </c>
      <c r="G431" s="95" t="s">
        <v>264</v>
      </c>
      <c r="H431" s="11">
        <f>SUM(H427:H429)</f>
        <v>14.599999999999998</v>
      </c>
      <c r="I431" s="12" t="s">
        <v>24</v>
      </c>
    </row>
    <row r="432" spans="1:10" x14ac:dyDescent="0.2">
      <c r="A432" s="96" t="str">
        <f>'Orçamento Sintético'!A97</f>
        <v xml:space="preserve"> 8.2 </v>
      </c>
      <c r="B432" s="97" t="str">
        <f>'Orçamento Sintético'!D97</f>
        <v>ESTRUTURA METÁLICA</v>
      </c>
      <c r="C432" s="273"/>
      <c r="D432" s="274"/>
      <c r="E432" s="274"/>
      <c r="F432" s="274"/>
      <c r="G432" s="274"/>
      <c r="H432" s="274"/>
      <c r="I432" s="275"/>
    </row>
    <row r="433" spans="1:9" ht="33.6" customHeight="1" x14ac:dyDescent="0.2">
      <c r="A433" s="3" t="str">
        <f>'Orçamento Sintético'!A98</f>
        <v xml:space="preserve"> 8.2.1 </v>
      </c>
      <c r="B433" s="270" t="str">
        <f>'Orçamento Sintético'!D98</f>
        <v>ESTRUTURA TRELIÇADA DE COBERTURA, TIPO FINK, COM LIGAÇÕES SOLDADAS, INCLUSOS PERFIS METÁLICOS, CHAPAS METÁLICAS, MÃO DE OBRA E TRANSPORTE COM GUINDASTE - FORNECIMENTO E INSTALAÇÃO. (COMPOSIÇÃO da SINAPI 100775 ADAPTADA)</v>
      </c>
      <c r="C433" s="271"/>
      <c r="D433" s="271"/>
      <c r="E433" s="272"/>
      <c r="I433" s="5"/>
    </row>
    <row r="434" spans="1:9" x14ac:dyDescent="0.2">
      <c r="A434" s="3"/>
      <c r="B434" s="91" t="s">
        <v>260</v>
      </c>
      <c r="C434" s="91" t="s">
        <v>8</v>
      </c>
      <c r="D434" s="91" t="s">
        <v>325</v>
      </c>
      <c r="E434" s="91" t="s">
        <v>261</v>
      </c>
      <c r="F434" s="91" t="s">
        <v>262</v>
      </c>
      <c r="G434" s="91" t="s">
        <v>263</v>
      </c>
      <c r="H434" s="91" t="s">
        <v>11</v>
      </c>
      <c r="I434" s="5"/>
    </row>
    <row r="435" spans="1:9" x14ac:dyDescent="0.2">
      <c r="A435" s="3"/>
      <c r="B435" s="6"/>
      <c r="C435" s="7"/>
      <c r="D435" s="161">
        <v>24805.91</v>
      </c>
      <c r="E435" s="7"/>
      <c r="F435" s="7"/>
      <c r="G435" s="7"/>
      <c r="H435" s="8">
        <f>ROUND(IF(PRODUCT(IF(C435=0,1,C435),IF(D435=0,1,D435),IF(E435=0,1,E435),IF(F435=0,1,F435),IF(G435=0,1,G435))=1,0,PRODUCT(IF(C435=0,1,C435),IF(D435=0,1,D435),IF(E435=0,1,E435),IF(F435=0,1,F435),IF(G435=0,1,G435))),2)</f>
        <v>24805.91</v>
      </c>
      <c r="I435" s="5"/>
    </row>
    <row r="436" spans="1:9" x14ac:dyDescent="0.2">
      <c r="A436" s="3"/>
      <c r="B436" s="6"/>
      <c r="C436" s="7"/>
      <c r="D436" s="7"/>
      <c r="E436" s="7"/>
      <c r="F436" s="7"/>
      <c r="G436" s="7"/>
      <c r="H436" s="8">
        <f>ROUND(IF(PRODUCT(IF(C436=0,1,C436),IF(E436=0,1,E436),IF(F436=0,1,F436),IF(G436=0,1,G436))=1,0,PRODUCT(IF(C436=0,1,C436),IF(E436=0,1,E436),IF(F436=0,1,F436),IF(G436=0,1,G436))),2)</f>
        <v>0</v>
      </c>
      <c r="I436" s="5"/>
    </row>
    <row r="437" spans="1:9" x14ac:dyDescent="0.2">
      <c r="A437" s="3"/>
      <c r="C437" s="10"/>
      <c r="D437" s="10"/>
      <c r="E437" s="9"/>
      <c r="F437" s="94" t="s">
        <v>11</v>
      </c>
      <c r="G437" s="95" t="s">
        <v>264</v>
      </c>
      <c r="H437" s="11">
        <f>SUM(H435:H435)</f>
        <v>24805.91</v>
      </c>
      <c r="I437" s="12" t="s">
        <v>299</v>
      </c>
    </row>
    <row r="438" spans="1:9" x14ac:dyDescent="0.2">
      <c r="A438" s="96" t="str">
        <f>'Orçamento Sintético'!A99</f>
        <v xml:space="preserve"> 8.3 </v>
      </c>
      <c r="B438" s="97" t="str">
        <f>'Orçamento Sintético'!D99</f>
        <v>GRAUTE PARA PROTEÇÃO DE PILAR METÁLICO</v>
      </c>
      <c r="C438" s="273"/>
      <c r="D438" s="274"/>
      <c r="E438" s="274"/>
      <c r="F438" s="274"/>
      <c r="G438" s="274"/>
      <c r="H438" s="274"/>
      <c r="I438" s="275"/>
    </row>
    <row r="439" spans="1:9" ht="24.75" customHeight="1" x14ac:dyDescent="0.2">
      <c r="A439" s="3" t="str">
        <f>'Orçamento Sintético'!A100</f>
        <v xml:space="preserve"> 8.3.1 </v>
      </c>
      <c r="B439" s="270" t="str">
        <f>'Orçamento Sintético'!D100</f>
        <v>MONTAGEM E DESMONTAGEM DE FÔRMA DE PILARES RETANGULARES E ESTRUTURAS SIMILARES, PÉ-DIREITO SIMPLES, EM CHAPA DE MADEIRA COMPENSADA RESINADA, 8 UTILIZAÇÕES. AF_09/2020</v>
      </c>
      <c r="C439" s="271"/>
      <c r="D439" s="271"/>
      <c r="E439" s="272"/>
      <c r="I439" s="5"/>
    </row>
    <row r="440" spans="1:9" x14ac:dyDescent="0.2">
      <c r="A440" s="3"/>
      <c r="B440" s="91" t="s">
        <v>260</v>
      </c>
      <c r="C440" s="91" t="s">
        <v>8</v>
      </c>
      <c r="D440" s="91" t="s">
        <v>266</v>
      </c>
      <c r="E440" s="91" t="s">
        <v>261</v>
      </c>
      <c r="F440" s="91" t="s">
        <v>262</v>
      </c>
      <c r="G440" s="91" t="s">
        <v>263</v>
      </c>
      <c r="H440" s="91" t="s">
        <v>11</v>
      </c>
      <c r="I440" s="5"/>
    </row>
    <row r="441" spans="1:9" x14ac:dyDescent="0.2">
      <c r="A441" s="3"/>
      <c r="B441" s="6"/>
      <c r="C441" s="7">
        <f>16*2</f>
        <v>32</v>
      </c>
      <c r="D441" s="7"/>
      <c r="E441" s="7">
        <v>0.5</v>
      </c>
      <c r="F441" s="7">
        <v>0.5</v>
      </c>
      <c r="G441" s="7"/>
      <c r="H441" s="8">
        <f>ROUND(IF(PRODUCT(IF(C441=0,1,C441),IF(D441=0,1,D441),IF(E441=0,1,E441),IF(F441=0,1,F441),IF(G441=0,1,G441))=1,0,PRODUCT(IF(C441=0,1,C441),IF(D441=0,1,D441),IF(E441=0,1,E441),IF(F441=0,1,F441),IF(G441=0,1,G441))),2)</f>
        <v>8</v>
      </c>
      <c r="I441" s="5"/>
    </row>
    <row r="442" spans="1:9" x14ac:dyDescent="0.2">
      <c r="A442" s="3"/>
      <c r="B442" s="6"/>
      <c r="C442" s="7">
        <f>16*2</f>
        <v>32</v>
      </c>
      <c r="D442" s="7"/>
      <c r="E442" s="7">
        <v>0.3</v>
      </c>
      <c r="F442" s="7">
        <v>0.5</v>
      </c>
      <c r="G442" s="7"/>
      <c r="H442" s="8">
        <f>ROUND(IF(PRODUCT(IF(C442=0,1,C442),IF(D442=0,1,D442),IF(E442=0,1,E442),IF(F442=0,1,F442),IF(G442=0,1,G442))=1,0,PRODUCT(IF(C442=0,1,C442),IF(D442=0,1,D442),IF(E442=0,1,E442),IF(F442=0,1,F442),IF(G442=0,1,G442))),2)</f>
        <v>4.8</v>
      </c>
      <c r="I442" s="5"/>
    </row>
    <row r="443" spans="1:9" x14ac:dyDescent="0.2">
      <c r="A443" s="3"/>
      <c r="B443" s="6"/>
      <c r="C443" s="7"/>
      <c r="D443" s="7"/>
      <c r="E443" s="7"/>
      <c r="F443" s="7"/>
      <c r="G443" s="7"/>
      <c r="H443" s="8">
        <f>ROUND(IF(PRODUCT(IF(C443=0,1,C443),IF(E443=0,1,E443),IF(F443=0,1,F443),IF(G443=0,1,G443))=1,0,PRODUCT(IF(C443=0,1,C443),IF(E443=0,1,E443),IF(F443=0,1,F443),IF(G443=0,1,G443))),2)</f>
        <v>0</v>
      </c>
      <c r="I443" s="5"/>
    </row>
    <row r="444" spans="1:9" x14ac:dyDescent="0.2">
      <c r="A444" s="3"/>
      <c r="C444" s="10"/>
      <c r="D444" s="10"/>
      <c r="E444" s="9"/>
      <c r="F444" s="94" t="s">
        <v>11</v>
      </c>
      <c r="G444" s="95" t="s">
        <v>264</v>
      </c>
      <c r="H444" s="11">
        <f>SUM(H441:H442)</f>
        <v>12.8</v>
      </c>
      <c r="I444" s="12" t="s">
        <v>17</v>
      </c>
    </row>
    <row r="445" spans="1:9" ht="22.5" customHeight="1" x14ac:dyDescent="0.2">
      <c r="A445" s="3" t="str">
        <f>'Orçamento Sintético'!A101</f>
        <v xml:space="preserve"> 8.3.2 </v>
      </c>
      <c r="B445" s="270" t="str">
        <f>'Orçamento Sintético'!D101</f>
        <v>GRAUTE FGK=15 MPA; TRAÇO 1:0,04:2,2:2,5 (EM MASSA SECA DE CIMENTO/CAL/AREIA GROSSA/BRITA 0) - PREPARO MECÂNICO COM BETONEIRA 400 L. AF_09/2021</v>
      </c>
      <c r="C445" s="271"/>
      <c r="D445" s="271"/>
      <c r="E445" s="272"/>
      <c r="I445" s="5"/>
    </row>
    <row r="446" spans="1:9" x14ac:dyDescent="0.2">
      <c r="A446" s="3"/>
      <c r="B446" s="91" t="s">
        <v>260</v>
      </c>
      <c r="C446" s="91" t="s">
        <v>8</v>
      </c>
      <c r="D446" s="91" t="s">
        <v>266</v>
      </c>
      <c r="E446" s="91" t="s">
        <v>261</v>
      </c>
      <c r="F446" s="91" t="s">
        <v>262</v>
      </c>
      <c r="G446" s="91" t="s">
        <v>263</v>
      </c>
      <c r="H446" s="91" t="s">
        <v>11</v>
      </c>
      <c r="I446" s="5"/>
    </row>
    <row r="447" spans="1:9" x14ac:dyDescent="0.2">
      <c r="A447" s="3"/>
      <c r="B447" s="6"/>
      <c r="C447" s="7">
        <v>16</v>
      </c>
      <c r="D447" s="7"/>
      <c r="E447" s="7">
        <v>0.5</v>
      </c>
      <c r="F447" s="7">
        <v>0.3</v>
      </c>
      <c r="G447" s="7">
        <v>0.5</v>
      </c>
      <c r="H447" s="8">
        <f>ROUND(IF(PRODUCT(IF(C447=0,1,C447),IF(D447=0,1,D447),IF(E447=0,1,E447),IF(F447=0,1,F447),IF(G447=0,1,G447))=1,0,PRODUCT(IF(C447=0,1,C447),IF(D447=0,1,D447),IF(E447=0,1,E447),IF(F447=0,1,F447),IF(G447=0,1,G447))),2)</f>
        <v>1.2</v>
      </c>
      <c r="I447" s="5"/>
    </row>
    <row r="448" spans="1:9" x14ac:dyDescent="0.2">
      <c r="A448" s="3"/>
      <c r="B448" s="6"/>
      <c r="C448" s="7"/>
      <c r="D448" s="7"/>
      <c r="E448" s="7"/>
      <c r="F448" s="7"/>
      <c r="G448" s="7"/>
      <c r="H448" s="8">
        <f>ROUND(IF(PRODUCT(IF(C448=0,1,C448),IF(E448=0,1,E448),IF(F448=0,1,F448),IF(G448=0,1,G448))=1,0,PRODUCT(IF(C448=0,1,C448),IF(E448=0,1,E448),IF(F448=0,1,F448),IF(G448=0,1,G448))),2)</f>
        <v>0</v>
      </c>
      <c r="I448" s="5"/>
    </row>
    <row r="449" spans="1:9" x14ac:dyDescent="0.2">
      <c r="A449" s="3"/>
      <c r="C449" s="10"/>
      <c r="D449" s="10"/>
      <c r="E449" s="9"/>
      <c r="F449" s="94" t="s">
        <v>11</v>
      </c>
      <c r="G449" s="95" t="s">
        <v>264</v>
      </c>
      <c r="H449" s="11">
        <f>SUM(H447:H447)</f>
        <v>1.2</v>
      </c>
      <c r="I449" s="12" t="s">
        <v>24</v>
      </c>
    </row>
    <row r="450" spans="1:9" x14ac:dyDescent="0.2">
      <c r="A450" s="96" t="str">
        <f>'Orçamento Sintético'!A102</f>
        <v xml:space="preserve"> 8.4 </v>
      </c>
      <c r="B450" s="97" t="str">
        <f>'Orçamento Sintético'!D102</f>
        <v>TELHAMENTO</v>
      </c>
      <c r="C450" s="273"/>
      <c r="D450" s="274"/>
      <c r="E450" s="274"/>
      <c r="F450" s="274"/>
      <c r="G450" s="274"/>
      <c r="H450" s="274"/>
      <c r="I450" s="275"/>
    </row>
    <row r="451" spans="1:9" ht="12" customHeight="1" x14ac:dyDescent="0.2">
      <c r="A451" s="3" t="str">
        <f>'Orçamento Sintético'!A103</f>
        <v xml:space="preserve"> 8.4.1 </v>
      </c>
      <c r="B451" s="270" t="str">
        <f>'Orçamento Sintético'!D103</f>
        <v>TELHAMENTO COM TELHA EM ALUMÍNIO, SIMPLES, TRAPEZOIDAL, NÃO PINTADA E = 0,5 MM - REV. 01</v>
      </c>
      <c r="C451" s="271"/>
      <c r="D451" s="271"/>
      <c r="E451" s="272"/>
      <c r="I451" s="5"/>
    </row>
    <row r="452" spans="1:9" x14ac:dyDescent="0.2">
      <c r="A452" s="3"/>
      <c r="B452" s="91" t="s">
        <v>260</v>
      </c>
      <c r="C452" s="91" t="s">
        <v>8</v>
      </c>
      <c r="D452" s="91" t="s">
        <v>266</v>
      </c>
      <c r="E452" s="91" t="s">
        <v>261</v>
      </c>
      <c r="F452" s="91" t="s">
        <v>262</v>
      </c>
      <c r="G452" s="91" t="s">
        <v>263</v>
      </c>
      <c r="H452" s="91" t="s">
        <v>11</v>
      </c>
      <c r="I452" s="5"/>
    </row>
    <row r="453" spans="1:9" x14ac:dyDescent="0.2">
      <c r="A453" s="3"/>
      <c r="B453" s="6" t="s">
        <v>327</v>
      </c>
      <c r="C453" s="7"/>
      <c r="D453" s="7">
        <v>833.71</v>
      </c>
      <c r="E453" s="7"/>
      <c r="F453" s="7"/>
      <c r="G453" s="7"/>
      <c r="H453" s="8">
        <f>ROUND(IF(PRODUCT(IF(C453=0,1,C453),IF(D453=0,1,D453),IF(E453=0,1,E453),IF(F453=0,1,F453),IF(G453=0,1,G453))=1,0,PRODUCT(IF(C453=0,1,C453),IF(D453=0,1,D453),IF(E453=0,1,E453),IF(F453=0,1,F453),IF(G453=0,1,G453))),2)</f>
        <v>833.71</v>
      </c>
      <c r="I453" s="5"/>
    </row>
    <row r="454" spans="1:9" x14ac:dyDescent="0.2">
      <c r="A454" s="3"/>
      <c r="B454" s="6" t="s">
        <v>674</v>
      </c>
      <c r="C454" s="7"/>
      <c r="D454" s="7">
        <v>647.9</v>
      </c>
      <c r="E454" s="7"/>
      <c r="F454" s="7"/>
      <c r="G454" s="7"/>
      <c r="H454" s="8">
        <f>ROUND(IF(PRODUCT(IF(C454=0,1,C454),IF(D454=0,1,D454),IF(E454=0,1,E454),IF(F454=0,1,F454),IF(G454=0,1,G454))=1,0,PRODUCT(IF(C454=0,1,C454),IF(D454=0,1,D454),IF(E454=0,1,E454),IF(F454=0,1,F454),IF(G454=0,1,G454))),2)</f>
        <v>647.9</v>
      </c>
      <c r="I454" s="5"/>
    </row>
    <row r="455" spans="1:9" x14ac:dyDescent="0.2">
      <c r="A455" s="3"/>
      <c r="B455" s="6"/>
      <c r="C455" s="7"/>
      <c r="D455" s="7"/>
      <c r="E455" s="7"/>
      <c r="F455" s="7"/>
      <c r="G455" s="7"/>
      <c r="H455" s="8">
        <f>ROUND(IF(PRODUCT(IF(C455=0,1,C455),IF(E455=0,1,E455),IF(F455=0,1,F455),IF(G455=0,1,G455))=1,0,PRODUCT(IF(C455=0,1,C455),IF(E455=0,1,E455),IF(F455=0,1,F455),IF(G455=0,1,G455))),2)</f>
        <v>0</v>
      </c>
      <c r="I455" s="5"/>
    </row>
    <row r="456" spans="1:9" x14ac:dyDescent="0.2">
      <c r="A456" s="3"/>
      <c r="C456" s="10"/>
      <c r="D456" s="10"/>
      <c r="E456" s="9"/>
      <c r="F456" s="94" t="s">
        <v>11</v>
      </c>
      <c r="G456" s="95" t="s">
        <v>264</v>
      </c>
      <c r="H456" s="11">
        <f>SUM(H453:H454)</f>
        <v>1481.6100000000001</v>
      </c>
      <c r="I456" s="12" t="s">
        <v>17</v>
      </c>
    </row>
    <row r="457" spans="1:9" ht="24.75" customHeight="1" x14ac:dyDescent="0.2">
      <c r="A457" s="3" t="str">
        <f>'Orçamento Sintético'!A104</f>
        <v xml:space="preserve"> 8.4.2 </v>
      </c>
      <c r="B457" s="270" t="str">
        <f>'Orçamento Sintético'!D104</f>
        <v>PINTURA COM TINTA ALQUÍDICA DE ACABAMENTO (ESMALTE SINTÉTICO BRILHANTE) PULVERIZADA SOBRE PERFIL METÁLICO EXECUTADO EM FÁBRICA  (POR DEMÃO). AF_01/2020_PE</v>
      </c>
      <c r="C457" s="271"/>
      <c r="D457" s="271"/>
      <c r="E457" s="272"/>
      <c r="I457" s="5"/>
    </row>
    <row r="458" spans="1:9" x14ac:dyDescent="0.2">
      <c r="A458" s="3"/>
      <c r="B458" s="91" t="s">
        <v>260</v>
      </c>
      <c r="C458" s="91" t="s">
        <v>8</v>
      </c>
      <c r="D458" s="91" t="s">
        <v>266</v>
      </c>
      <c r="E458" s="91" t="s">
        <v>261</v>
      </c>
      <c r="F458" s="91" t="s">
        <v>262</v>
      </c>
      <c r="G458" s="91" t="s">
        <v>263</v>
      </c>
      <c r="H458" s="91" t="s">
        <v>11</v>
      </c>
      <c r="I458" s="5"/>
    </row>
    <row r="459" spans="1:9" x14ac:dyDescent="0.2">
      <c r="A459" s="3"/>
      <c r="B459" s="6" t="s">
        <v>674</v>
      </c>
      <c r="C459" s="7"/>
      <c r="D459" s="7">
        <v>647.9</v>
      </c>
      <c r="E459" s="7"/>
      <c r="F459" s="7"/>
      <c r="G459" s="7"/>
      <c r="H459" s="8">
        <f>ROUND(IF(PRODUCT(IF(C459=0,1,C459),IF(D459=0,1,D459),IF(E459=0,1,E459),IF(F459=0,1,F459),IF(G459=0,1,G459))=1,0,PRODUCT(IF(C459=0,1,C459),IF(D459=0,1,D459),IF(E459=0,1,E459),IF(F459=0,1,F459),IF(G459=0,1,G459))),2)</f>
        <v>647.9</v>
      </c>
      <c r="I459" s="5"/>
    </row>
    <row r="460" spans="1:9" x14ac:dyDescent="0.2">
      <c r="A460" s="3"/>
      <c r="B460" s="6"/>
      <c r="C460" s="7"/>
      <c r="D460" s="7"/>
      <c r="E460" s="7"/>
      <c r="F460" s="7"/>
      <c r="G460" s="7"/>
      <c r="H460" s="8">
        <f>ROUND(IF(PRODUCT(IF(C460=0,1,C460),IF(E460=0,1,E460),IF(F460=0,1,F460),IF(G460=0,1,G460))=1,0,PRODUCT(IF(C460=0,1,C460),IF(E460=0,1,E460),IF(F460=0,1,F460),IF(G460=0,1,G460))),2)</f>
        <v>0</v>
      </c>
      <c r="I460" s="5"/>
    </row>
    <row r="461" spans="1:9" x14ac:dyDescent="0.2">
      <c r="A461" s="3"/>
      <c r="C461" s="10"/>
      <c r="D461" s="10"/>
      <c r="E461" s="9"/>
      <c r="F461" s="94" t="s">
        <v>11</v>
      </c>
      <c r="G461" s="95" t="s">
        <v>264</v>
      </c>
      <c r="H461" s="11">
        <f>SUM(H459:H459)</f>
        <v>647.9</v>
      </c>
      <c r="I461" s="12" t="s">
        <v>17</v>
      </c>
    </row>
    <row r="462" spans="1:9" x14ac:dyDescent="0.2">
      <c r="A462" s="96" t="str">
        <f>'Orçamento Sintético'!A105</f>
        <v>8.5</v>
      </c>
      <c r="B462" s="97" t="str">
        <f>'Orçamento Sintético'!D105</f>
        <v>ALAMBRADO</v>
      </c>
      <c r="C462" s="273"/>
      <c r="D462" s="274"/>
      <c r="E462" s="274"/>
      <c r="F462" s="274"/>
      <c r="G462" s="274"/>
      <c r="H462" s="274"/>
      <c r="I462" s="275"/>
    </row>
    <row r="463" spans="1:9" ht="55.15" customHeight="1" x14ac:dyDescent="0.2">
      <c r="A463" s="3" t="str">
        <f>'Orçamento Sintético'!A106</f>
        <v>8.5.1</v>
      </c>
      <c r="B463" s="270" t="str">
        <f>'Orçamento Sintético'!D106</f>
        <v>ALAMBRADO (HT=5,10M) COM TELA GALVANIZADA MALHA 2" X 2" (H=1,50M), TELA EM NYLON 10 X 10 CM (H=3,00M), MONTANTES EM TUBOS GALVANIZADOS VERTICAIS DE 2" ACADA 2M, TUBOS GALVANIZADOS HORIZONTAIS DE 1", MURETA (H=0,50M) EM ALVENARIADE BLOCOS DE CONCRETO *9X19X39CM* C/ JUNTA SERRADA/APARENTE (C/ BASE EMALVENARIA DE PEDRA ARGAMASSADA E LASTRO EM CONCRETO CICLÓPICO), C/PINTURA SOBRE ALVENARIA APARENTE (SELADOR ACRÍLICO + TINTA TEXTURIZADAACRÍLICA) [CONFORME COMPOSIÇÃO 04299/ORSE - ADAPTADA]</v>
      </c>
      <c r="C463" s="271"/>
      <c r="D463" s="271"/>
      <c r="E463" s="272"/>
      <c r="I463" s="5"/>
    </row>
    <row r="464" spans="1:9" x14ac:dyDescent="0.2">
      <c r="A464" s="3"/>
      <c r="B464" s="91" t="s">
        <v>260</v>
      </c>
      <c r="C464" s="91" t="s">
        <v>8</v>
      </c>
      <c r="D464" s="91" t="s">
        <v>266</v>
      </c>
      <c r="E464" s="91" t="s">
        <v>261</v>
      </c>
      <c r="F464" s="91" t="s">
        <v>262</v>
      </c>
      <c r="G464" s="91" t="s">
        <v>263</v>
      </c>
      <c r="H464" s="91" t="s">
        <v>11</v>
      </c>
      <c r="I464" s="5"/>
    </row>
    <row r="465" spans="1:9" x14ac:dyDescent="0.2">
      <c r="A465" s="3"/>
      <c r="B465" s="6" t="s">
        <v>524</v>
      </c>
      <c r="C465" s="7"/>
      <c r="D465" s="7"/>
      <c r="E465" s="7">
        <v>89.85</v>
      </c>
      <c r="F465" s="7"/>
      <c r="G465" s="7"/>
      <c r="H465" s="8">
        <f>ROUND(IF(PRODUCT(IF(C465=0,1,C465),IF(D465=0,1,D465),IF(E465=0,1,E465),IF(F465=0,1,F465),IF(G465=0,1,G465))=1,0,PRODUCT(IF(C465=0,1,C465),IF(D465=0,1,D465),IF(E465=0,1,E465),IF(F465=0,1,F465),IF(G465=0,1,G465))),2)</f>
        <v>89.85</v>
      </c>
      <c r="I465" s="5"/>
    </row>
    <row r="466" spans="1:9" x14ac:dyDescent="0.2">
      <c r="A466" s="3"/>
      <c r="B466" s="6"/>
      <c r="C466" s="7"/>
      <c r="D466" s="7"/>
      <c r="E466" s="7"/>
      <c r="F466" s="7"/>
      <c r="G466" s="7"/>
      <c r="H466" s="8">
        <f>ROUND(IF(PRODUCT(IF(C466=0,1,C466),IF(E466=0,1,E466),IF(F466=0,1,F466),IF(G466=0,1,G466))=1,0,PRODUCT(IF(C466=0,1,C466),IF(E466=0,1,E466),IF(F466=0,1,F466),IF(G466=0,1,G466))),2)</f>
        <v>0</v>
      </c>
      <c r="I466" s="5"/>
    </row>
    <row r="467" spans="1:9" x14ac:dyDescent="0.2">
      <c r="A467" s="3"/>
      <c r="C467" s="10"/>
      <c r="D467" s="10"/>
      <c r="E467" s="9"/>
      <c r="F467" s="94" t="s">
        <v>11</v>
      </c>
      <c r="G467" s="95" t="s">
        <v>264</v>
      </c>
      <c r="H467" s="11">
        <f>SUM(H465:H465)</f>
        <v>89.85</v>
      </c>
      <c r="I467" s="12" t="s">
        <v>186</v>
      </c>
    </row>
    <row r="468" spans="1:9" x14ac:dyDescent="0.2">
      <c r="A468" s="89" t="str">
        <f>'Orçamento Sintético'!A107</f>
        <v>9.0</v>
      </c>
      <c r="B468" s="90" t="str">
        <f>'Orçamento Sintético'!D107</f>
        <v>ESQUADRIAS - BANHEIROS</v>
      </c>
      <c r="C468" s="282"/>
      <c r="D468" s="282"/>
      <c r="E468" s="282"/>
      <c r="F468" s="282"/>
      <c r="G468" s="282"/>
      <c r="H468" s="282"/>
      <c r="I468" s="282"/>
    </row>
    <row r="469" spans="1:9" x14ac:dyDescent="0.2">
      <c r="A469" s="96" t="str">
        <f>'Orçamento Sintético'!A108</f>
        <v xml:space="preserve"> 9.1 </v>
      </c>
      <c r="B469" s="97" t="str">
        <f>'Orçamento Sintético'!D108</f>
        <v>PORTAS</v>
      </c>
      <c r="C469" s="273"/>
      <c r="D469" s="274"/>
      <c r="E469" s="274"/>
      <c r="F469" s="274"/>
      <c r="G469" s="274"/>
      <c r="H469" s="274"/>
      <c r="I469" s="275"/>
    </row>
    <row r="470" spans="1:9" ht="23.45" customHeight="1" x14ac:dyDescent="0.2">
      <c r="A470" s="3" t="str">
        <f>'Orçamento Sintético'!A109</f>
        <v xml:space="preserve"> 9.1.1 </v>
      </c>
      <c r="B470" s="270" t="str">
        <f>'Orçamento Sintético'!D109</f>
        <v>PORTA EM ALUMÍNIO DE ABRIR TIPO VENEZIANA COM GUARNIÇÃO, FIXAÇÃO COM PARAFUSOS - FORNECIMENTO E INSTALAÇÃO. AF_12/2019</v>
      </c>
      <c r="C470" s="271"/>
      <c r="D470" s="271"/>
      <c r="E470" s="272"/>
      <c r="I470" s="5"/>
    </row>
    <row r="471" spans="1:9" x14ac:dyDescent="0.2">
      <c r="A471" s="3"/>
      <c r="B471" s="91" t="s">
        <v>260</v>
      </c>
      <c r="C471" s="91" t="s">
        <v>8</v>
      </c>
      <c r="D471" s="91" t="s">
        <v>266</v>
      </c>
      <c r="E471" s="91" t="s">
        <v>261</v>
      </c>
      <c r="F471" s="91" t="s">
        <v>262</v>
      </c>
      <c r="G471" s="91" t="s">
        <v>263</v>
      </c>
      <c r="H471" s="91" t="s">
        <v>11</v>
      </c>
      <c r="I471" s="5"/>
    </row>
    <row r="472" spans="1:9" x14ac:dyDescent="0.2">
      <c r="A472" s="3"/>
      <c r="B472" s="6" t="s">
        <v>580</v>
      </c>
      <c r="C472" s="7">
        <v>6</v>
      </c>
      <c r="D472" s="7"/>
      <c r="E472" s="7"/>
      <c r="F472" s="7">
        <v>0.8</v>
      </c>
      <c r="G472" s="7">
        <v>1.7</v>
      </c>
      <c r="H472" s="8">
        <f>ROUND(IF(PRODUCT(IF(C472=0,1,C472),IF(D472=0,1,D472),IF(E472=0,1,E472),IF(F472=0,1,F472),IF(G472=0,1,G472))=1,0,PRODUCT(IF(C472=0,1,C472),IF(D472=0,1,D472),IF(E472=0,1,E472),IF(F472=0,1,F472),IF(G472=0,1,G472))),2)</f>
        <v>8.16</v>
      </c>
      <c r="I472" s="5"/>
    </row>
    <row r="473" spans="1:9" x14ac:dyDescent="0.2">
      <c r="A473" s="3"/>
      <c r="B473" s="6" t="s">
        <v>581</v>
      </c>
      <c r="C473" s="7">
        <v>2</v>
      </c>
      <c r="D473" s="7"/>
      <c r="E473" s="7"/>
      <c r="F473" s="7">
        <v>0.9</v>
      </c>
      <c r="G473" s="7">
        <v>1.7</v>
      </c>
      <c r="H473" s="8">
        <f>ROUND(IF(PRODUCT(IF(C473=0,1,C473),IF(D473=0,1,D473),IF(E473=0,1,E473),IF(F473=0,1,F473),IF(G473=0,1,G473))=1,0,PRODUCT(IF(C473=0,1,C473),IF(D473=0,1,D473),IF(E473=0,1,E473),IF(F473=0,1,F473),IF(G473=0,1,G473))),2)</f>
        <v>3.06</v>
      </c>
      <c r="I473" s="5"/>
    </row>
    <row r="474" spans="1:9" x14ac:dyDescent="0.2">
      <c r="A474" s="3"/>
      <c r="B474" s="6"/>
      <c r="C474" s="7"/>
      <c r="D474" s="7"/>
      <c r="E474" s="7"/>
      <c r="F474" s="7"/>
      <c r="G474" s="7"/>
      <c r="H474" s="8">
        <f>ROUND(IF(PRODUCT(IF(C474=0,1,C474),IF(E474=0,1,E474),IF(F474=0,1,F474),IF(G474=0,1,G474))=1,0,PRODUCT(IF(C474=0,1,C474),IF(E474=0,1,E474),IF(F474=0,1,F474),IF(G474=0,1,G474))),2)</f>
        <v>0</v>
      </c>
      <c r="I474" s="5"/>
    </row>
    <row r="475" spans="1:9" x14ac:dyDescent="0.2">
      <c r="A475" s="3"/>
      <c r="C475" s="10"/>
      <c r="D475" s="10"/>
      <c r="E475" s="9"/>
      <c r="F475" s="94" t="s">
        <v>11</v>
      </c>
      <c r="G475" s="95" t="s">
        <v>264</v>
      </c>
      <c r="H475" s="11">
        <f>SUM(H472:H473)</f>
        <v>11.22</v>
      </c>
      <c r="I475" s="12" t="s">
        <v>17</v>
      </c>
    </row>
    <row r="476" spans="1:9" ht="23.45" customHeight="1" x14ac:dyDescent="0.2">
      <c r="A476" s="3" t="str">
        <f>'Orçamento Sintético'!A110</f>
        <v xml:space="preserve"> 9.1.2</v>
      </c>
      <c r="B476" s="270" t="str">
        <f>'Orçamento Sintético'!D110</f>
        <v>KIT DE PORTA-PRONTA DE MADEIRA EM ACABAMENTO MELAMÍNICO BRANCO, FOLHA LEVE OU MÉDIA, 80X210CM, EXCLUSIVE FECHADURA, FIXAÇÃO COM PREENCHIMENTO PARCIAL DE ESPUMA EXPANSIVA - FORNECIMENTO E INSTALAÇÃO. AF_12/2019</v>
      </c>
      <c r="C476" s="271"/>
      <c r="D476" s="271"/>
      <c r="E476" s="272"/>
      <c r="I476" s="5"/>
    </row>
    <row r="477" spans="1:9" x14ac:dyDescent="0.2">
      <c r="A477" s="3"/>
      <c r="B477" s="91" t="s">
        <v>260</v>
      </c>
      <c r="C477" s="91" t="s">
        <v>8</v>
      </c>
      <c r="D477" s="91" t="s">
        <v>266</v>
      </c>
      <c r="E477" s="91" t="s">
        <v>261</v>
      </c>
      <c r="F477" s="91" t="s">
        <v>262</v>
      </c>
      <c r="G477" s="91" t="s">
        <v>263</v>
      </c>
      <c r="H477" s="91" t="s">
        <v>11</v>
      </c>
      <c r="I477" s="5"/>
    </row>
    <row r="478" spans="1:9" x14ac:dyDescent="0.2">
      <c r="A478" s="3"/>
      <c r="B478" s="6" t="s">
        <v>582</v>
      </c>
      <c r="C478" s="7">
        <v>3</v>
      </c>
      <c r="D478" s="7"/>
      <c r="E478" s="7"/>
      <c r="F478" s="7"/>
      <c r="G478" s="7"/>
      <c r="H478" s="8">
        <f>ROUND(IF(PRODUCT(IF(C478=0,1,C478),IF(D478=0,1,D478),IF(E478=0,1,E478),IF(F478=0,1,F478),IF(G478=0,1,G478))=1,0,PRODUCT(IF(C478=0,1,C478),IF(D478=0,1,D478),IF(E478=0,1,E478),IF(F478=0,1,F478),IF(G478=0,1,G478))),2)</f>
        <v>3</v>
      </c>
      <c r="I478" s="5"/>
    </row>
    <row r="479" spans="1:9" x14ac:dyDescent="0.2">
      <c r="A479" s="3"/>
      <c r="B479" s="6"/>
      <c r="C479" s="7"/>
      <c r="D479" s="7"/>
      <c r="E479" s="7"/>
      <c r="F479" s="7"/>
      <c r="G479" s="7"/>
      <c r="H479" s="8">
        <f>ROUND(IF(PRODUCT(IF(C479=0,1,C479),IF(E479=0,1,E479),IF(F479=0,1,F479),IF(G479=0,1,G479))=1,0,PRODUCT(IF(C479=0,1,C479),IF(E479=0,1,E479),IF(F479=0,1,F479),IF(G479=0,1,G479))),2)</f>
        <v>0</v>
      </c>
      <c r="I479" s="5"/>
    </row>
    <row r="480" spans="1:9" x14ac:dyDescent="0.2">
      <c r="A480" s="3"/>
      <c r="C480" s="10"/>
      <c r="D480" s="10"/>
      <c r="E480" s="9"/>
      <c r="F480" s="94" t="s">
        <v>11</v>
      </c>
      <c r="G480" s="95" t="s">
        <v>264</v>
      </c>
      <c r="H480" s="11">
        <f>SUM(H478:H478)</f>
        <v>3</v>
      </c>
      <c r="I480" s="12" t="s">
        <v>277</v>
      </c>
    </row>
    <row r="481" spans="1:9" ht="24" customHeight="1" x14ac:dyDescent="0.2">
      <c r="A481" s="3" t="str">
        <f>'Orçamento Sintético'!A111</f>
        <v xml:space="preserve"> 9.1.3</v>
      </c>
      <c r="B481" s="270" t="str">
        <f>'Orçamento Sintético'!D111</f>
        <v>PORTÃO DE ABRIR, 2 FOLHAS, COM QUADRO EM TUBO GALVANIZADO 2", COM BARRA QUADRADA DE 3/4" NA VERTICAL E ESTICADOR REDONDO DE 3/4", INCLUSIVE FECHADURA E DOBRADIÇAS</v>
      </c>
      <c r="C481" s="271"/>
      <c r="D481" s="271"/>
      <c r="E481" s="272"/>
      <c r="I481" s="5"/>
    </row>
    <row r="482" spans="1:9" x14ac:dyDescent="0.2">
      <c r="A482" s="3"/>
      <c r="B482" s="91" t="s">
        <v>260</v>
      </c>
      <c r="C482" s="91" t="s">
        <v>8</v>
      </c>
      <c r="D482" s="91" t="s">
        <v>266</v>
      </c>
      <c r="E482" s="91" t="s">
        <v>261</v>
      </c>
      <c r="F482" s="91" t="s">
        <v>262</v>
      </c>
      <c r="G482" s="91" t="s">
        <v>263</v>
      </c>
      <c r="H482" s="91" t="s">
        <v>11</v>
      </c>
      <c r="I482" s="5"/>
    </row>
    <row r="483" spans="1:9" x14ac:dyDescent="0.2">
      <c r="A483" s="3"/>
      <c r="B483" s="6" t="s">
        <v>579</v>
      </c>
      <c r="C483" s="7">
        <v>1</v>
      </c>
      <c r="D483" s="7"/>
      <c r="E483" s="7"/>
      <c r="F483" s="7">
        <v>2</v>
      </c>
      <c r="G483" s="7">
        <v>2</v>
      </c>
      <c r="H483" s="8">
        <f>ROUND(IF(PRODUCT(IF(C483=0,1,C483),IF(D483=0,1,D483),IF(E483=0,1,E483),IF(F483=0,1,F483),IF(G483=0,1,G483))=1,0,PRODUCT(IF(C483=0,1,C483),IF(D483=0,1,D483),IF(E483=0,1,E483),IF(F483=0,1,F483),IF(G483=0,1,G483))),2)</f>
        <v>4</v>
      </c>
      <c r="I483" s="5"/>
    </row>
    <row r="484" spans="1:9" x14ac:dyDescent="0.2">
      <c r="A484" s="3"/>
      <c r="B484" s="6"/>
      <c r="C484" s="7"/>
      <c r="D484" s="7"/>
      <c r="E484" s="7"/>
      <c r="F484" s="7"/>
      <c r="G484" s="7"/>
      <c r="H484" s="8">
        <f>ROUND(IF(PRODUCT(IF(C484=0,1,C484),IF(E484=0,1,E484),IF(F484=0,1,F484),IF(G484=0,1,G484))=1,0,PRODUCT(IF(C484=0,1,C484),IF(E484=0,1,E484),IF(F484=0,1,F484),IF(G484=0,1,G484))),2)</f>
        <v>0</v>
      </c>
      <c r="I484" s="5"/>
    </row>
    <row r="485" spans="1:9" x14ac:dyDescent="0.2">
      <c r="A485" s="3"/>
      <c r="C485" s="10"/>
      <c r="D485" s="10"/>
      <c r="E485" s="9"/>
      <c r="F485" s="94" t="s">
        <v>11</v>
      </c>
      <c r="G485" s="95" t="s">
        <v>264</v>
      </c>
      <c r="H485" s="11">
        <f>SUM(H483:H483)</f>
        <v>4</v>
      </c>
      <c r="I485" s="12" t="s">
        <v>17</v>
      </c>
    </row>
    <row r="486" spans="1:9" ht="22.5" customHeight="1" x14ac:dyDescent="0.2">
      <c r="A486" s="3" t="str">
        <f>'Orçamento Sintético'!A112</f>
        <v xml:space="preserve"> 9.1.4</v>
      </c>
      <c r="B486" s="270" t="str">
        <f>'Orçamento Sintético'!D112</f>
        <v>FECHADURA DE EMBUTIR PARA PORTAS INTERNAS, COMPLETA, ACABAMENTO PADRÃO POPULAR, COM EXECUÇÃO DE FURO - FORNECIMENTO E INSTALAÇÃO. AF_12/2019</v>
      </c>
      <c r="C486" s="271"/>
      <c r="D486" s="271"/>
      <c r="E486" s="272"/>
      <c r="I486" s="5"/>
    </row>
    <row r="487" spans="1:9" x14ac:dyDescent="0.2">
      <c r="A487" s="3"/>
      <c r="B487" s="91" t="s">
        <v>260</v>
      </c>
      <c r="C487" s="91" t="s">
        <v>8</v>
      </c>
      <c r="D487" s="91" t="s">
        <v>266</v>
      </c>
      <c r="E487" s="91" t="s">
        <v>261</v>
      </c>
      <c r="F487" s="91" t="s">
        <v>262</v>
      </c>
      <c r="G487" s="91" t="s">
        <v>263</v>
      </c>
      <c r="H487" s="91" t="s">
        <v>11</v>
      </c>
      <c r="I487" s="5"/>
    </row>
    <row r="488" spans="1:9" x14ac:dyDescent="0.2">
      <c r="A488" s="3"/>
      <c r="B488" s="6" t="s">
        <v>582</v>
      </c>
      <c r="C488" s="7">
        <v>3</v>
      </c>
      <c r="D488" s="7"/>
      <c r="E488" s="7"/>
      <c r="F488" s="7"/>
      <c r="G488" s="7"/>
      <c r="H488" s="8">
        <f>ROUND(IF(PRODUCT(IF(C488=0,1,C488),IF(D488=0,1,D488),IF(E488=0,1,E488),IF(F488=0,1,F488),IF(G488=0,1,G488))=1,0,PRODUCT(IF(C488=0,1,C488),IF(D488=0,1,D488),IF(E488=0,1,E488),IF(F488=0,1,F488),IF(G488=0,1,G488))),2)</f>
        <v>3</v>
      </c>
      <c r="I488" s="5"/>
    </row>
    <row r="489" spans="1:9" x14ac:dyDescent="0.2">
      <c r="A489" s="3"/>
      <c r="B489" s="6"/>
      <c r="C489" s="7"/>
      <c r="D489" s="7"/>
      <c r="E489" s="7"/>
      <c r="F489" s="7"/>
      <c r="G489" s="7"/>
      <c r="H489" s="8">
        <f>ROUND(IF(PRODUCT(IF(C489=0,1,C489),IF(E489=0,1,E489),IF(F489=0,1,F489),IF(G489=0,1,G489))=1,0,PRODUCT(IF(C489=0,1,C489),IF(E489=0,1,E489),IF(F489=0,1,F489),IF(G489=0,1,G489))),2)</f>
        <v>0</v>
      </c>
      <c r="I489" s="5"/>
    </row>
    <row r="490" spans="1:9" x14ac:dyDescent="0.2">
      <c r="A490" s="3"/>
      <c r="C490" s="10"/>
      <c r="D490" s="10"/>
      <c r="E490" s="9"/>
      <c r="F490" s="94" t="s">
        <v>11</v>
      </c>
      <c r="G490" s="95" t="s">
        <v>264</v>
      </c>
      <c r="H490" s="11">
        <f>SUM(H488:H488)</f>
        <v>3</v>
      </c>
      <c r="I490" s="12" t="s">
        <v>277</v>
      </c>
    </row>
    <row r="491" spans="1:9" x14ac:dyDescent="0.2">
      <c r="A491" s="96" t="str">
        <f>'Orçamento Sintético'!A113</f>
        <v xml:space="preserve"> 9.2 </v>
      </c>
      <c r="B491" s="97" t="str">
        <f>'Orçamento Sintético'!D113</f>
        <v>JANELAS</v>
      </c>
      <c r="C491" s="273"/>
      <c r="D491" s="274"/>
      <c r="E491" s="274"/>
      <c r="F491" s="274"/>
      <c r="G491" s="274"/>
      <c r="H491" s="274"/>
      <c r="I491" s="275"/>
    </row>
    <row r="492" spans="1:9" ht="24.75" customHeight="1" x14ac:dyDescent="0.2">
      <c r="A492" s="3" t="str">
        <f>'Orçamento Sintético'!A114</f>
        <v xml:space="preserve"> 9.2.1 </v>
      </c>
      <c r="B492" s="270" t="str">
        <f>'Orçamento Sintético'!D114</f>
        <v>JANELA DE ALUMÍNIO TIPO MAXIM-AR, COM VIDROS, BATENTE E FERRAGENS. EXCLUSIVE ALIZAR, ACABAMENTO E CONTRAMARCO. FORNECIMENTO E INSTALAÇÃO. AF_12/2019</v>
      </c>
      <c r="C492" s="271"/>
      <c r="D492" s="271"/>
      <c r="E492" s="272"/>
      <c r="I492" s="5"/>
    </row>
    <row r="493" spans="1:9" x14ac:dyDescent="0.2">
      <c r="A493" s="3"/>
      <c r="B493" s="91" t="s">
        <v>260</v>
      </c>
      <c r="C493" s="91" t="s">
        <v>8</v>
      </c>
      <c r="D493" s="91" t="s">
        <v>266</v>
      </c>
      <c r="E493" s="91" t="s">
        <v>261</v>
      </c>
      <c r="F493" s="91" t="s">
        <v>262</v>
      </c>
      <c r="G493" s="91" t="s">
        <v>263</v>
      </c>
      <c r="H493" s="91" t="s">
        <v>11</v>
      </c>
      <c r="I493" s="5"/>
    </row>
    <row r="494" spans="1:9" x14ac:dyDescent="0.2">
      <c r="A494" s="3"/>
      <c r="B494" s="6" t="s">
        <v>583</v>
      </c>
      <c r="C494" s="7">
        <v>2</v>
      </c>
      <c r="D494" s="7"/>
      <c r="E494" s="7"/>
      <c r="F494" s="7">
        <v>0.8</v>
      </c>
      <c r="G494" s="7">
        <v>0.5</v>
      </c>
      <c r="H494" s="8">
        <f>ROUND(IF(PRODUCT(IF(C494=0,1,C494),IF(D494=0,1,D494),IF(E494=0,1,E494),IF(F494=0,1,F494),IF(G494=0,1,G494))=1,0,PRODUCT(IF(C494=0,1,C494),IF(D494=0,1,D494),IF(E494=0,1,E494),IF(F494=0,1,F494),IF(G494=0,1,G494))),2)</f>
        <v>0.8</v>
      </c>
      <c r="I494" s="5"/>
    </row>
    <row r="495" spans="1:9" x14ac:dyDescent="0.2">
      <c r="A495" s="3"/>
      <c r="B495" s="6"/>
      <c r="C495" s="7"/>
      <c r="D495" s="7"/>
      <c r="E495" s="7"/>
      <c r="F495" s="7"/>
      <c r="G495" s="7"/>
      <c r="H495" s="8">
        <f>ROUND(IF(PRODUCT(IF(C495=0,1,C495),IF(E495=0,1,E495),IF(F495=0,1,F495),IF(G495=0,1,G495))=1,0,PRODUCT(IF(C495=0,1,C495),IF(E495=0,1,E495),IF(F495=0,1,F495),IF(G495=0,1,G495))),2)</f>
        <v>0</v>
      </c>
      <c r="I495" s="5"/>
    </row>
    <row r="496" spans="1:9" x14ac:dyDescent="0.2">
      <c r="A496" s="3"/>
      <c r="C496" s="10"/>
      <c r="D496" s="10"/>
      <c r="E496" s="9"/>
      <c r="F496" s="94" t="s">
        <v>11</v>
      </c>
      <c r="G496" s="95" t="s">
        <v>264</v>
      </c>
      <c r="H496" s="11">
        <f>SUM(H494:H494)</f>
        <v>0.8</v>
      </c>
      <c r="I496" s="12" t="s">
        <v>17</v>
      </c>
    </row>
    <row r="497" spans="1:9" x14ac:dyDescent="0.2">
      <c r="A497" s="89" t="str">
        <f>'Orçamento Sintético'!A115</f>
        <v>10.0</v>
      </c>
      <c r="B497" s="90" t="str">
        <f>'Orçamento Sintético'!D115</f>
        <v>FORROS - BANHEIROS</v>
      </c>
      <c r="C497" s="273"/>
      <c r="D497" s="274"/>
      <c r="E497" s="274"/>
      <c r="F497" s="274"/>
      <c r="G497" s="274"/>
      <c r="H497" s="274"/>
      <c r="I497" s="275"/>
    </row>
    <row r="498" spans="1:9" ht="13.5" customHeight="1" x14ac:dyDescent="0.2">
      <c r="A498" s="3" t="str">
        <f>'Orçamento Sintético'!A116</f>
        <v xml:space="preserve"> 10.1 </v>
      </c>
      <c r="B498" s="270" t="str">
        <f>'Orçamento Sintético'!D116</f>
        <v>FORRO EM PLACAS DE GESSO, PARA AMBIENTES COMERCIAIS. AF_08/2023_PS</v>
      </c>
      <c r="C498" s="271"/>
      <c r="D498" s="271"/>
      <c r="E498" s="272"/>
      <c r="I498" s="5"/>
    </row>
    <row r="499" spans="1:9" x14ac:dyDescent="0.2">
      <c r="A499" s="3"/>
      <c r="B499" s="91" t="s">
        <v>260</v>
      </c>
      <c r="C499" s="91" t="s">
        <v>8</v>
      </c>
      <c r="D499" s="91" t="s">
        <v>266</v>
      </c>
      <c r="E499" s="91" t="s">
        <v>261</v>
      </c>
      <c r="F499" s="91" t="s">
        <v>262</v>
      </c>
      <c r="G499" s="91" t="s">
        <v>263</v>
      </c>
      <c r="H499" s="91" t="s">
        <v>11</v>
      </c>
      <c r="I499" s="5"/>
    </row>
    <row r="500" spans="1:9" x14ac:dyDescent="0.2">
      <c r="A500" s="3"/>
      <c r="B500" s="6"/>
      <c r="C500" s="7"/>
      <c r="D500" s="7">
        <f>H328</f>
        <v>28.03</v>
      </c>
      <c r="E500" s="7"/>
      <c r="F500" s="7"/>
      <c r="G500" s="7"/>
      <c r="H500" s="8">
        <f>ROUND(IF(PRODUCT(IF(C500=0,1,C500),IF(D500=0,1,D500),IF(E500=0,1,E500),IF(F500=0,1,F500),IF(G500=0,1,G500))=1,0,PRODUCT(IF(C500=0,1,C500),IF(D500=0,1,D500),IF(E500=0,1,E500),IF(F500=0,1,F500),IF(G500=0,1,G500))),2)</f>
        <v>28.03</v>
      </c>
      <c r="I500" s="5"/>
    </row>
    <row r="501" spans="1:9" x14ac:dyDescent="0.2">
      <c r="A501" s="3"/>
      <c r="B501" s="6"/>
      <c r="C501" s="7"/>
      <c r="D501" s="7"/>
      <c r="E501" s="7"/>
      <c r="F501" s="7"/>
      <c r="G501" s="7"/>
      <c r="H501" s="8">
        <f>ROUND(IF(PRODUCT(IF(C501=0,1,C501),IF(E501=0,1,E501),IF(F501=0,1,F501),IF(G501=0,1,G501))=1,0,PRODUCT(IF(C501=0,1,C501),IF(E501=0,1,E501),IF(F501=0,1,F501),IF(G501=0,1,G501))),2)</f>
        <v>0</v>
      </c>
      <c r="I501" s="5"/>
    </row>
    <row r="502" spans="1:9" x14ac:dyDescent="0.2">
      <c r="A502" s="3"/>
      <c r="C502" s="10"/>
      <c r="D502" s="10"/>
      <c r="E502" s="9"/>
      <c r="F502" s="94" t="s">
        <v>11</v>
      </c>
      <c r="G502" s="95" t="s">
        <v>264</v>
      </c>
      <c r="H502" s="11">
        <f>SUM(H500:H500)</f>
        <v>28.03</v>
      </c>
      <c r="I502" s="12" t="s">
        <v>17</v>
      </c>
    </row>
    <row r="503" spans="1:9" x14ac:dyDescent="0.2">
      <c r="A503" s="89" t="str">
        <f>'Orçamento Sintético'!A117</f>
        <v>11.0</v>
      </c>
      <c r="B503" s="90" t="str">
        <f>'Orçamento Sintético'!D117</f>
        <v>ACABAMENTOS DE PISO E PAREDES - BANHEIROS</v>
      </c>
      <c r="C503" s="273"/>
      <c r="D503" s="274"/>
      <c r="E503" s="274"/>
      <c r="F503" s="274"/>
      <c r="G503" s="274"/>
      <c r="H503" s="274"/>
      <c r="I503" s="275"/>
    </row>
    <row r="504" spans="1:9" x14ac:dyDescent="0.2">
      <c r="A504" s="96" t="str">
        <f>'Orçamento Sintético'!A118</f>
        <v xml:space="preserve"> 11.1 </v>
      </c>
      <c r="B504" s="97" t="str">
        <f>'Orçamento Sintético'!D118</f>
        <v>PISO</v>
      </c>
      <c r="C504" s="273"/>
      <c r="D504" s="274"/>
      <c r="E504" s="274"/>
      <c r="F504" s="274"/>
      <c r="G504" s="274"/>
      <c r="H504" s="274"/>
      <c r="I504" s="275"/>
    </row>
    <row r="505" spans="1:9" ht="24.75" customHeight="1" x14ac:dyDescent="0.2">
      <c r="A505" s="3" t="str">
        <f>'Orçamento Sintético'!A119</f>
        <v xml:space="preserve"> 11.1.1 </v>
      </c>
      <c r="B505" s="270" t="str">
        <f>'Orçamento Sintético'!D119</f>
        <v>REVESTIMENTO CERÂMICO PARA PISO COM PLACAS TIPO ESMALTADA EXTRA DE DIMENSÕES 45X45 CM APLICADA EM AMBIENTES DE ÁREA MAIOR QUE 10 M2. AF_02/2023_PE</v>
      </c>
      <c r="C505" s="271"/>
      <c r="D505" s="271"/>
      <c r="E505" s="272"/>
      <c r="I505" s="5"/>
    </row>
    <row r="506" spans="1:9" x14ac:dyDescent="0.2">
      <c r="A506" s="3"/>
      <c r="B506" s="91" t="s">
        <v>260</v>
      </c>
      <c r="C506" s="91" t="s">
        <v>8</v>
      </c>
      <c r="D506" s="91" t="s">
        <v>266</v>
      </c>
      <c r="E506" s="91" t="s">
        <v>261</v>
      </c>
      <c r="F506" s="91" t="s">
        <v>262</v>
      </c>
      <c r="G506" s="91" t="s">
        <v>263</v>
      </c>
      <c r="H506" s="91" t="s">
        <v>11</v>
      </c>
      <c r="I506" s="5"/>
    </row>
    <row r="507" spans="1:9" x14ac:dyDescent="0.2">
      <c r="A507" s="3"/>
      <c r="B507" s="6"/>
      <c r="C507" s="7"/>
      <c r="D507" s="7">
        <f>H328</f>
        <v>28.03</v>
      </c>
      <c r="E507" s="7"/>
      <c r="F507" s="7"/>
      <c r="G507" s="7"/>
      <c r="H507" s="8">
        <f>ROUND(IF(PRODUCT(IF(C507=0,1,C507),IF(D507=0,1,D507),IF(E507=0,1,E507),IF(F507=0,1,F507),IF(G507=0,1,G507))=1,0,PRODUCT(IF(C507=0,1,C507),IF(D507=0,1,D507),IF(E507=0,1,E507),IF(F507=0,1,F507),IF(G507=0,1,G507))),2)</f>
        <v>28.03</v>
      </c>
      <c r="I507" s="5"/>
    </row>
    <row r="508" spans="1:9" x14ac:dyDescent="0.2">
      <c r="A508" s="3"/>
      <c r="B508" s="6"/>
      <c r="C508" s="7"/>
      <c r="D508" s="7"/>
      <c r="E508" s="7"/>
      <c r="F508" s="7"/>
      <c r="G508" s="7"/>
      <c r="H508" s="8">
        <f>ROUND(IF(PRODUCT(IF(C508=0,1,C508),IF(E508=0,1,E508),IF(F508=0,1,F508),IF(G508=0,1,G508))=1,0,PRODUCT(IF(C508=0,1,C508),IF(E508=0,1,E508),IF(F508=0,1,F508),IF(G508=0,1,G508))),2)</f>
        <v>0</v>
      </c>
      <c r="I508" s="5"/>
    </row>
    <row r="509" spans="1:9" x14ac:dyDescent="0.2">
      <c r="A509" s="3"/>
      <c r="C509" s="10"/>
      <c r="D509" s="10"/>
      <c r="E509" s="9"/>
      <c r="F509" s="94" t="s">
        <v>11</v>
      </c>
      <c r="G509" s="95" t="s">
        <v>264</v>
      </c>
      <c r="H509" s="11">
        <f>SUM(H507:H507)</f>
        <v>28.03</v>
      </c>
      <c r="I509" s="12" t="s">
        <v>17</v>
      </c>
    </row>
    <row r="510" spans="1:9" ht="14.25" customHeight="1" x14ac:dyDescent="0.2">
      <c r="A510" s="3" t="str">
        <f>'Orçamento Sintético'!A120</f>
        <v xml:space="preserve"> 11.1.2 </v>
      </c>
      <c r="B510" s="270" t="str">
        <f>'Orçamento Sintético'!D120</f>
        <v>RODAPÉ CERÂMICO DE 7CM DE ALTURA COM PLACAS TIPO ESMALTADA EXTRA DE DIMENSÕES 45X45CM. AF_02/2023</v>
      </c>
      <c r="C510" s="271"/>
      <c r="D510" s="271"/>
      <c r="E510" s="272"/>
      <c r="I510" s="5"/>
    </row>
    <row r="511" spans="1:9" x14ac:dyDescent="0.2">
      <c r="A511" s="3"/>
      <c r="B511" s="91" t="s">
        <v>260</v>
      </c>
      <c r="C511" s="91" t="s">
        <v>8</v>
      </c>
      <c r="D511" s="91" t="s">
        <v>266</v>
      </c>
      <c r="E511" s="91" t="s">
        <v>261</v>
      </c>
      <c r="F511" s="91" t="s">
        <v>262</v>
      </c>
      <c r="G511" s="91" t="s">
        <v>263</v>
      </c>
      <c r="H511" s="91" t="s">
        <v>11</v>
      </c>
      <c r="I511" s="5"/>
    </row>
    <row r="512" spans="1:9" x14ac:dyDescent="0.2">
      <c r="A512" s="3"/>
      <c r="B512" s="6" t="s">
        <v>295</v>
      </c>
      <c r="C512" s="7"/>
      <c r="D512" s="7"/>
      <c r="E512" s="7">
        <f>5.2-1.5</f>
        <v>3.7</v>
      </c>
      <c r="F512" s="7"/>
      <c r="G512" s="7"/>
      <c r="H512" s="8">
        <f t="shared" ref="H512" si="10">ROUND(IF(PRODUCT(IF(C512=0,1,C512),IF(D512=0,1,D512),IF(E512=0,1,E512),IF(F512=0,1,F512),IF(G512=0,1,G512))=1,0,PRODUCT(IF(C512=0,1,C512),IF(D512=0,1,D512),IF(E512=0,1,E512),IF(F512=0,1,F512),IF(G512=0,1,G512))),2)</f>
        <v>3.7</v>
      </c>
      <c r="I512" s="5"/>
    </row>
    <row r="513" spans="1:10" x14ac:dyDescent="0.2">
      <c r="A513" s="3"/>
      <c r="B513" s="6"/>
      <c r="C513" s="7"/>
      <c r="D513" s="7"/>
      <c r="E513" s="7"/>
      <c r="F513" s="7"/>
      <c r="G513" s="7"/>
      <c r="H513" s="8">
        <f>ROUND(IF(PRODUCT(IF(C513=0,1,C513),IF(D513=0,1,D513),IF(E513=0,1,E513),IF(F513=0,1,F513),IF(G513=0,1,G513))=1,0,PRODUCT(IF(C513=0,1,C513),IF(D513=0,1,D513),IF(E513=0,1,E513),IF(F513=0,1,F513),IF(G513=0,1,G513))),2)</f>
        <v>0</v>
      </c>
      <c r="I513" s="5"/>
    </row>
    <row r="514" spans="1:10" x14ac:dyDescent="0.2">
      <c r="A514" s="3"/>
      <c r="B514" s="16" t="s">
        <v>302</v>
      </c>
      <c r="C514" s="25">
        <v>3</v>
      </c>
      <c r="D514" s="25"/>
      <c r="E514" s="25">
        <v>0.8</v>
      </c>
      <c r="F514" s="7"/>
      <c r="G514" s="7"/>
      <c r="H514" s="17">
        <f>-ROUND(IF(PRODUCT(IF(C514=0,1,C514),IF(D514=0,1,D514),IF(E514=0,1,E514),IF(F514=0,1,F514),IF(G514=0,1,G514))=1,0,PRODUCT(IF(C514=0,1,C514),IF(D514=0,1,D514),IF(E514=0,1,E514),IF(F514=0,1,F514),IF(G514=0,1,G514))),2)</f>
        <v>-2.4</v>
      </c>
      <c r="I514" s="5"/>
    </row>
    <row r="515" spans="1:10" x14ac:dyDescent="0.2">
      <c r="A515" s="3"/>
      <c r="B515" s="6"/>
      <c r="C515" s="7"/>
      <c r="D515" s="7"/>
      <c r="E515" s="7"/>
      <c r="F515" s="7"/>
      <c r="G515" s="7"/>
      <c r="H515" s="8">
        <f>ROUND(IF(PRODUCT(IF(C515=0,1,C515),IF(E515=0,1,E515),IF(F515=0,1,F515),IF(G515=0,1,G515))=1,0,PRODUCT(IF(C515=0,1,C515),IF(E515=0,1,E515),IF(F515=0,1,F515),IF(G515=0,1,G515))),2)</f>
        <v>0</v>
      </c>
      <c r="I515" s="5"/>
    </row>
    <row r="516" spans="1:10" x14ac:dyDescent="0.2">
      <c r="A516" s="3"/>
      <c r="C516" s="10"/>
      <c r="D516" s="10"/>
      <c r="E516" s="9"/>
      <c r="F516" s="94" t="s">
        <v>11</v>
      </c>
      <c r="G516" s="95" t="s">
        <v>264</v>
      </c>
      <c r="H516" s="11">
        <f>SUM(H512:H514)</f>
        <v>1.3000000000000003</v>
      </c>
      <c r="I516" s="12" t="s">
        <v>186</v>
      </c>
    </row>
    <row r="517" spans="1:10" x14ac:dyDescent="0.2">
      <c r="A517" s="96" t="str">
        <f>'Orçamento Sintético'!A121</f>
        <v xml:space="preserve"> 11.2 </v>
      </c>
      <c r="B517" s="97" t="str">
        <f>'Orçamento Sintético'!D121</f>
        <v>PAREDES INTERNAS</v>
      </c>
      <c r="C517" s="273"/>
      <c r="D517" s="274"/>
      <c r="E517" s="274"/>
      <c r="F517" s="274"/>
      <c r="G517" s="274"/>
      <c r="H517" s="274"/>
      <c r="I517" s="275"/>
    </row>
    <row r="518" spans="1:10" ht="24.75" customHeight="1" x14ac:dyDescent="0.2">
      <c r="A518" s="3" t="str">
        <f>'Orçamento Sintético'!A122</f>
        <v xml:space="preserve"> 11.2.1 </v>
      </c>
      <c r="B518" s="270" t="str">
        <f>'Orçamento Sintético'!D122</f>
        <v>REVESTIMENTO CERÂMICO PARA PAREDES INTERNAS COM PLACAS TIPO ESMALTADA EXTRA  DE DIMENSÕES 33X45 CM APLICADAS NA ALTURA INTEIRA DAS PAREDES. AF_02/2023_PE</v>
      </c>
      <c r="C518" s="271"/>
      <c r="D518" s="271"/>
      <c r="E518" s="272"/>
      <c r="I518" s="5"/>
    </row>
    <row r="519" spans="1:10" x14ac:dyDescent="0.2">
      <c r="A519" s="3"/>
      <c r="B519" s="91" t="s">
        <v>260</v>
      </c>
      <c r="C519" s="91" t="s">
        <v>8</v>
      </c>
      <c r="D519" s="91" t="s">
        <v>266</v>
      </c>
      <c r="E519" s="91" t="s">
        <v>261</v>
      </c>
      <c r="F519" s="91" t="s">
        <v>262</v>
      </c>
      <c r="G519" s="91" t="s">
        <v>263</v>
      </c>
      <c r="H519" s="91" t="s">
        <v>11</v>
      </c>
      <c r="I519" s="5"/>
    </row>
    <row r="520" spans="1:10" x14ac:dyDescent="0.2">
      <c r="A520" s="3"/>
      <c r="B520" s="6" t="s">
        <v>292</v>
      </c>
      <c r="C520" s="7"/>
      <c r="D520" s="7"/>
      <c r="E520" s="7">
        <v>13.9</v>
      </c>
      <c r="F520" s="7"/>
      <c r="G520" s="7">
        <v>2.7</v>
      </c>
      <c r="H520" s="8">
        <f t="shared" ref="H520:H522" si="11">ROUND(IF(PRODUCT(IF(C520=0,1,C520),IF(D520=0,1,D520),IF(E520=0,1,E520),IF(F520=0,1,F520),IF(G520=0,1,G520))=1,0,PRODUCT(IF(C520=0,1,C520),IF(D520=0,1,D520),IF(E520=0,1,E520),IF(F520=0,1,F520),IF(G520=0,1,G520))),2)</f>
        <v>37.53</v>
      </c>
      <c r="I520" s="5"/>
    </row>
    <row r="521" spans="1:10" x14ac:dyDescent="0.2">
      <c r="A521" s="3"/>
      <c r="B521" s="6" t="s">
        <v>293</v>
      </c>
      <c r="C521" s="7"/>
      <c r="D521" s="7"/>
      <c r="E521" s="7">
        <v>13.9</v>
      </c>
      <c r="F521" s="7"/>
      <c r="G521" s="7">
        <v>2.7</v>
      </c>
      <c r="H521" s="8">
        <f t="shared" si="11"/>
        <v>37.53</v>
      </c>
      <c r="I521" s="5"/>
    </row>
    <row r="522" spans="1:10" x14ac:dyDescent="0.2">
      <c r="A522" s="3"/>
      <c r="B522" s="6" t="s">
        <v>294</v>
      </c>
      <c r="C522" s="7"/>
      <c r="D522" s="7"/>
      <c r="E522" s="7">
        <v>6.7</v>
      </c>
      <c r="F522" s="7"/>
      <c r="G522" s="7">
        <v>2.7</v>
      </c>
      <c r="H522" s="8">
        <f t="shared" si="11"/>
        <v>18.09</v>
      </c>
      <c r="I522" s="5"/>
    </row>
    <row r="523" spans="1:10" x14ac:dyDescent="0.2">
      <c r="B523" s="6"/>
      <c r="C523" s="7"/>
      <c r="D523" s="7"/>
      <c r="E523" s="7"/>
      <c r="F523" s="7"/>
      <c r="G523" s="7"/>
      <c r="H523" s="8"/>
      <c r="I523" s="5"/>
    </row>
    <row r="524" spans="1:10" x14ac:dyDescent="0.2">
      <c r="B524" s="23" t="s">
        <v>287</v>
      </c>
      <c r="C524" s="7"/>
      <c r="D524" s="7"/>
      <c r="E524" s="7"/>
      <c r="F524" s="7"/>
      <c r="G524" s="24"/>
      <c r="H524" s="6"/>
      <c r="I524" s="27"/>
    </row>
    <row r="525" spans="1:10" x14ac:dyDescent="0.2">
      <c r="B525" s="6"/>
      <c r="C525" s="7"/>
      <c r="D525" s="7"/>
      <c r="E525" s="7"/>
      <c r="F525" s="7"/>
      <c r="G525" s="24"/>
      <c r="H525" s="6"/>
      <c r="I525" s="27"/>
    </row>
    <row r="526" spans="1:10" x14ac:dyDescent="0.2">
      <c r="B526" s="16" t="s">
        <v>288</v>
      </c>
      <c r="C526" s="25">
        <v>3</v>
      </c>
      <c r="D526" s="25"/>
      <c r="E526" s="25"/>
      <c r="F526" s="25">
        <v>0.8</v>
      </c>
      <c r="G526" s="25">
        <v>2.1</v>
      </c>
      <c r="H526" s="17">
        <f>-ROUND(IF(PRODUCT(IF(C526=0,1,C526),IF(D526=0,1,D526),IF(E526=0,1,E526),IF(F526=0,1,F526),IF(G526=0,1,G526))=1,0,PRODUCT(IF(C526=0,1,C526),IF(D526=0,1,D526),IF(E526=0,1,E526),IF(F526=0,1,F526),IF(G526=0,1,G526))),2)</f>
        <v>-5.04</v>
      </c>
      <c r="I526" s="27"/>
      <c r="J526" s="19"/>
    </row>
    <row r="527" spans="1:10" x14ac:dyDescent="0.2">
      <c r="B527" s="16" t="s">
        <v>289</v>
      </c>
      <c r="C527" s="25">
        <v>2</v>
      </c>
      <c r="D527" s="25"/>
      <c r="E527" s="25"/>
      <c r="F527" s="25">
        <v>0.8</v>
      </c>
      <c r="G527" s="25">
        <v>0.5</v>
      </c>
      <c r="H527" s="17">
        <f>-ROUND(IF(PRODUCT(IF(C527=0,1,C527),IF(D527=0,1,D527),IF(E527=0,1,E527),IF(F527=0,1,F527),IF(G527=0,1,G527))=1,0,PRODUCT(IF(C527=0,1,C527),IF(D527=0,1,D527),IF(E527=0,1,E527),IF(F527=0,1,F527),IF(G527=0,1,G527))),2)</f>
        <v>-0.8</v>
      </c>
      <c r="I527" s="27"/>
    </row>
    <row r="528" spans="1:10" x14ac:dyDescent="0.2">
      <c r="A528" s="3"/>
      <c r="B528" s="6"/>
      <c r="C528" s="7"/>
      <c r="D528" s="7"/>
      <c r="E528" s="7"/>
      <c r="F528" s="7"/>
      <c r="G528" s="7"/>
      <c r="H528" s="8">
        <f>ROUND(IF(PRODUCT(IF(C528=0,1,C528),IF(E528=0,1,E528),IF(F528=0,1,F528),IF(G528=0,1,G528))=1,0,PRODUCT(IF(C528=0,1,C528),IF(E528=0,1,E528),IF(F528=0,1,F528),IF(G528=0,1,G528))),2)</f>
        <v>0</v>
      </c>
      <c r="I528" s="5"/>
    </row>
    <row r="529" spans="1:9" x14ac:dyDescent="0.2">
      <c r="A529" s="3"/>
      <c r="C529" s="10"/>
      <c r="D529" s="10"/>
      <c r="E529" s="9"/>
      <c r="F529" s="94" t="s">
        <v>11</v>
      </c>
      <c r="G529" s="95" t="s">
        <v>264</v>
      </c>
      <c r="H529" s="11">
        <f>SUM(H520:H527)</f>
        <v>87.31</v>
      </c>
      <c r="I529" s="12" t="s">
        <v>17</v>
      </c>
    </row>
    <row r="530" spans="1:9" x14ac:dyDescent="0.2">
      <c r="A530" s="96" t="str">
        <f>'Orçamento Sintético'!A123</f>
        <v>11.3</v>
      </c>
      <c r="B530" s="97" t="str">
        <f>'Orçamento Sintético'!D123</f>
        <v>PAREDES EXTERNAS</v>
      </c>
      <c r="C530" s="273"/>
      <c r="D530" s="274"/>
      <c r="E530" s="274"/>
      <c r="F530" s="274"/>
      <c r="G530" s="274"/>
      <c r="H530" s="274"/>
      <c r="I530" s="275"/>
    </row>
    <row r="531" spans="1:9" ht="24.75" customHeight="1" x14ac:dyDescent="0.2">
      <c r="A531" s="3" t="str">
        <f>'Orçamento Sintético'!A124</f>
        <v>11.3.1</v>
      </c>
      <c r="B531" s="270" t="str">
        <f>'Orçamento Sintético'!D124</f>
        <v>REVESTIMENTO CERÂMICO PARA PAREDE, 10 X 10 CM, ELIZABETH, LINHA CRISTAL PISCINA, APLICADO COM ARGAMASSA INDUSTRIALIZADA AC-II, REJUNTE EPOXI, EXCLUSIVE REGULARIZAÇÃO DE BASE OU EMBOÇO - REV 02</v>
      </c>
      <c r="C531" s="271"/>
      <c r="D531" s="271"/>
      <c r="E531" s="272"/>
      <c r="I531" s="5"/>
    </row>
    <row r="532" spans="1:9" x14ac:dyDescent="0.2">
      <c r="A532" s="3"/>
      <c r="B532" s="91" t="s">
        <v>260</v>
      </c>
      <c r="C532" s="91" t="s">
        <v>8</v>
      </c>
      <c r="D532" s="91" t="s">
        <v>266</v>
      </c>
      <c r="E532" s="91" t="s">
        <v>261</v>
      </c>
      <c r="F532" s="91" t="s">
        <v>262</v>
      </c>
      <c r="G532" s="91" t="s">
        <v>263</v>
      </c>
      <c r="H532" s="91" t="s">
        <v>11</v>
      </c>
      <c r="I532" s="5"/>
    </row>
    <row r="533" spans="1:9" x14ac:dyDescent="0.2">
      <c r="A533" s="3"/>
      <c r="B533" s="6" t="s">
        <v>295</v>
      </c>
      <c r="C533" s="7"/>
      <c r="D533" s="7"/>
      <c r="E533" s="7">
        <f>5.2-1.5</f>
        <v>3.7</v>
      </c>
      <c r="F533" s="7"/>
      <c r="G533" s="7">
        <v>1.5</v>
      </c>
      <c r="H533" s="8">
        <f t="shared" ref="H533:H534" si="12">ROUND(IF(PRODUCT(IF(C533=0,1,C533),IF(D533=0,1,D533),IF(E533=0,1,E533),IF(F533=0,1,F533),IF(G533=0,1,G533))=1,0,PRODUCT(IF(C533=0,1,C533),IF(D533=0,1,D533),IF(E533=0,1,E533),IF(F533=0,1,F533),IF(G533=0,1,G533))),2)</f>
        <v>5.55</v>
      </c>
      <c r="I533" s="5"/>
    </row>
    <row r="534" spans="1:9" x14ac:dyDescent="0.2">
      <c r="A534" s="3"/>
      <c r="B534" s="6" t="s">
        <v>297</v>
      </c>
      <c r="C534" s="7"/>
      <c r="D534" s="7"/>
      <c r="E534" s="7">
        <f>3.25+10.1+10.1+3.25</f>
        <v>26.7</v>
      </c>
      <c r="F534" s="7"/>
      <c r="G534" s="7">
        <v>1.5</v>
      </c>
      <c r="H534" s="8">
        <f t="shared" si="12"/>
        <v>40.049999999999997</v>
      </c>
      <c r="I534" s="5"/>
    </row>
    <row r="535" spans="1:9" x14ac:dyDescent="0.2">
      <c r="B535" s="6"/>
      <c r="C535" s="7"/>
      <c r="D535" s="7"/>
      <c r="E535" s="7"/>
      <c r="F535" s="7"/>
      <c r="G535" s="7"/>
      <c r="H535" s="8"/>
      <c r="I535" s="5"/>
    </row>
    <row r="536" spans="1:9" x14ac:dyDescent="0.2">
      <c r="B536" s="23" t="s">
        <v>287</v>
      </c>
      <c r="C536" s="7"/>
      <c r="D536" s="7"/>
      <c r="E536" s="7"/>
      <c r="F536" s="7"/>
      <c r="G536" s="24"/>
      <c r="H536" s="6"/>
      <c r="I536" s="27"/>
    </row>
    <row r="537" spans="1:9" x14ac:dyDescent="0.2">
      <c r="B537" s="6"/>
      <c r="C537" s="7"/>
      <c r="D537" s="7"/>
      <c r="E537" s="7"/>
      <c r="F537" s="7"/>
      <c r="G537" s="24"/>
      <c r="H537" s="6"/>
      <c r="I537" s="27"/>
    </row>
    <row r="538" spans="1:9" x14ac:dyDescent="0.2">
      <c r="B538" s="16" t="s">
        <v>296</v>
      </c>
      <c r="C538" s="25"/>
      <c r="D538" s="25"/>
      <c r="E538" s="25"/>
      <c r="F538" s="25">
        <v>1.5</v>
      </c>
      <c r="G538" s="25">
        <v>1.5</v>
      </c>
      <c r="H538" s="17">
        <f>-ROUND(IF(PRODUCT(IF(C538=0,1,C538),IF(D538=0,1,D538),IF(E538=0,1,E538),IF(F538=0,1,F538),IF(G538=0,1,G538))=1,0,PRODUCT(IF(C538=0,1,C538),IF(D538=0,1,D538),IF(E538=0,1,E538),IF(F538=0,1,F538),IF(G538=0,1,G538))),2)</f>
        <v>-2.25</v>
      </c>
      <c r="I538" s="27"/>
    </row>
    <row r="539" spans="1:9" x14ac:dyDescent="0.2">
      <c r="A539" s="3"/>
      <c r="B539" s="6"/>
      <c r="C539" s="7"/>
      <c r="D539" s="7"/>
      <c r="E539" s="7"/>
      <c r="F539" s="7"/>
      <c r="G539" s="7"/>
      <c r="H539" s="8">
        <f>ROUND(IF(PRODUCT(IF(C539=0,1,C539),IF(E539=0,1,E539),IF(F539=0,1,F539),IF(G539=0,1,G539))=1,0,PRODUCT(IF(C539=0,1,C539),IF(E539=0,1,E539),IF(F539=0,1,F539),IF(G539=0,1,G539))),2)</f>
        <v>0</v>
      </c>
      <c r="I539" s="5"/>
    </row>
    <row r="540" spans="1:9" x14ac:dyDescent="0.2">
      <c r="A540" s="3"/>
      <c r="C540" s="10"/>
      <c r="D540" s="10"/>
      <c r="E540" s="9"/>
      <c r="F540" s="94" t="s">
        <v>11</v>
      </c>
      <c r="G540" s="95" t="s">
        <v>264</v>
      </c>
      <c r="H540" s="11">
        <f>SUM(H533:H539)</f>
        <v>43.349999999999994</v>
      </c>
      <c r="I540" s="12" t="s">
        <v>17</v>
      </c>
    </row>
    <row r="541" spans="1:9" x14ac:dyDescent="0.2">
      <c r="A541" s="89" t="str">
        <f>'Orçamento Sintético'!A125</f>
        <v>12.0</v>
      </c>
      <c r="B541" s="90" t="str">
        <f>'Orçamento Sintético'!D125</f>
        <v>PINTURA - PISO DA QUADRA / BANHEIROS</v>
      </c>
      <c r="C541" s="273"/>
      <c r="D541" s="274"/>
      <c r="E541" s="274"/>
      <c r="F541" s="274"/>
      <c r="G541" s="274"/>
      <c r="H541" s="274"/>
      <c r="I541" s="275"/>
    </row>
    <row r="542" spans="1:9" x14ac:dyDescent="0.2">
      <c r="A542" s="96" t="str">
        <f>'Orçamento Sintético'!A126</f>
        <v xml:space="preserve"> 12.1 </v>
      </c>
      <c r="B542" s="97" t="str">
        <f>'Orçamento Sintético'!D126</f>
        <v>PISO - QUADRA</v>
      </c>
      <c r="C542" s="273"/>
      <c r="D542" s="274"/>
      <c r="E542" s="274"/>
      <c r="F542" s="274"/>
      <c r="G542" s="274"/>
      <c r="H542" s="274"/>
      <c r="I542" s="275"/>
    </row>
    <row r="543" spans="1:9" ht="15" customHeight="1" x14ac:dyDescent="0.2">
      <c r="A543" s="3" t="str">
        <f>'Orçamento Sintético'!A127</f>
        <v xml:space="preserve"> 12.1.1</v>
      </c>
      <c r="B543" s="270" t="str">
        <f>'Orçamento Sintético'!D127</f>
        <v>PINTURA DE PISO COM TINTA EPÓXI, APLICAÇÃO MANUAL, 2 DEMÃOS, INCLUSO PRIMER EPÓXI. AF_05/2021</v>
      </c>
      <c r="C543" s="271"/>
      <c r="D543" s="271"/>
      <c r="E543" s="272"/>
      <c r="I543" s="5"/>
    </row>
    <row r="544" spans="1:9" x14ac:dyDescent="0.2">
      <c r="A544" s="3"/>
      <c r="B544" s="91" t="s">
        <v>260</v>
      </c>
      <c r="C544" s="91" t="s">
        <v>8</v>
      </c>
      <c r="D544" s="91" t="s">
        <v>266</v>
      </c>
      <c r="E544" s="91" t="s">
        <v>261</v>
      </c>
      <c r="F544" s="91" t="s">
        <v>262</v>
      </c>
      <c r="G544" s="91" t="s">
        <v>263</v>
      </c>
      <c r="H544" s="91" t="s">
        <v>11</v>
      </c>
      <c r="I544" s="5"/>
    </row>
    <row r="545" spans="1:9" x14ac:dyDescent="0.2">
      <c r="A545" s="3"/>
      <c r="B545" s="6"/>
      <c r="C545" s="7"/>
      <c r="D545" s="7">
        <v>564</v>
      </c>
      <c r="E545" s="7"/>
      <c r="F545" s="7"/>
      <c r="G545" s="7"/>
      <c r="H545" s="8">
        <f>ROUND(IF(PRODUCT(IF(C545=0,1,C545),IF(D545=0,1,D545),IF(E545=0,1,E545),IF(F545=0,1,F545),IF(G545=0,1,G545))=1,0,PRODUCT(IF(C545=0,1,C545),IF(D545=0,1,D545),IF(E545=0,1,E545),IF(F545=0,1,F545),IF(G545=0,1,G545))),2)</f>
        <v>564</v>
      </c>
      <c r="I545" s="5"/>
    </row>
    <row r="546" spans="1:9" x14ac:dyDescent="0.2">
      <c r="A546" s="3"/>
      <c r="B546" s="6"/>
      <c r="C546" s="7"/>
      <c r="D546" s="7"/>
      <c r="E546" s="7"/>
      <c r="F546" s="7"/>
      <c r="G546" s="7"/>
      <c r="H546" s="8">
        <f>ROUND(IF(PRODUCT(IF(C546=0,1,C546),IF(E546=0,1,E546),IF(F546=0,1,F546),IF(G546=0,1,G546))=1,0,PRODUCT(IF(C546=0,1,C546),IF(E546=0,1,E546),IF(F546=0,1,F546),IF(G546=0,1,G546))),2)</f>
        <v>0</v>
      </c>
      <c r="I546" s="5"/>
    </row>
    <row r="547" spans="1:9" x14ac:dyDescent="0.2">
      <c r="A547" s="3"/>
      <c r="C547" s="10"/>
      <c r="D547" s="10"/>
      <c r="E547" s="9"/>
      <c r="F547" s="94" t="s">
        <v>11</v>
      </c>
      <c r="G547" s="95" t="s">
        <v>264</v>
      </c>
      <c r="H547" s="11">
        <f>SUM(H545:H545)</f>
        <v>564</v>
      </c>
      <c r="I547" s="12" t="s">
        <v>17</v>
      </c>
    </row>
    <row r="548" spans="1:9" x14ac:dyDescent="0.2">
      <c r="A548" s="96" t="str">
        <f>'Orçamento Sintético'!A128</f>
        <v xml:space="preserve"> 12.2 </v>
      </c>
      <c r="B548" s="97" t="str">
        <f>'Orçamento Sintético'!D128</f>
        <v>TETO</v>
      </c>
      <c r="C548" s="273"/>
      <c r="D548" s="274"/>
      <c r="E548" s="274"/>
      <c r="F548" s="274"/>
      <c r="G548" s="274"/>
      <c r="H548" s="274"/>
      <c r="I548" s="275"/>
    </row>
    <row r="549" spans="1:9" ht="14.25" customHeight="1" x14ac:dyDescent="0.2">
      <c r="A549" s="3" t="str">
        <f>'Orçamento Sintético'!A129</f>
        <v xml:space="preserve"> 12.2.1 </v>
      </c>
      <c r="B549" s="270" t="str">
        <f>'Orçamento Sintético'!D129</f>
        <v>FUNDO SELADOR ACRÍLICO, APLICAÇÃO MANUAL EM TETO, UMA DEMÃO. AF_04/2023</v>
      </c>
      <c r="C549" s="271"/>
      <c r="D549" s="271"/>
      <c r="E549" s="272"/>
      <c r="I549" s="5"/>
    </row>
    <row r="550" spans="1:9" x14ac:dyDescent="0.2">
      <c r="A550" s="3"/>
      <c r="B550" s="91" t="s">
        <v>260</v>
      </c>
      <c r="C550" s="91" t="s">
        <v>8</v>
      </c>
      <c r="D550" s="91" t="s">
        <v>266</v>
      </c>
      <c r="E550" s="91" t="s">
        <v>261</v>
      </c>
      <c r="F550" s="91" t="s">
        <v>262</v>
      </c>
      <c r="G550" s="91" t="s">
        <v>263</v>
      </c>
      <c r="H550" s="91" t="s">
        <v>11</v>
      </c>
      <c r="I550" s="5"/>
    </row>
    <row r="551" spans="1:9" x14ac:dyDescent="0.2">
      <c r="A551" s="3"/>
      <c r="B551" s="6"/>
      <c r="C551" s="7"/>
      <c r="D551" s="7">
        <f>H328</f>
        <v>28.03</v>
      </c>
      <c r="E551" s="7"/>
      <c r="F551" s="7"/>
      <c r="G551" s="7"/>
      <c r="H551" s="8">
        <f>ROUND(IF(PRODUCT(IF(C551=0,1,C551),IF(D551=0,1,D551),IF(E551=0,1,E551),IF(F551=0,1,F551),IF(G551=0,1,G551))=1,0,PRODUCT(IF(C551=0,1,C551),IF(D551=0,1,D551),IF(E551=0,1,E551),IF(F551=0,1,F551),IF(G551=0,1,G551))),2)</f>
        <v>28.03</v>
      </c>
      <c r="I551" s="5"/>
    </row>
    <row r="552" spans="1:9" x14ac:dyDescent="0.2">
      <c r="A552" s="3"/>
      <c r="B552" s="6"/>
      <c r="C552" s="7"/>
      <c r="D552" s="7"/>
      <c r="E552" s="7"/>
      <c r="F552" s="7"/>
      <c r="G552" s="7"/>
      <c r="H552" s="8">
        <f>ROUND(IF(PRODUCT(IF(C552=0,1,C552),IF(E552=0,1,E552),IF(F552=0,1,F552),IF(G552=0,1,G552))=1,0,PRODUCT(IF(C552=0,1,C552),IF(E552=0,1,E552),IF(F552=0,1,F552),IF(G552=0,1,G552))),2)</f>
        <v>0</v>
      </c>
      <c r="I552" s="5"/>
    </row>
    <row r="553" spans="1:9" x14ac:dyDescent="0.2">
      <c r="A553" s="3"/>
      <c r="C553" s="10"/>
      <c r="D553" s="10"/>
      <c r="E553" s="9"/>
      <c r="F553" s="94" t="s">
        <v>11</v>
      </c>
      <c r="G553" s="95" t="s">
        <v>264</v>
      </c>
      <c r="H553" s="11">
        <f>SUM(H551:H551)</f>
        <v>28.03</v>
      </c>
      <c r="I553" s="12" t="s">
        <v>17</v>
      </c>
    </row>
    <row r="554" spans="1:9" ht="14.25" customHeight="1" x14ac:dyDescent="0.2">
      <c r="A554" s="3" t="str">
        <f>'Orçamento Sintético'!A130</f>
        <v xml:space="preserve"> 12.2.2 </v>
      </c>
      <c r="B554" s="270" t="str">
        <f>'Orçamento Sintético'!D130</f>
        <v>EMASSAMENTO COM MASSA LÁTEX, APLICAÇÃO EM TETO, DUAS DEMÃOS, LIXAMENTO MANUAL. AF_04/2023</v>
      </c>
      <c r="C554" s="271"/>
      <c r="D554" s="271"/>
      <c r="E554" s="272"/>
      <c r="I554" s="5"/>
    </row>
    <row r="555" spans="1:9" x14ac:dyDescent="0.2">
      <c r="A555" s="3"/>
      <c r="B555" s="91" t="s">
        <v>260</v>
      </c>
      <c r="C555" s="91" t="s">
        <v>8</v>
      </c>
      <c r="D555" s="91" t="s">
        <v>266</v>
      </c>
      <c r="E555" s="91" t="s">
        <v>261</v>
      </c>
      <c r="F555" s="91" t="s">
        <v>262</v>
      </c>
      <c r="G555" s="91" t="s">
        <v>263</v>
      </c>
      <c r="H555" s="91" t="s">
        <v>11</v>
      </c>
      <c r="I555" s="5"/>
    </row>
    <row r="556" spans="1:9" x14ac:dyDescent="0.2">
      <c r="A556" s="3"/>
      <c r="B556" s="6"/>
      <c r="C556" s="7"/>
      <c r="D556" s="7">
        <f>H553</f>
        <v>28.03</v>
      </c>
      <c r="E556" s="7"/>
      <c r="F556" s="7"/>
      <c r="G556" s="7"/>
      <c r="H556" s="8">
        <f>ROUND(IF(PRODUCT(IF(C556=0,1,C556),IF(D556=0,1,D556),IF(E556=0,1,E556),IF(F556=0,1,F556),IF(G556=0,1,G556))=1,0,PRODUCT(IF(C556=0,1,C556),IF(D556=0,1,D556),IF(E556=0,1,E556),IF(F556=0,1,F556),IF(G556=0,1,G556))),2)</f>
        <v>28.03</v>
      </c>
      <c r="I556" s="5"/>
    </row>
    <row r="557" spans="1:9" x14ac:dyDescent="0.2">
      <c r="A557" s="3"/>
      <c r="B557" s="6"/>
      <c r="C557" s="7"/>
      <c r="D557" s="7"/>
      <c r="E557" s="7"/>
      <c r="F557" s="7"/>
      <c r="G557" s="7"/>
      <c r="H557" s="8">
        <f>ROUND(IF(PRODUCT(IF(C557=0,1,C557),IF(E557=0,1,E557),IF(F557=0,1,F557),IF(G557=0,1,G557))=1,0,PRODUCT(IF(C557=0,1,C557),IF(E557=0,1,E557),IF(F557=0,1,F557),IF(G557=0,1,G557))),2)</f>
        <v>0</v>
      </c>
      <c r="I557" s="5"/>
    </row>
    <row r="558" spans="1:9" x14ac:dyDescent="0.2">
      <c r="A558" s="3"/>
      <c r="C558" s="10"/>
      <c r="D558" s="10"/>
      <c r="E558" s="9"/>
      <c r="F558" s="94" t="s">
        <v>11</v>
      </c>
      <c r="G558" s="95" t="s">
        <v>264</v>
      </c>
      <c r="H558" s="11">
        <f>SUM(H556:H556)</f>
        <v>28.03</v>
      </c>
      <c r="I558" s="12" t="s">
        <v>17</v>
      </c>
    </row>
    <row r="559" spans="1:9" ht="14.25" customHeight="1" x14ac:dyDescent="0.2">
      <c r="A559" s="3" t="str">
        <f>'Orçamento Sintético'!A131</f>
        <v xml:space="preserve"> 12.2.3 </v>
      </c>
      <c r="B559" s="270" t="str">
        <f>'Orçamento Sintético'!D131</f>
        <v>PINTURA LÁTEX ACRÍLICA PREMIUM, APLICAÇÃO MANUAL EM TETO, DUAS DEMÃOS. AF_04/2023</v>
      </c>
      <c r="C559" s="271"/>
      <c r="D559" s="271"/>
      <c r="E559" s="272"/>
      <c r="I559" s="5"/>
    </row>
    <row r="560" spans="1:9" x14ac:dyDescent="0.2">
      <c r="A560" s="3"/>
      <c r="B560" s="91" t="s">
        <v>260</v>
      </c>
      <c r="C560" s="91" t="s">
        <v>8</v>
      </c>
      <c r="D560" s="91" t="s">
        <v>266</v>
      </c>
      <c r="E560" s="91" t="s">
        <v>261</v>
      </c>
      <c r="F560" s="91" t="s">
        <v>262</v>
      </c>
      <c r="G560" s="91" t="s">
        <v>263</v>
      </c>
      <c r="H560" s="91" t="s">
        <v>11</v>
      </c>
      <c r="I560" s="5"/>
    </row>
    <row r="561" spans="1:9" x14ac:dyDescent="0.2">
      <c r="A561" s="3"/>
      <c r="B561" s="6"/>
      <c r="C561" s="7"/>
      <c r="D561" s="7">
        <f>H553</f>
        <v>28.03</v>
      </c>
      <c r="E561" s="7"/>
      <c r="F561" s="7"/>
      <c r="G561" s="7"/>
      <c r="H561" s="8">
        <f>ROUND(IF(PRODUCT(IF(C561=0,1,C561),IF(D561=0,1,D561),IF(E561=0,1,E561),IF(F561=0,1,F561),IF(G561=0,1,G561))=1,0,PRODUCT(IF(C561=0,1,C561),IF(D561=0,1,D561),IF(E561=0,1,E561),IF(F561=0,1,F561),IF(G561=0,1,G561))),2)</f>
        <v>28.03</v>
      </c>
      <c r="I561" s="5"/>
    </row>
    <row r="562" spans="1:9" x14ac:dyDescent="0.2">
      <c r="A562" s="3"/>
      <c r="B562" s="6"/>
      <c r="C562" s="7"/>
      <c r="D562" s="7"/>
      <c r="E562" s="7"/>
      <c r="F562" s="7"/>
      <c r="G562" s="7"/>
      <c r="H562" s="8">
        <f>ROUND(IF(PRODUCT(IF(C562=0,1,C562),IF(E562=0,1,E562),IF(F562=0,1,F562),IF(G562=0,1,G562))=1,0,PRODUCT(IF(C562=0,1,C562),IF(E562=0,1,E562),IF(F562=0,1,F562),IF(G562=0,1,G562))),2)</f>
        <v>0</v>
      </c>
      <c r="I562" s="5"/>
    </row>
    <row r="563" spans="1:9" x14ac:dyDescent="0.2">
      <c r="A563" s="3"/>
      <c r="C563" s="10"/>
      <c r="D563" s="10"/>
      <c r="E563" s="9"/>
      <c r="F563" s="94" t="s">
        <v>11</v>
      </c>
      <c r="G563" s="95" t="s">
        <v>264</v>
      </c>
      <c r="H563" s="11">
        <f>SUM(H561:H561)</f>
        <v>28.03</v>
      </c>
      <c r="I563" s="12" t="s">
        <v>17</v>
      </c>
    </row>
    <row r="564" spans="1:9" x14ac:dyDescent="0.2">
      <c r="A564" s="96" t="str">
        <f>'Orçamento Sintético'!A132</f>
        <v xml:space="preserve"> 12.3 </v>
      </c>
      <c r="B564" s="97" t="str">
        <f>'Orçamento Sintético'!D132</f>
        <v>PAREDES EXTERNAS</v>
      </c>
      <c r="C564" s="273"/>
      <c r="D564" s="274"/>
      <c r="E564" s="274"/>
      <c r="F564" s="274"/>
      <c r="G564" s="274"/>
      <c r="H564" s="274"/>
      <c r="I564" s="275"/>
    </row>
    <row r="565" spans="1:9" ht="14.25" customHeight="1" x14ac:dyDescent="0.2">
      <c r="A565" s="3" t="str">
        <f>'Orçamento Sintético'!A133</f>
        <v xml:space="preserve"> 12.3.1 </v>
      </c>
      <c r="B565" s="270" t="str">
        <f>'Orçamento Sintético'!D133</f>
        <v>APLICAÇÃO MANUAL DE FUNDO SELADOR ACRÍLICO EM PAREDES EXTERNAS DE CASAS. AF_03/2024</v>
      </c>
      <c r="C565" s="271"/>
      <c r="D565" s="271"/>
      <c r="E565" s="272"/>
      <c r="I565" s="5"/>
    </row>
    <row r="566" spans="1:9" x14ac:dyDescent="0.2">
      <c r="A566" s="3"/>
      <c r="B566" s="91" t="s">
        <v>260</v>
      </c>
      <c r="C566" s="91" t="s">
        <v>8</v>
      </c>
      <c r="D566" s="91" t="s">
        <v>266</v>
      </c>
      <c r="E566" s="91" t="s">
        <v>261</v>
      </c>
      <c r="F566" s="91" t="s">
        <v>262</v>
      </c>
      <c r="G566" s="91" t="s">
        <v>263</v>
      </c>
      <c r="H566" s="91" t="s">
        <v>11</v>
      </c>
      <c r="I566" s="5"/>
    </row>
    <row r="567" spans="1:9" x14ac:dyDescent="0.2">
      <c r="A567" s="3"/>
      <c r="B567" s="6" t="s">
        <v>295</v>
      </c>
      <c r="C567" s="7"/>
      <c r="D567" s="7"/>
      <c r="E567" s="7">
        <f>5.2-1.5</f>
        <v>3.7</v>
      </c>
      <c r="F567" s="7"/>
      <c r="G567" s="7">
        <f>2.7-1.5</f>
        <v>1.2000000000000002</v>
      </c>
      <c r="H567" s="8">
        <f t="shared" ref="H567:H568" si="13">ROUND(IF(PRODUCT(IF(C567=0,1,C567),IF(D567=0,1,D567),IF(E567=0,1,E567),IF(F567=0,1,F567),IF(G567=0,1,G567))=1,0,PRODUCT(IF(C567=0,1,C567),IF(D567=0,1,D567),IF(E567=0,1,E567),IF(F567=0,1,F567),IF(G567=0,1,G567))),2)</f>
        <v>4.4400000000000004</v>
      </c>
      <c r="I567" s="5"/>
    </row>
    <row r="568" spans="1:9" x14ac:dyDescent="0.2">
      <c r="A568" s="3"/>
      <c r="B568" s="6" t="s">
        <v>297</v>
      </c>
      <c r="C568" s="7"/>
      <c r="D568" s="7"/>
      <c r="E568" s="7">
        <f>3.25+10.1+10.1+3.25</f>
        <v>26.7</v>
      </c>
      <c r="F568" s="7"/>
      <c r="G568" s="7">
        <f>5-1.5</f>
        <v>3.5</v>
      </c>
      <c r="H568" s="8">
        <f t="shared" si="13"/>
        <v>93.45</v>
      </c>
      <c r="I568" s="5"/>
    </row>
    <row r="569" spans="1:9" x14ac:dyDescent="0.2">
      <c r="A569" s="3"/>
      <c r="B569" s="6" t="s">
        <v>430</v>
      </c>
      <c r="C569" s="7">
        <v>16</v>
      </c>
      <c r="D569" s="7"/>
      <c r="E569" s="7">
        <f>0.5+0.3+0.5+0.3</f>
        <v>1.6</v>
      </c>
      <c r="F569" s="7"/>
      <c r="G569" s="7">
        <v>0.5</v>
      </c>
      <c r="H569" s="8">
        <f t="shared" ref="H569" si="14">ROUND(IF(PRODUCT(IF(C569=0,1,C569),IF(D569=0,1,D569),IF(E569=0,1,E569),IF(F569=0,1,F569),IF(G569=0,1,G569))=1,0,PRODUCT(IF(C569=0,1,C569),IF(D569=0,1,D569),IF(E569=0,1,E569),IF(F569=0,1,F569),IF(G569=0,1,G569))),2)</f>
        <v>12.8</v>
      </c>
      <c r="I569" s="5"/>
    </row>
    <row r="570" spans="1:9" x14ac:dyDescent="0.2">
      <c r="A570" s="3"/>
      <c r="B570" s="6" t="s">
        <v>431</v>
      </c>
      <c r="C570" s="7">
        <v>16</v>
      </c>
      <c r="D570" s="7"/>
      <c r="E570" s="7">
        <v>0.5</v>
      </c>
      <c r="F570" s="7">
        <v>0.3</v>
      </c>
      <c r="G570" s="7"/>
      <c r="H570" s="8">
        <f t="shared" ref="H570" si="15">ROUND(IF(PRODUCT(IF(C570=0,1,C570),IF(D570=0,1,D570),IF(E570=0,1,E570),IF(F570=0,1,F570),IF(G570=0,1,G570))=1,0,PRODUCT(IF(C570=0,1,C570),IF(D570=0,1,D570),IF(E570=0,1,E570),IF(F570=0,1,F570),IF(G570=0,1,G570))),2)</f>
        <v>2.4</v>
      </c>
      <c r="I570" s="5"/>
    </row>
    <row r="571" spans="1:9" x14ac:dyDescent="0.2">
      <c r="B571" s="6"/>
      <c r="C571" s="7"/>
      <c r="D571" s="7"/>
      <c r="E571" s="7"/>
      <c r="F571" s="7"/>
      <c r="G571" s="7"/>
      <c r="H571" s="8"/>
      <c r="I571" s="5"/>
    </row>
    <row r="572" spans="1:9" x14ac:dyDescent="0.2">
      <c r="B572" s="23" t="s">
        <v>287</v>
      </c>
      <c r="C572" s="7"/>
      <c r="D572" s="7"/>
      <c r="E572" s="7"/>
      <c r="F572" s="7"/>
      <c r="G572" s="24"/>
      <c r="H572" s="6"/>
      <c r="I572" s="27"/>
    </row>
    <row r="573" spans="1:9" x14ac:dyDescent="0.2">
      <c r="B573" s="6"/>
      <c r="C573" s="7"/>
      <c r="D573" s="7"/>
      <c r="E573" s="7"/>
      <c r="F573" s="7"/>
      <c r="G573" s="24"/>
      <c r="H573" s="6"/>
      <c r="I573" s="27"/>
    </row>
    <row r="574" spans="1:9" x14ac:dyDescent="0.2">
      <c r="B574" s="16" t="s">
        <v>288</v>
      </c>
      <c r="C574" s="25">
        <v>3</v>
      </c>
      <c r="D574" s="25"/>
      <c r="E574" s="25"/>
      <c r="F574" s="25">
        <v>0.8</v>
      </c>
      <c r="G574" s="25">
        <f>2.1-1.5</f>
        <v>0.60000000000000009</v>
      </c>
      <c r="H574" s="17">
        <f>-ROUND(IF(PRODUCT(IF(C574=0,1,C574),IF(D574=0,1,D574),IF(E574=0,1,E574),IF(F574=0,1,F574),IF(G574=0,1,G574))=1,0,PRODUCT(IF(C574=0,1,C574),IF(D574=0,1,D574),IF(E574=0,1,E574),IF(F574=0,1,F574),IF(G574=0,1,G574))),2)</f>
        <v>-1.44</v>
      </c>
      <c r="I574" s="27"/>
    </row>
    <row r="575" spans="1:9" x14ac:dyDescent="0.2">
      <c r="B575" s="16" t="s">
        <v>289</v>
      </c>
      <c r="C575" s="25">
        <v>2</v>
      </c>
      <c r="D575" s="25"/>
      <c r="E575" s="25"/>
      <c r="F575" s="25">
        <v>0.8</v>
      </c>
      <c r="G575" s="25">
        <v>0.5</v>
      </c>
      <c r="H575" s="17">
        <f>-ROUND(IF(PRODUCT(IF(C575=0,1,C575),IF(D575=0,1,D575),IF(E575=0,1,E575),IF(F575=0,1,F575),IF(G575=0,1,G575))=1,0,PRODUCT(IF(C575=0,1,C575),IF(D575=0,1,D575),IF(E575=0,1,E575),IF(F575=0,1,F575),IF(G575=0,1,G575))),2)</f>
        <v>-0.8</v>
      </c>
      <c r="I575" s="27"/>
    </row>
    <row r="576" spans="1:9" x14ac:dyDescent="0.2">
      <c r="B576" s="16" t="s">
        <v>296</v>
      </c>
      <c r="C576" s="25"/>
      <c r="D576" s="25"/>
      <c r="E576" s="25"/>
      <c r="F576" s="25">
        <v>1.5</v>
      </c>
      <c r="G576" s="25">
        <v>3</v>
      </c>
      <c r="H576" s="17">
        <f>-ROUND(IF(PRODUCT(IF(C576=0,1,C576),IF(D576=0,1,D576),IF(E576=0,1,E576),IF(F576=0,1,F576),IF(G576=0,1,G576))=1,0,PRODUCT(IF(C576=0,1,C576),IF(D576=0,1,D576),IF(E576=0,1,E576),IF(F576=0,1,F576),IF(G576=0,1,G576))),2)</f>
        <v>-4.5</v>
      </c>
      <c r="I576" s="27"/>
    </row>
    <row r="577" spans="1:9" x14ac:dyDescent="0.2">
      <c r="A577" s="3"/>
      <c r="B577" s="6"/>
      <c r="C577" s="7"/>
      <c r="D577" s="7"/>
      <c r="E577" s="7"/>
      <c r="F577" s="7"/>
      <c r="G577" s="7"/>
      <c r="H577" s="8">
        <f>ROUND(IF(PRODUCT(IF(C577=0,1,C577),IF(E577=0,1,E577),IF(F577=0,1,F577),IF(G577=0,1,G577))=1,0,PRODUCT(IF(C577=0,1,C577),IF(E577=0,1,E577),IF(F577=0,1,F577),IF(G577=0,1,G577))),2)</f>
        <v>0</v>
      </c>
      <c r="I577" s="5"/>
    </row>
    <row r="578" spans="1:9" x14ac:dyDescent="0.2">
      <c r="A578" s="3"/>
      <c r="C578" s="10"/>
      <c r="D578" s="10"/>
      <c r="E578" s="9"/>
      <c r="F578" s="94" t="s">
        <v>11</v>
      </c>
      <c r="G578" s="95" t="s">
        <v>264</v>
      </c>
      <c r="H578" s="11">
        <f>SUM(H567:H576)</f>
        <v>106.35000000000001</v>
      </c>
      <c r="I578" s="12" t="s">
        <v>17</v>
      </c>
    </row>
    <row r="579" spans="1:9" ht="14.25" customHeight="1" x14ac:dyDescent="0.2">
      <c r="A579" s="3" t="str">
        <f>'Orçamento Sintético'!A134</f>
        <v xml:space="preserve"> 12.3.2 </v>
      </c>
      <c r="B579" s="270" t="str">
        <f>'Orçamento Sintético'!D134</f>
        <v>APLICAÇÃO MANUAL DE MASSA ACRÍLICA EM PAREDES EXTERNAS DE CASAS, DUAS DEMÃOS. AF_03/2024</v>
      </c>
      <c r="C579" s="271"/>
      <c r="D579" s="271"/>
      <c r="E579" s="272"/>
      <c r="I579" s="5"/>
    </row>
    <row r="580" spans="1:9" x14ac:dyDescent="0.2">
      <c r="A580" s="3"/>
      <c r="B580" s="91" t="s">
        <v>260</v>
      </c>
      <c r="C580" s="91" t="s">
        <v>8</v>
      </c>
      <c r="D580" s="91" t="s">
        <v>266</v>
      </c>
      <c r="E580" s="91" t="s">
        <v>261</v>
      </c>
      <c r="F580" s="91" t="s">
        <v>262</v>
      </c>
      <c r="G580" s="91" t="s">
        <v>263</v>
      </c>
      <c r="H580" s="91" t="s">
        <v>11</v>
      </c>
      <c r="I580" s="5"/>
    </row>
    <row r="581" spans="1:9" x14ac:dyDescent="0.2">
      <c r="A581" s="3"/>
      <c r="B581" s="6"/>
      <c r="C581" s="7"/>
      <c r="D581" s="7">
        <f>H578</f>
        <v>106.35000000000001</v>
      </c>
      <c r="E581" s="7"/>
      <c r="F581" s="7"/>
      <c r="G581" s="7"/>
      <c r="H581" s="8">
        <f>ROUND(IF(PRODUCT(IF(C581=0,1,C581),IF(D581=0,1,D581),IF(E581=0,1,E581),IF(F581=0,1,F581),IF(G581=0,1,G581))=1,0,PRODUCT(IF(C581=0,1,C581),IF(D581=0,1,D581),IF(E581=0,1,E581),IF(F581=0,1,F581),IF(G581=0,1,G581))),2)</f>
        <v>106.35</v>
      </c>
      <c r="I581" s="5"/>
    </row>
    <row r="582" spans="1:9" x14ac:dyDescent="0.2">
      <c r="A582" s="3"/>
      <c r="B582" s="6"/>
      <c r="C582" s="7"/>
      <c r="D582" s="7"/>
      <c r="E582" s="7"/>
      <c r="F582" s="7"/>
      <c r="G582" s="7"/>
      <c r="H582" s="8">
        <f>ROUND(IF(PRODUCT(IF(C582=0,1,C582),IF(E582=0,1,E582),IF(F582=0,1,F582),IF(G582=0,1,G582))=1,0,PRODUCT(IF(C582=0,1,C582),IF(E582=0,1,E582),IF(F582=0,1,F582),IF(G582=0,1,G582))),2)</f>
        <v>0</v>
      </c>
      <c r="I582" s="5"/>
    </row>
    <row r="583" spans="1:9" x14ac:dyDescent="0.2">
      <c r="A583" s="3"/>
      <c r="C583" s="10"/>
      <c r="D583" s="10"/>
      <c r="E583" s="9"/>
      <c r="F583" s="94" t="s">
        <v>11</v>
      </c>
      <c r="G583" s="95" t="s">
        <v>264</v>
      </c>
      <c r="H583" s="11">
        <f>SUM(H581:H581)</f>
        <v>106.35</v>
      </c>
      <c r="I583" s="12" t="s">
        <v>17</v>
      </c>
    </row>
    <row r="584" spans="1:9" ht="14.25" customHeight="1" x14ac:dyDescent="0.2">
      <c r="A584" s="3" t="str">
        <f>'Orçamento Sintético'!A135</f>
        <v xml:space="preserve"> 12.3.3 </v>
      </c>
      <c r="B584" s="270" t="str">
        <f>'Orçamento Sintético'!D135</f>
        <v>APLICAÇÃO MANUAL DE TINTA LÁTEX ACRÍLICA EM PAREDE EXTERNAS DE CASAS, DUAS DEMÃOS. AF_03/2024</v>
      </c>
      <c r="C584" s="271"/>
      <c r="D584" s="271"/>
      <c r="E584" s="272"/>
      <c r="I584" s="5"/>
    </row>
    <row r="585" spans="1:9" x14ac:dyDescent="0.2">
      <c r="A585" s="3"/>
      <c r="B585" s="91" t="s">
        <v>260</v>
      </c>
      <c r="C585" s="91" t="s">
        <v>8</v>
      </c>
      <c r="D585" s="91" t="s">
        <v>266</v>
      </c>
      <c r="E585" s="91" t="s">
        <v>261</v>
      </c>
      <c r="F585" s="91" t="s">
        <v>262</v>
      </c>
      <c r="G585" s="91" t="s">
        <v>263</v>
      </c>
      <c r="H585" s="91" t="s">
        <v>11</v>
      </c>
      <c r="I585" s="5"/>
    </row>
    <row r="586" spans="1:9" x14ac:dyDescent="0.2">
      <c r="A586" s="3"/>
      <c r="B586" s="6"/>
      <c r="C586" s="7"/>
      <c r="D586" s="7">
        <f>H578</f>
        <v>106.35000000000001</v>
      </c>
      <c r="E586" s="7"/>
      <c r="F586" s="7"/>
      <c r="G586" s="7"/>
      <c r="H586" s="8">
        <f>ROUND(IF(PRODUCT(IF(C586=0,1,C586),IF(D586=0,1,D586),IF(E586=0,1,E586),IF(F586=0,1,F586),IF(G586=0,1,G586))=1,0,PRODUCT(IF(C586=0,1,C586),IF(D586=0,1,D586),IF(E586=0,1,E586),IF(F586=0,1,F586),IF(G586=0,1,G586))),2)</f>
        <v>106.35</v>
      </c>
      <c r="I586" s="5"/>
    </row>
    <row r="587" spans="1:9" x14ac:dyDescent="0.2">
      <c r="A587" s="3"/>
      <c r="B587" s="6"/>
      <c r="C587" s="7"/>
      <c r="D587" s="7"/>
      <c r="E587" s="7"/>
      <c r="F587" s="7"/>
      <c r="G587" s="7"/>
      <c r="H587" s="8">
        <f>ROUND(IF(PRODUCT(IF(C587=0,1,C587),IF(E587=0,1,E587),IF(F587=0,1,F587),IF(G587=0,1,G587))=1,0,PRODUCT(IF(C587=0,1,C587),IF(E587=0,1,E587),IF(F587=0,1,F587),IF(G587=0,1,G587))),2)</f>
        <v>0</v>
      </c>
      <c r="I587" s="5"/>
    </row>
    <row r="588" spans="1:9" x14ac:dyDescent="0.2">
      <c r="A588" s="3"/>
      <c r="C588" s="10"/>
      <c r="D588" s="10"/>
      <c r="E588" s="9"/>
      <c r="F588" s="94" t="s">
        <v>11</v>
      </c>
      <c r="G588" s="95" t="s">
        <v>264</v>
      </c>
      <c r="H588" s="11">
        <f>SUM(H586:H586)</f>
        <v>106.35</v>
      </c>
      <c r="I588" s="12" t="s">
        <v>17</v>
      </c>
    </row>
    <row r="589" spans="1:9" x14ac:dyDescent="0.2">
      <c r="A589" s="89" t="str">
        <f>'Orçamento Sintético'!A136</f>
        <v>13.0</v>
      </c>
      <c r="B589" s="90" t="str">
        <f>'Orçamento Sintético'!D136</f>
        <v>INSTALAÇÕES HIDROSSANITÁRIAS</v>
      </c>
      <c r="C589" s="273"/>
      <c r="D589" s="274"/>
      <c r="E589" s="274"/>
      <c r="F589" s="274"/>
      <c r="G589" s="274"/>
      <c r="H589" s="274"/>
      <c r="I589" s="275"/>
    </row>
    <row r="590" spans="1:9" x14ac:dyDescent="0.2">
      <c r="A590" s="96" t="str">
        <f>'Orçamento Sintético'!A137</f>
        <v xml:space="preserve"> 13.1 </v>
      </c>
      <c r="B590" s="97" t="str">
        <f>'Orçamento Sintético'!D137</f>
        <v>INSTALAÇÕES HIDRÁULICAS</v>
      </c>
      <c r="C590" s="273"/>
      <c r="D590" s="274"/>
      <c r="E590" s="274"/>
      <c r="F590" s="274"/>
      <c r="G590" s="274"/>
      <c r="H590" s="274"/>
      <c r="I590" s="275"/>
    </row>
    <row r="591" spans="1:9" ht="23.45" customHeight="1" x14ac:dyDescent="0.2">
      <c r="A591" s="3" t="str">
        <f>'Orçamento Sintético'!A138</f>
        <v xml:space="preserve"> 13.1.1 </v>
      </c>
      <c r="B591" s="270" t="str">
        <f>'Orçamento Sintético'!D138</f>
        <v>BUCHA DE REDUÇÃO, CURTA, PVC, SOLDÁVEL, DN 32 X 25 MM, INSTALADO EM RAMAL OU SUB-RAMAL DE ÁGUA - FORNECIMENTO E INSTALAÇÃO. AF_06/2022</v>
      </c>
      <c r="C591" s="271"/>
      <c r="D591" s="271"/>
      <c r="E591" s="272"/>
      <c r="I591" s="5"/>
    </row>
    <row r="592" spans="1:9" x14ac:dyDescent="0.2">
      <c r="A592" s="3"/>
      <c r="B592" s="91" t="s">
        <v>260</v>
      </c>
      <c r="C592" s="91" t="s">
        <v>8</v>
      </c>
      <c r="D592" s="91" t="s">
        <v>266</v>
      </c>
      <c r="E592" s="91" t="s">
        <v>261</v>
      </c>
      <c r="F592" s="91" t="s">
        <v>262</v>
      </c>
      <c r="G592" s="91" t="s">
        <v>263</v>
      </c>
      <c r="H592" s="91" t="s">
        <v>11</v>
      </c>
      <c r="I592" s="5"/>
    </row>
    <row r="593" spans="1:9" ht="25.5" x14ac:dyDescent="0.2">
      <c r="A593" s="3"/>
      <c r="B593" s="149" t="s">
        <v>492</v>
      </c>
      <c r="C593" s="7">
        <v>4</v>
      </c>
      <c r="D593" s="7"/>
      <c r="E593" s="7"/>
      <c r="F593" s="7"/>
      <c r="G593" s="7"/>
      <c r="H593" s="8">
        <f>ROUND(IF(PRODUCT(IF(C593=0,1,C593),IF(D593=0,1,D593),IF(E593=0,1,E593),IF(F593=0,1,F593),IF(G593=0,1,G593))=1,0,PRODUCT(IF(C593=0,1,C593),IF(D593=0,1,D593),IF(E593=0,1,E593),IF(F593=0,1,F593),IF(G593=0,1,G593))),2)</f>
        <v>4</v>
      </c>
      <c r="I593" s="5"/>
    </row>
    <row r="594" spans="1:9" x14ac:dyDescent="0.2">
      <c r="A594" s="3"/>
      <c r="B594" s="6"/>
      <c r="C594" s="7"/>
      <c r="D594" s="7"/>
      <c r="E594" s="7"/>
      <c r="F594" s="7"/>
      <c r="G594" s="7"/>
      <c r="H594" s="8">
        <f>ROUND(IF(PRODUCT(IF(C594=0,1,C594),IF(E594=0,1,E594),IF(F594=0,1,F594),IF(G594=0,1,G594))=1,0,PRODUCT(IF(C594=0,1,C594),IF(E594=0,1,E594),IF(F594=0,1,F594),IF(G594=0,1,G594))),2)</f>
        <v>0</v>
      </c>
      <c r="I594" s="5"/>
    </row>
    <row r="595" spans="1:9" x14ac:dyDescent="0.2">
      <c r="A595" s="3"/>
      <c r="C595" s="10"/>
      <c r="D595" s="10"/>
      <c r="E595" s="9"/>
      <c r="F595" s="94" t="s">
        <v>11</v>
      </c>
      <c r="G595" s="95" t="s">
        <v>264</v>
      </c>
      <c r="H595" s="11">
        <f>SUM(H593:H593)</f>
        <v>4</v>
      </c>
      <c r="I595" s="12" t="s">
        <v>277</v>
      </c>
    </row>
    <row r="596" spans="1:9" ht="13.5" customHeight="1" x14ac:dyDescent="0.2">
      <c r="A596" s="3" t="str">
        <f>'Orçamento Sintético'!A139</f>
        <v xml:space="preserve"> 13.1.2 </v>
      </c>
      <c r="B596" s="279" t="str">
        <f>'Orçamento Sintético'!D139</f>
        <v>CAP DE PVC RÍGIDO SOLDÁVEL, MARROM, DIÂM = 50MM</v>
      </c>
      <c r="C596" s="280"/>
      <c r="D596" s="280"/>
      <c r="E596" s="281"/>
      <c r="F596" s="162"/>
      <c r="G596" s="162"/>
      <c r="H596" s="162"/>
      <c r="I596" s="163"/>
    </row>
    <row r="597" spans="1:9" x14ac:dyDescent="0.2">
      <c r="A597" s="3"/>
      <c r="B597" s="164" t="s">
        <v>260</v>
      </c>
      <c r="C597" s="164" t="s">
        <v>8</v>
      </c>
      <c r="D597" s="164" t="s">
        <v>266</v>
      </c>
      <c r="E597" s="164" t="s">
        <v>261</v>
      </c>
      <c r="F597" s="164" t="s">
        <v>262</v>
      </c>
      <c r="G597" s="164" t="s">
        <v>263</v>
      </c>
      <c r="H597" s="164" t="s">
        <v>11</v>
      </c>
      <c r="I597" s="163"/>
    </row>
    <row r="598" spans="1:9" ht="25.5" x14ac:dyDescent="0.2">
      <c r="A598" s="3"/>
      <c r="B598" s="165" t="s">
        <v>492</v>
      </c>
      <c r="C598" s="7">
        <v>1</v>
      </c>
      <c r="D598" s="161"/>
      <c r="E598" s="161"/>
      <c r="F598" s="161"/>
      <c r="G598" s="161"/>
      <c r="H598" s="8">
        <f>PRODUCT(C598,D598,E598,F598,G598)</f>
        <v>1</v>
      </c>
      <c r="I598" s="163"/>
    </row>
    <row r="599" spans="1:9" x14ac:dyDescent="0.2">
      <c r="A599" s="3"/>
      <c r="B599" s="166"/>
      <c r="C599" s="161"/>
      <c r="D599" s="161"/>
      <c r="E599" s="161"/>
      <c r="F599" s="161"/>
      <c r="G599" s="161"/>
      <c r="H599" s="8">
        <f>ROUND(IF(PRODUCT(IF(C599=0,1,C599),IF(E599=0,1,E599),IF(F599=0,1,F599),IF(G599=0,1,G599))=1,0,PRODUCT(IF(C599=0,1,C599),IF(E599=0,1,E599),IF(F599=0,1,F599),IF(G599=0,1,G599))),2)</f>
        <v>0</v>
      </c>
      <c r="I599" s="163"/>
    </row>
    <row r="600" spans="1:9" x14ac:dyDescent="0.2">
      <c r="A600" s="3"/>
      <c r="B600" s="162"/>
      <c r="C600" s="167"/>
      <c r="D600" s="167"/>
      <c r="E600" s="168"/>
      <c r="F600" s="169" t="s">
        <v>11</v>
      </c>
      <c r="G600" s="170" t="s">
        <v>264</v>
      </c>
      <c r="H600" s="171">
        <f>SUM(H598:H598)</f>
        <v>1</v>
      </c>
      <c r="I600" s="172" t="s">
        <v>277</v>
      </c>
    </row>
    <row r="601" spans="1:9" ht="24.75" customHeight="1" x14ac:dyDescent="0.2">
      <c r="A601" s="3" t="str">
        <f>'Orçamento Sintético'!A140</f>
        <v xml:space="preserve"> 13.1.3 </v>
      </c>
      <c r="B601" s="279" t="str">
        <f>'Orçamento Sintético'!D140</f>
        <v>JOELHO 90 GRAUS, PVC, SOLDÁVEL, DN 25MM, INSTALADO EM RAMAL OU SUB-RAMAL DE ÁGUA - FORNECIMENTO E INSTALAÇÃO. AF_06/2022</v>
      </c>
      <c r="C601" s="280"/>
      <c r="D601" s="280"/>
      <c r="E601" s="281"/>
      <c r="F601" s="162"/>
      <c r="G601" s="162"/>
      <c r="H601" s="162"/>
      <c r="I601" s="163"/>
    </row>
    <row r="602" spans="1:9" x14ac:dyDescent="0.2">
      <c r="A602" s="3"/>
      <c r="B602" s="164" t="s">
        <v>260</v>
      </c>
      <c r="C602" s="164" t="s">
        <v>8</v>
      </c>
      <c r="D602" s="164" t="s">
        <v>266</v>
      </c>
      <c r="E602" s="164" t="s">
        <v>261</v>
      </c>
      <c r="F602" s="164" t="s">
        <v>262</v>
      </c>
      <c r="G602" s="164" t="s">
        <v>263</v>
      </c>
      <c r="H602" s="164" t="s">
        <v>11</v>
      </c>
      <c r="I602" s="163"/>
    </row>
    <row r="603" spans="1:9" ht="25.5" x14ac:dyDescent="0.2">
      <c r="A603" s="3"/>
      <c r="B603" s="165" t="s">
        <v>492</v>
      </c>
      <c r="C603" s="7">
        <v>11</v>
      </c>
      <c r="D603" s="161"/>
      <c r="E603" s="161"/>
      <c r="F603" s="161"/>
      <c r="G603" s="161"/>
      <c r="H603" s="8">
        <f>ROUND(IF(PRODUCT(IF(C603=0,1,C603),IF(D603=0,1,D603),IF(E603=0,1,E603),IF(F603=0,1,F603),IF(G603=0,1,G603))=1,0,PRODUCT(IF(C603=0,1,C603),IF(D603=0,1,D603),IF(E603=0,1,E603),IF(F603=0,1,F603),IF(G603=0,1,G603))),2)</f>
        <v>11</v>
      </c>
      <c r="I603" s="163"/>
    </row>
    <row r="604" spans="1:9" x14ac:dyDescent="0.2">
      <c r="A604" s="3"/>
      <c r="B604" s="166"/>
      <c r="C604" s="161"/>
      <c r="D604" s="161"/>
      <c r="E604" s="161"/>
      <c r="F604" s="161"/>
      <c r="G604" s="161"/>
      <c r="H604" s="8">
        <f>ROUND(IF(PRODUCT(IF(C604=0,1,C604),IF(E604=0,1,E604),IF(F604=0,1,F604),IF(G604=0,1,G604))=1,0,PRODUCT(IF(C604=0,1,C604),IF(E604=0,1,E604),IF(F604=0,1,F604),IF(G604=0,1,G604))),2)</f>
        <v>0</v>
      </c>
      <c r="I604" s="163"/>
    </row>
    <row r="605" spans="1:9" x14ac:dyDescent="0.2">
      <c r="A605" s="3"/>
      <c r="B605" s="162"/>
      <c r="C605" s="167"/>
      <c r="D605" s="167"/>
      <c r="E605" s="168"/>
      <c r="F605" s="169" t="s">
        <v>11</v>
      </c>
      <c r="G605" s="170" t="s">
        <v>264</v>
      </c>
      <c r="H605" s="171">
        <f>SUM(H603:H603)</f>
        <v>11</v>
      </c>
      <c r="I605" s="172" t="s">
        <v>277</v>
      </c>
    </row>
    <row r="606" spans="1:9" ht="24.75" customHeight="1" x14ac:dyDescent="0.2">
      <c r="A606" s="3" t="str">
        <f>'Orçamento Sintético'!A141</f>
        <v xml:space="preserve"> 13.1.4 </v>
      </c>
      <c r="B606" s="279" t="str">
        <f>'Orçamento Sintético'!D141</f>
        <v>JOELHO 90 GRAUS, PVC, SOLDÁVEL, DN 32MM, INSTALADO EM RAMAL DE DISTRIBUIÇÃO DE ÁGUA - FORNECIMENTO E INSTALAÇÃO. AF_06/2022</v>
      </c>
      <c r="C606" s="280"/>
      <c r="D606" s="280"/>
      <c r="E606" s="281"/>
      <c r="F606" s="162"/>
      <c r="G606" s="162"/>
      <c r="H606" s="162"/>
      <c r="I606" s="163"/>
    </row>
    <row r="607" spans="1:9" x14ac:dyDescent="0.2">
      <c r="A607" s="3"/>
      <c r="B607" s="164" t="s">
        <v>260</v>
      </c>
      <c r="C607" s="164" t="s">
        <v>8</v>
      </c>
      <c r="D607" s="164" t="s">
        <v>266</v>
      </c>
      <c r="E607" s="164" t="s">
        <v>261</v>
      </c>
      <c r="F607" s="164" t="s">
        <v>262</v>
      </c>
      <c r="G607" s="164" t="s">
        <v>263</v>
      </c>
      <c r="H607" s="164" t="s">
        <v>11</v>
      </c>
      <c r="I607" s="163"/>
    </row>
    <row r="608" spans="1:9" ht="25.5" x14ac:dyDescent="0.2">
      <c r="A608" s="3"/>
      <c r="B608" s="165" t="s">
        <v>492</v>
      </c>
      <c r="C608" s="7">
        <v>16</v>
      </c>
      <c r="D608" s="161"/>
      <c r="E608" s="161"/>
      <c r="F608" s="161"/>
      <c r="G608" s="161"/>
      <c r="H608" s="8">
        <f>ROUND(IF(PRODUCT(IF(C608=0,1,C608),IF(D608=0,1,D608),IF(E608=0,1,E608),IF(F608=0,1,F608),IF(G608=0,1,G608))=1,0,PRODUCT(IF(C608=0,1,C608),IF(D608=0,1,D608),IF(E608=0,1,E608),IF(F608=0,1,F608),IF(G608=0,1,G608))),2)</f>
        <v>16</v>
      </c>
      <c r="I608" s="163"/>
    </row>
    <row r="609" spans="1:9" x14ac:dyDescent="0.2">
      <c r="A609" s="3"/>
      <c r="B609" s="166"/>
      <c r="C609" s="161"/>
      <c r="D609" s="161"/>
      <c r="E609" s="161"/>
      <c r="F609" s="161"/>
      <c r="G609" s="161"/>
      <c r="H609" s="8">
        <f>ROUND(IF(PRODUCT(IF(C609=0,1,C609),IF(E609=0,1,E609),IF(F609=0,1,F609),IF(G609=0,1,G609))=1,0,PRODUCT(IF(C609=0,1,C609),IF(E609=0,1,E609),IF(F609=0,1,F609),IF(G609=0,1,G609))),2)</f>
        <v>0</v>
      </c>
      <c r="I609" s="163"/>
    </row>
    <row r="610" spans="1:9" x14ac:dyDescent="0.2">
      <c r="A610" s="3"/>
      <c r="B610" s="162"/>
      <c r="C610" s="167"/>
      <c r="D610" s="167"/>
      <c r="E610" s="168"/>
      <c r="F610" s="169" t="s">
        <v>11</v>
      </c>
      <c r="G610" s="170" t="s">
        <v>264</v>
      </c>
      <c r="H610" s="171">
        <f>SUM(H608:H608)</f>
        <v>16</v>
      </c>
      <c r="I610" s="172" t="s">
        <v>277</v>
      </c>
    </row>
    <row r="611" spans="1:9" ht="23.25" customHeight="1" x14ac:dyDescent="0.2">
      <c r="A611" s="3" t="str">
        <f>'Orçamento Sintético'!A142</f>
        <v xml:space="preserve"> 13.1.5 </v>
      </c>
      <c r="B611" s="279" t="str">
        <f>'Orçamento Sintético'!D142</f>
        <v>JOELHO 90 GRAUS, PVC, SOLDÁVEL, DN 50MM, INSTALADO EM RAMAL DE DISTRIBUIÇÃO DE ÁGUA - FORNECIMENTO E INSTALAÇÃO. AF_06/2022</v>
      </c>
      <c r="C611" s="280"/>
      <c r="D611" s="280"/>
      <c r="E611" s="281"/>
      <c r="F611" s="162"/>
      <c r="G611" s="162"/>
      <c r="H611" s="162"/>
      <c r="I611" s="163"/>
    </row>
    <row r="612" spans="1:9" x14ac:dyDescent="0.2">
      <c r="A612" s="3"/>
      <c r="B612" s="164" t="s">
        <v>260</v>
      </c>
      <c r="C612" s="164" t="s">
        <v>8</v>
      </c>
      <c r="D612" s="164" t="s">
        <v>266</v>
      </c>
      <c r="E612" s="164" t="s">
        <v>261</v>
      </c>
      <c r="F612" s="164" t="s">
        <v>262</v>
      </c>
      <c r="G612" s="164" t="s">
        <v>263</v>
      </c>
      <c r="H612" s="164" t="s">
        <v>11</v>
      </c>
      <c r="I612" s="163"/>
    </row>
    <row r="613" spans="1:9" ht="25.5" x14ac:dyDescent="0.2">
      <c r="A613" s="3"/>
      <c r="B613" s="165" t="s">
        <v>492</v>
      </c>
      <c r="C613" s="7">
        <v>7</v>
      </c>
      <c r="D613" s="161"/>
      <c r="E613" s="161"/>
      <c r="F613" s="161"/>
      <c r="G613" s="161"/>
      <c r="H613" s="8">
        <f>ROUND(IF(PRODUCT(IF(C613=0,1,C613),IF(D613=0,1,D613),IF(E613=0,1,E613),IF(F613=0,1,F613),IF(G613=0,1,G613))=1,0,PRODUCT(IF(C613=0,1,C613),IF(D613=0,1,D613),IF(E613=0,1,E613),IF(F613=0,1,F613),IF(G613=0,1,G613))),2)</f>
        <v>7</v>
      </c>
      <c r="I613" s="163"/>
    </row>
    <row r="614" spans="1:9" x14ac:dyDescent="0.2">
      <c r="A614" s="3"/>
      <c r="B614" s="166"/>
      <c r="C614" s="161"/>
      <c r="D614" s="161"/>
      <c r="E614" s="161"/>
      <c r="F614" s="161"/>
      <c r="G614" s="161"/>
      <c r="H614" s="8">
        <f>ROUND(IF(PRODUCT(IF(C614=0,1,C614),IF(E614=0,1,E614),IF(F614=0,1,F614),IF(G614=0,1,G614))=1,0,PRODUCT(IF(C614=0,1,C614),IF(E614=0,1,E614),IF(F614=0,1,F614),IF(G614=0,1,G614))),2)</f>
        <v>0</v>
      </c>
      <c r="I614" s="163"/>
    </row>
    <row r="615" spans="1:9" x14ac:dyDescent="0.2">
      <c r="A615" s="3"/>
      <c r="B615" s="162"/>
      <c r="C615" s="167"/>
      <c r="D615" s="167"/>
      <c r="E615" s="168"/>
      <c r="F615" s="169" t="s">
        <v>11</v>
      </c>
      <c r="G615" s="170" t="s">
        <v>264</v>
      </c>
      <c r="H615" s="171">
        <f>SUM(H613:H613)</f>
        <v>7</v>
      </c>
      <c r="I615" s="172" t="s">
        <v>277</v>
      </c>
    </row>
    <row r="616" spans="1:9" ht="24.75" customHeight="1" x14ac:dyDescent="0.2">
      <c r="A616" s="3" t="str">
        <f>'Orçamento Sintético'!A143</f>
        <v xml:space="preserve"> 13.1.6 </v>
      </c>
      <c r="B616" s="279" t="str">
        <f>'Orçamento Sintético'!D143</f>
        <v>JOELHO 90 GRAUS COM BUCHA DE LATÃO, PVC, SOLDÁVEL, DN 25MM, X 3/4  INSTALADO EM RAMAL OU SUB-RAMAL DE ÁGUA - FORNECIMENTO E INSTALAÇÃO. AF_06/2022</v>
      </c>
      <c r="C616" s="280"/>
      <c r="D616" s="280"/>
      <c r="E616" s="281"/>
      <c r="F616" s="162"/>
      <c r="G616" s="162"/>
      <c r="H616" s="162"/>
      <c r="I616" s="163"/>
    </row>
    <row r="617" spans="1:9" x14ac:dyDescent="0.2">
      <c r="A617" s="3"/>
      <c r="B617" s="164" t="s">
        <v>260</v>
      </c>
      <c r="C617" s="164" t="s">
        <v>8</v>
      </c>
      <c r="D617" s="164" t="s">
        <v>266</v>
      </c>
      <c r="E617" s="164" t="s">
        <v>261</v>
      </c>
      <c r="F617" s="164" t="s">
        <v>262</v>
      </c>
      <c r="G617" s="164" t="s">
        <v>263</v>
      </c>
      <c r="H617" s="164" t="s">
        <v>11</v>
      </c>
      <c r="I617" s="163"/>
    </row>
    <row r="618" spans="1:9" ht="25.5" x14ac:dyDescent="0.2">
      <c r="A618" s="3"/>
      <c r="B618" s="165" t="s">
        <v>492</v>
      </c>
      <c r="C618" s="7">
        <v>10</v>
      </c>
      <c r="D618" s="161"/>
      <c r="E618" s="161"/>
      <c r="F618" s="161"/>
      <c r="G618" s="161"/>
      <c r="H618" s="8">
        <f>ROUND(IF(PRODUCT(IF(C618=0,1,C618),IF(D618=0,1,D618),IF(E618=0,1,E618),IF(F618=0,1,F618),IF(G618=0,1,G618))=1,0,PRODUCT(IF(C618=0,1,C618),IF(D618=0,1,D618),IF(E618=0,1,E618),IF(F618=0,1,F618),IF(G618=0,1,G618))),2)</f>
        <v>10</v>
      </c>
      <c r="I618" s="163"/>
    </row>
    <row r="619" spans="1:9" x14ac:dyDescent="0.2">
      <c r="A619" s="3"/>
      <c r="B619" s="166"/>
      <c r="C619" s="161"/>
      <c r="D619" s="161"/>
      <c r="E619" s="161"/>
      <c r="F619" s="161"/>
      <c r="G619" s="161"/>
      <c r="H619" s="8">
        <f>ROUND(IF(PRODUCT(IF(C619=0,1,C619),IF(E619=0,1,E619),IF(F619=0,1,F619),IF(G619=0,1,G619))=1,0,PRODUCT(IF(C619=0,1,C619),IF(E619=0,1,E619),IF(F619=0,1,F619),IF(G619=0,1,G619))),2)</f>
        <v>0</v>
      </c>
      <c r="I619" s="163"/>
    </row>
    <row r="620" spans="1:9" x14ac:dyDescent="0.2">
      <c r="A620" s="3"/>
      <c r="B620" s="162"/>
      <c r="C620" s="167"/>
      <c r="D620" s="167"/>
      <c r="E620" s="168"/>
      <c r="F620" s="169" t="s">
        <v>11</v>
      </c>
      <c r="G620" s="170" t="s">
        <v>264</v>
      </c>
      <c r="H620" s="171">
        <f>SUM(H618:H618)</f>
        <v>10</v>
      </c>
      <c r="I620" s="172" t="s">
        <v>277</v>
      </c>
    </row>
    <row r="621" spans="1:9" ht="24.75" customHeight="1" x14ac:dyDescent="0.2">
      <c r="A621" s="3" t="str">
        <f>'Orçamento Sintético'!A144</f>
        <v xml:space="preserve"> 13.1.7 </v>
      </c>
      <c r="B621" s="279" t="str">
        <f>'Orçamento Sintético'!D144</f>
        <v>TE DE REDUÇÃO, 90 GRAUS, PVC, SOLDÁVEL, DN 50 MM X 32 MM, INSTALADO EM RAMAL DE DISTRIBUIÇÃO DE ÁGUA - FORNECIMENTO E INSTALAÇÃO. AF_06/2022</v>
      </c>
      <c r="C621" s="280"/>
      <c r="D621" s="280"/>
      <c r="E621" s="281"/>
      <c r="F621" s="162"/>
      <c r="G621" s="162"/>
      <c r="H621" s="162"/>
      <c r="I621" s="163"/>
    </row>
    <row r="622" spans="1:9" x14ac:dyDescent="0.2">
      <c r="A622" s="3"/>
      <c r="B622" s="164" t="s">
        <v>260</v>
      </c>
      <c r="C622" s="164" t="s">
        <v>8</v>
      </c>
      <c r="D622" s="164" t="s">
        <v>266</v>
      </c>
      <c r="E622" s="164" t="s">
        <v>261</v>
      </c>
      <c r="F622" s="164" t="s">
        <v>262</v>
      </c>
      <c r="G622" s="164" t="s">
        <v>263</v>
      </c>
      <c r="H622" s="164" t="s">
        <v>11</v>
      </c>
      <c r="I622" s="163"/>
    </row>
    <row r="623" spans="1:9" ht="25.5" x14ac:dyDescent="0.2">
      <c r="A623" s="3"/>
      <c r="B623" s="165" t="s">
        <v>492</v>
      </c>
      <c r="C623" s="7">
        <v>4</v>
      </c>
      <c r="D623" s="161"/>
      <c r="E623" s="161"/>
      <c r="F623" s="161"/>
      <c r="G623" s="161"/>
      <c r="H623" s="8">
        <f>ROUND(IF(PRODUCT(IF(C623=0,1,C623),IF(D623=0,1,D623),IF(E623=0,1,E623),IF(F623=0,1,F623),IF(G623=0,1,G623))=1,0,PRODUCT(IF(C623=0,1,C623),IF(D623=0,1,D623),IF(E623=0,1,E623),IF(F623=0,1,F623),IF(G623=0,1,G623))),2)</f>
        <v>4</v>
      </c>
      <c r="I623" s="163"/>
    </row>
    <row r="624" spans="1:9" x14ac:dyDescent="0.2">
      <c r="A624" s="3"/>
      <c r="B624" s="166"/>
      <c r="C624" s="161"/>
      <c r="D624" s="161"/>
      <c r="E624" s="161"/>
      <c r="F624" s="161"/>
      <c r="G624" s="161"/>
      <c r="H624" s="8">
        <f>ROUND(IF(PRODUCT(IF(C624=0,1,C624),IF(E624=0,1,E624),IF(F624=0,1,F624),IF(G624=0,1,G624))=1,0,PRODUCT(IF(C624=0,1,C624),IF(E624=0,1,E624),IF(F624=0,1,F624),IF(G624=0,1,G624))),2)</f>
        <v>0</v>
      </c>
      <c r="I624" s="163"/>
    </row>
    <row r="625" spans="1:9" x14ac:dyDescent="0.2">
      <c r="A625" s="3"/>
      <c r="B625" s="162"/>
      <c r="C625" s="167"/>
      <c r="D625" s="167"/>
      <c r="E625" s="168"/>
      <c r="F625" s="169" t="s">
        <v>11</v>
      </c>
      <c r="G625" s="170" t="s">
        <v>264</v>
      </c>
      <c r="H625" s="171">
        <f>SUM(H623:H623)</f>
        <v>4</v>
      </c>
      <c r="I625" s="172" t="s">
        <v>277</v>
      </c>
    </row>
    <row r="626" spans="1:9" ht="23.25" customHeight="1" x14ac:dyDescent="0.2">
      <c r="A626" s="3" t="str">
        <f>'Orçamento Sintético'!A145</f>
        <v xml:space="preserve"> 13.1.8 </v>
      </c>
      <c r="B626" s="279" t="str">
        <f>'Orçamento Sintético'!D145</f>
        <v>TE, PVC, SOLDÁVEL, DN 25MM, INSTALADO EM RAMAL OU SUB-RAMAL DE ÁGUA - FORNECIMENTO E INSTALAÇÃO. AF_06/2022</v>
      </c>
      <c r="C626" s="280"/>
      <c r="D626" s="280"/>
      <c r="E626" s="281"/>
      <c r="F626" s="162"/>
      <c r="G626" s="162"/>
      <c r="H626" s="162"/>
      <c r="I626" s="163"/>
    </row>
    <row r="627" spans="1:9" x14ac:dyDescent="0.2">
      <c r="A627" s="3"/>
      <c r="B627" s="164" t="s">
        <v>260</v>
      </c>
      <c r="C627" s="164" t="s">
        <v>8</v>
      </c>
      <c r="D627" s="164" t="s">
        <v>266</v>
      </c>
      <c r="E627" s="164" t="s">
        <v>261</v>
      </c>
      <c r="F627" s="164" t="s">
        <v>262</v>
      </c>
      <c r="G627" s="164" t="s">
        <v>263</v>
      </c>
      <c r="H627" s="164" t="s">
        <v>11</v>
      </c>
      <c r="I627" s="163"/>
    </row>
    <row r="628" spans="1:9" ht="25.5" x14ac:dyDescent="0.2">
      <c r="A628" s="3"/>
      <c r="B628" s="165" t="s">
        <v>492</v>
      </c>
      <c r="C628" s="7">
        <v>7</v>
      </c>
      <c r="D628" s="161"/>
      <c r="E628" s="161"/>
      <c r="F628" s="161"/>
      <c r="G628" s="161"/>
      <c r="H628" s="8">
        <f>ROUND(IF(PRODUCT(IF(C628=0,1,C628),IF(D628=0,1,D628),IF(E628=0,1,E628),IF(F628=0,1,F628),IF(G628=0,1,G628))=1,0,PRODUCT(IF(C628=0,1,C628),IF(D628=0,1,D628),IF(E628=0,1,E628),IF(F628=0,1,F628),IF(G628=0,1,G628))),2)</f>
        <v>7</v>
      </c>
      <c r="I628" s="163"/>
    </row>
    <row r="629" spans="1:9" x14ac:dyDescent="0.2">
      <c r="A629" s="3"/>
      <c r="B629" s="166"/>
      <c r="C629" s="161"/>
      <c r="D629" s="161"/>
      <c r="E629" s="161"/>
      <c r="F629" s="161"/>
      <c r="G629" s="161"/>
      <c r="H629" s="8">
        <f>ROUND(IF(PRODUCT(IF(C629=0,1,C629),IF(E629=0,1,E629),IF(F629=0,1,F629),IF(G629=0,1,G629))=1,0,PRODUCT(IF(C629=0,1,C629),IF(E629=0,1,E629),IF(F629=0,1,F629),IF(G629=0,1,G629))),2)</f>
        <v>0</v>
      </c>
      <c r="I629" s="163"/>
    </row>
    <row r="630" spans="1:9" x14ac:dyDescent="0.2">
      <c r="A630" s="3"/>
      <c r="B630" s="162"/>
      <c r="C630" s="167"/>
      <c r="D630" s="167"/>
      <c r="E630" s="168"/>
      <c r="F630" s="169" t="s">
        <v>11</v>
      </c>
      <c r="G630" s="170" t="s">
        <v>264</v>
      </c>
      <c r="H630" s="171">
        <f>SUM(H628:H628)</f>
        <v>7</v>
      </c>
      <c r="I630" s="172" t="s">
        <v>277</v>
      </c>
    </row>
    <row r="631" spans="1:9" ht="24.75" customHeight="1" x14ac:dyDescent="0.2">
      <c r="A631" s="3" t="str">
        <f>'Orçamento Sintético'!A146</f>
        <v xml:space="preserve"> 13.1.9 </v>
      </c>
      <c r="B631" s="279" t="str">
        <f>'Orçamento Sintético'!D146</f>
        <v>TE, PVC, SOLDÁVEL, DN 50MM, INSTALADO EM RAMAL DE DISTRIBUIÇÃO DE ÁGUA - FORNECIMENTO E INSTALAÇÃO. AF_06/2022</v>
      </c>
      <c r="C631" s="280"/>
      <c r="D631" s="280"/>
      <c r="E631" s="281"/>
      <c r="F631" s="162"/>
      <c r="G631" s="162"/>
      <c r="H631" s="162"/>
      <c r="I631" s="163"/>
    </row>
    <row r="632" spans="1:9" x14ac:dyDescent="0.2">
      <c r="A632" s="3"/>
      <c r="B632" s="164" t="s">
        <v>260</v>
      </c>
      <c r="C632" s="164" t="s">
        <v>8</v>
      </c>
      <c r="D632" s="164" t="s">
        <v>266</v>
      </c>
      <c r="E632" s="164" t="s">
        <v>261</v>
      </c>
      <c r="F632" s="164" t="s">
        <v>262</v>
      </c>
      <c r="G632" s="164" t="s">
        <v>263</v>
      </c>
      <c r="H632" s="164" t="s">
        <v>11</v>
      </c>
      <c r="I632" s="163"/>
    </row>
    <row r="633" spans="1:9" ht="25.5" x14ac:dyDescent="0.2">
      <c r="A633" s="3"/>
      <c r="B633" s="165" t="s">
        <v>492</v>
      </c>
      <c r="C633" s="7">
        <v>5</v>
      </c>
      <c r="D633" s="161"/>
      <c r="E633" s="161"/>
      <c r="F633" s="161"/>
      <c r="G633" s="161"/>
      <c r="H633" s="8">
        <f>ROUND(IF(PRODUCT(IF(C633=0,1,C633),IF(D633=0,1,D633),IF(E633=0,1,E633),IF(F633=0,1,F633),IF(G633=0,1,G633))=1,0,PRODUCT(IF(C633=0,1,C633),IF(D633=0,1,D633),IF(E633=0,1,E633),IF(F633=0,1,F633),IF(G633=0,1,G633))),2)</f>
        <v>5</v>
      </c>
      <c r="I633" s="163"/>
    </row>
    <row r="634" spans="1:9" x14ac:dyDescent="0.2">
      <c r="A634" s="3"/>
      <c r="B634" s="166"/>
      <c r="C634" s="161"/>
      <c r="D634" s="161"/>
      <c r="E634" s="161"/>
      <c r="F634" s="161"/>
      <c r="G634" s="161"/>
      <c r="H634" s="8">
        <f>ROUND(IF(PRODUCT(IF(C634=0,1,C634),IF(E634=0,1,E634),IF(F634=0,1,F634),IF(G634=0,1,G634))=1,0,PRODUCT(IF(C634=0,1,C634),IF(E634=0,1,E634),IF(F634=0,1,F634),IF(G634=0,1,G634))),2)</f>
        <v>0</v>
      </c>
      <c r="I634" s="163"/>
    </row>
    <row r="635" spans="1:9" x14ac:dyDescent="0.2">
      <c r="A635" s="3"/>
      <c r="B635" s="162"/>
      <c r="C635" s="167"/>
      <c r="D635" s="167"/>
      <c r="E635" s="168"/>
      <c r="F635" s="169" t="s">
        <v>11</v>
      </c>
      <c r="G635" s="170" t="s">
        <v>264</v>
      </c>
      <c r="H635" s="171">
        <f>SUM(H633:H633)</f>
        <v>5</v>
      </c>
      <c r="I635" s="172" t="s">
        <v>277</v>
      </c>
    </row>
    <row r="636" spans="1:9" ht="23.25" customHeight="1" x14ac:dyDescent="0.2">
      <c r="A636" s="3" t="str">
        <f>'Orçamento Sintético'!A147</f>
        <v xml:space="preserve"> 13.1.10 </v>
      </c>
      <c r="B636" s="279" t="str">
        <f>'Orçamento Sintético'!D147</f>
        <v>TÊ COM BUCHA DE LATÃO NA BOLSA CENTRAL, PVC, SOLDÁVEL, DN 25MM X 3/4 , INSTALADO EM RAMAL OU SUB-RAMAL DE ÁGUA - FORNECIMENTO E INSTALAÇÃO. AF_06/2022</v>
      </c>
      <c r="C636" s="280"/>
      <c r="D636" s="280"/>
      <c r="E636" s="281"/>
      <c r="F636" s="162"/>
      <c r="G636" s="162"/>
      <c r="H636" s="162"/>
      <c r="I636" s="163"/>
    </row>
    <row r="637" spans="1:9" x14ac:dyDescent="0.2">
      <c r="A637" s="3"/>
      <c r="B637" s="164" t="s">
        <v>260</v>
      </c>
      <c r="C637" s="164" t="s">
        <v>8</v>
      </c>
      <c r="D637" s="164" t="s">
        <v>266</v>
      </c>
      <c r="E637" s="164" t="s">
        <v>261</v>
      </c>
      <c r="F637" s="164" t="s">
        <v>262</v>
      </c>
      <c r="G637" s="164" t="s">
        <v>263</v>
      </c>
      <c r="H637" s="164" t="s">
        <v>11</v>
      </c>
      <c r="I637" s="163"/>
    </row>
    <row r="638" spans="1:9" ht="25.5" x14ac:dyDescent="0.2">
      <c r="A638" s="3"/>
      <c r="B638" s="165" t="s">
        <v>492</v>
      </c>
      <c r="C638" s="7">
        <v>2</v>
      </c>
      <c r="D638" s="161"/>
      <c r="E638" s="161"/>
      <c r="F638" s="161"/>
      <c r="G638" s="161"/>
      <c r="H638" s="8">
        <f>ROUND(IF(PRODUCT(IF(C638=0,1,C638),IF(D638=0,1,D638),IF(E638=0,1,E638),IF(F638=0,1,F638),IF(G638=0,1,G638))=1,0,PRODUCT(IF(C638=0,1,C638),IF(D638=0,1,D638),IF(E638=0,1,E638),IF(F638=0,1,F638),IF(G638=0,1,G638))),2)</f>
        <v>2</v>
      </c>
      <c r="I638" s="163"/>
    </row>
    <row r="639" spans="1:9" x14ac:dyDescent="0.2">
      <c r="A639" s="3"/>
      <c r="B639" s="166"/>
      <c r="C639" s="161"/>
      <c r="D639" s="161"/>
      <c r="E639" s="161"/>
      <c r="F639" s="161"/>
      <c r="G639" s="161"/>
      <c r="H639" s="8">
        <f>ROUND(IF(PRODUCT(IF(C639=0,1,C639),IF(E639=0,1,E639),IF(F639=0,1,F639),IF(G639=0,1,G639))=1,0,PRODUCT(IF(C639=0,1,C639),IF(E639=0,1,E639),IF(F639=0,1,F639),IF(G639=0,1,G639))),2)</f>
        <v>0</v>
      </c>
      <c r="I639" s="163"/>
    </row>
    <row r="640" spans="1:9" x14ac:dyDescent="0.2">
      <c r="A640" s="3"/>
      <c r="B640" s="162"/>
      <c r="C640" s="167"/>
      <c r="D640" s="167"/>
      <c r="E640" s="168"/>
      <c r="F640" s="169" t="s">
        <v>11</v>
      </c>
      <c r="G640" s="170" t="s">
        <v>264</v>
      </c>
      <c r="H640" s="171">
        <f>SUM(H638:H638)</f>
        <v>2</v>
      </c>
      <c r="I640" s="172" t="s">
        <v>277</v>
      </c>
    </row>
    <row r="641" spans="1:9" ht="24.75" customHeight="1" x14ac:dyDescent="0.2">
      <c r="A641" s="3" t="str">
        <f>'Orçamento Sintético'!A148</f>
        <v xml:space="preserve"> 13.1.11 </v>
      </c>
      <c r="B641" s="279" t="str">
        <f>'Orçamento Sintético'!D148</f>
        <v>TUBO, PVC, SOLDÁVEL, DN 25MM, INSTALADO EM RAMAL OU SUB-RAMAL DE ÁGUA - FORNECIMENTO E INSTALAÇÃO. AF_06/2022</v>
      </c>
      <c r="C641" s="280"/>
      <c r="D641" s="280"/>
      <c r="E641" s="281"/>
      <c r="F641" s="162"/>
      <c r="G641" s="162"/>
      <c r="H641" s="162"/>
      <c r="I641" s="163"/>
    </row>
    <row r="642" spans="1:9" x14ac:dyDescent="0.2">
      <c r="A642" s="3"/>
      <c r="B642" s="164" t="s">
        <v>260</v>
      </c>
      <c r="C642" s="164" t="s">
        <v>8</v>
      </c>
      <c r="D642" s="164" t="s">
        <v>266</v>
      </c>
      <c r="E642" s="164" t="s">
        <v>261</v>
      </c>
      <c r="F642" s="164" t="s">
        <v>262</v>
      </c>
      <c r="G642" s="164" t="s">
        <v>263</v>
      </c>
      <c r="H642" s="164" t="s">
        <v>11</v>
      </c>
      <c r="I642" s="163"/>
    </row>
    <row r="643" spans="1:9" ht="25.5" x14ac:dyDescent="0.2">
      <c r="A643" s="3"/>
      <c r="B643" s="165" t="s">
        <v>492</v>
      </c>
      <c r="C643" s="161"/>
      <c r="D643" s="161"/>
      <c r="E643" s="7">
        <v>45.61</v>
      </c>
      <c r="F643" s="161"/>
      <c r="G643" s="161"/>
      <c r="H643" s="8">
        <f>ROUND(IF(PRODUCT(IF(C643=0,1,C643),IF(D643=0,1,D643),IF(E643=0,1,E643),IF(F643=0,1,F643),IF(G643=0,1,G643))=1,0,PRODUCT(IF(C643=0,1,C643),IF(D643=0,1,D643),IF(E643=0,1,E643),IF(F643=0,1,F643),IF(G643=0,1,G643))),2)</f>
        <v>45.61</v>
      </c>
      <c r="I643" s="163"/>
    </row>
    <row r="644" spans="1:9" x14ac:dyDescent="0.2">
      <c r="A644" s="3"/>
      <c r="B644" s="166"/>
      <c r="C644" s="161"/>
      <c r="D644" s="161"/>
      <c r="E644" s="161"/>
      <c r="F644" s="161"/>
      <c r="G644" s="161"/>
      <c r="H644" s="8">
        <f>ROUND(IF(PRODUCT(IF(C644=0,1,C644),IF(E644=0,1,E644),IF(F644=0,1,F644),IF(G644=0,1,G644))=1,0,PRODUCT(IF(C644=0,1,C644),IF(E644=0,1,E644),IF(F644=0,1,F644),IF(G644=0,1,G644))),2)</f>
        <v>0</v>
      </c>
      <c r="I644" s="163"/>
    </row>
    <row r="645" spans="1:9" x14ac:dyDescent="0.2">
      <c r="A645" s="3"/>
      <c r="B645" s="162"/>
      <c r="C645" s="167"/>
      <c r="D645" s="167"/>
      <c r="E645" s="168"/>
      <c r="F645" s="169" t="s">
        <v>11</v>
      </c>
      <c r="G645" s="170" t="s">
        <v>264</v>
      </c>
      <c r="H645" s="171">
        <f>SUM(H643:H643)</f>
        <v>45.61</v>
      </c>
      <c r="I645" s="172" t="s">
        <v>186</v>
      </c>
    </row>
    <row r="646" spans="1:9" ht="24.75" customHeight="1" x14ac:dyDescent="0.2">
      <c r="A646" s="3" t="str">
        <f>'Orçamento Sintético'!A149</f>
        <v xml:space="preserve"> 13.1.12 </v>
      </c>
      <c r="B646" s="279" t="str">
        <f>'Orçamento Sintético'!D149</f>
        <v>TUBO, PVC, SOLDÁVEL, DN 32MM, INSTALADO EM RAMAL OU SUB-RAMAL DE ÁGUA - FORNECIMENTO E INSTALAÇÃO. AF_06/2022</v>
      </c>
      <c r="C646" s="280"/>
      <c r="D646" s="280"/>
      <c r="E646" s="281"/>
      <c r="F646" s="162"/>
      <c r="G646" s="162"/>
      <c r="H646" s="162"/>
      <c r="I646" s="163"/>
    </row>
    <row r="647" spans="1:9" x14ac:dyDescent="0.2">
      <c r="A647" s="3"/>
      <c r="B647" s="164" t="s">
        <v>260</v>
      </c>
      <c r="C647" s="164" t="s">
        <v>8</v>
      </c>
      <c r="D647" s="164" t="s">
        <v>266</v>
      </c>
      <c r="E647" s="164" t="s">
        <v>261</v>
      </c>
      <c r="F647" s="164" t="s">
        <v>262</v>
      </c>
      <c r="G647" s="164" t="s">
        <v>263</v>
      </c>
      <c r="H647" s="164" t="s">
        <v>11</v>
      </c>
      <c r="I647" s="163"/>
    </row>
    <row r="648" spans="1:9" ht="25.5" x14ac:dyDescent="0.2">
      <c r="A648" s="3"/>
      <c r="B648" s="165" t="s">
        <v>492</v>
      </c>
      <c r="C648" s="161"/>
      <c r="D648" s="161"/>
      <c r="E648" s="7">
        <v>25.22</v>
      </c>
      <c r="F648" s="161"/>
      <c r="G648" s="161"/>
      <c r="H648" s="8">
        <f>ROUND(IF(PRODUCT(IF(C648=0,1,C648),IF(D648=0,1,D648),IF(E648=0,1,E648),IF(F648=0,1,F648),IF(G648=0,1,G648))=1,0,PRODUCT(IF(C648=0,1,C648),IF(D648=0,1,D648),IF(E648=0,1,E648),IF(F648=0,1,F648),IF(G648=0,1,G648))),2)</f>
        <v>25.22</v>
      </c>
      <c r="I648" s="163"/>
    </row>
    <row r="649" spans="1:9" x14ac:dyDescent="0.2">
      <c r="A649" s="3"/>
      <c r="B649" s="166"/>
      <c r="C649" s="161"/>
      <c r="D649" s="161"/>
      <c r="E649" s="161"/>
      <c r="F649" s="161"/>
      <c r="G649" s="161"/>
      <c r="H649" s="8">
        <f>ROUND(IF(PRODUCT(IF(C649=0,1,C649),IF(E649=0,1,E649),IF(F649=0,1,F649),IF(G649=0,1,G649))=1,0,PRODUCT(IF(C649=0,1,C649),IF(E649=0,1,E649),IF(F649=0,1,F649),IF(G649=0,1,G649))),2)</f>
        <v>0</v>
      </c>
      <c r="I649" s="163"/>
    </row>
    <row r="650" spans="1:9" x14ac:dyDescent="0.2">
      <c r="A650" s="3"/>
      <c r="B650" s="162"/>
      <c r="C650" s="167"/>
      <c r="D650" s="167"/>
      <c r="E650" s="168"/>
      <c r="F650" s="169" t="s">
        <v>11</v>
      </c>
      <c r="G650" s="170" t="s">
        <v>264</v>
      </c>
      <c r="H650" s="171">
        <f>SUM(H648:H648)</f>
        <v>25.22</v>
      </c>
      <c r="I650" s="172" t="s">
        <v>186</v>
      </c>
    </row>
    <row r="651" spans="1:9" ht="23.25" customHeight="1" x14ac:dyDescent="0.2">
      <c r="A651" s="3" t="str">
        <f>'Orçamento Sintético'!A150</f>
        <v xml:space="preserve"> 13.1.13</v>
      </c>
      <c r="B651" s="279" t="str">
        <f>'Orçamento Sintético'!D150</f>
        <v>TUBO, PVC, SOLDÁVEL, DN 50MM, INSTALADO EM RAMAL DE DISTRIBUIÇÃO DE ÁGUA - FORNECIMENTO E INSTALAÇÃO. AF_06/2022</v>
      </c>
      <c r="C651" s="280"/>
      <c r="D651" s="280"/>
      <c r="E651" s="281"/>
      <c r="F651" s="162"/>
      <c r="G651" s="162"/>
      <c r="H651" s="162"/>
      <c r="I651" s="163"/>
    </row>
    <row r="652" spans="1:9" x14ac:dyDescent="0.2">
      <c r="A652" s="3"/>
      <c r="B652" s="164" t="s">
        <v>260</v>
      </c>
      <c r="C652" s="164" t="s">
        <v>8</v>
      </c>
      <c r="D652" s="164" t="s">
        <v>266</v>
      </c>
      <c r="E652" s="164" t="s">
        <v>261</v>
      </c>
      <c r="F652" s="164" t="s">
        <v>262</v>
      </c>
      <c r="G652" s="164" t="s">
        <v>263</v>
      </c>
      <c r="H652" s="164" t="s">
        <v>11</v>
      </c>
      <c r="I652" s="163"/>
    </row>
    <row r="653" spans="1:9" ht="25.5" x14ac:dyDescent="0.2">
      <c r="A653" s="3"/>
      <c r="B653" s="165" t="s">
        <v>492</v>
      </c>
      <c r="C653" s="161"/>
      <c r="D653" s="161"/>
      <c r="E653" s="7">
        <v>13.99</v>
      </c>
      <c r="F653" s="161"/>
      <c r="G653" s="161"/>
      <c r="H653" s="8">
        <f>ROUND(IF(PRODUCT(IF(C653=0,1,C653),IF(D653=0,1,D653),IF(E653=0,1,E653),IF(F653=0,1,F653),IF(G653=0,1,G653))=1,0,PRODUCT(IF(C653=0,1,C653),IF(D653=0,1,D653),IF(E653=0,1,E653),IF(F653=0,1,F653),IF(G653=0,1,G653))),2)</f>
        <v>13.99</v>
      </c>
      <c r="I653" s="163"/>
    </row>
    <row r="654" spans="1:9" x14ac:dyDescent="0.2">
      <c r="A654" s="3"/>
      <c r="B654" s="166"/>
      <c r="C654" s="161"/>
      <c r="D654" s="161"/>
      <c r="E654" s="161"/>
      <c r="F654" s="161"/>
      <c r="G654" s="161"/>
      <c r="H654" s="8">
        <f>ROUND(IF(PRODUCT(IF(C654=0,1,C654),IF(E654=0,1,E654),IF(F654=0,1,F654),IF(G654=0,1,G654))=1,0,PRODUCT(IF(C654=0,1,C654),IF(E654=0,1,E654),IF(F654=0,1,F654),IF(G654=0,1,G654))),2)</f>
        <v>0</v>
      </c>
      <c r="I654" s="163"/>
    </row>
    <row r="655" spans="1:9" x14ac:dyDescent="0.2">
      <c r="A655" s="3"/>
      <c r="B655" s="162"/>
      <c r="C655" s="167"/>
      <c r="D655" s="167"/>
      <c r="E655" s="168"/>
      <c r="F655" s="169" t="s">
        <v>11</v>
      </c>
      <c r="G655" s="170" t="s">
        <v>264</v>
      </c>
      <c r="H655" s="171">
        <f>SUM(H653:H653)</f>
        <v>13.99</v>
      </c>
      <c r="I655" s="172" t="s">
        <v>186</v>
      </c>
    </row>
    <row r="656" spans="1:9" ht="15" customHeight="1" x14ac:dyDescent="0.2">
      <c r="A656" s="3" t="str">
        <f>'Orçamento Sintético'!A151</f>
        <v xml:space="preserve"> 13.1.14</v>
      </c>
      <c r="B656" s="279" t="str">
        <f>'Orçamento Sintético'!D151</f>
        <v>REGISTRO DE GAVETA BRUTO, LATÃO, ROSCÁVEL, 1" - FORNECIMENTO E INSTALAÇÃO. AF_08/2021</v>
      </c>
      <c r="C656" s="280"/>
      <c r="D656" s="280"/>
      <c r="E656" s="281"/>
      <c r="F656" s="162"/>
      <c r="G656" s="162"/>
      <c r="H656" s="162"/>
      <c r="I656" s="163"/>
    </row>
    <row r="657" spans="1:9" x14ac:dyDescent="0.2">
      <c r="A657" s="3"/>
      <c r="B657" s="164" t="s">
        <v>260</v>
      </c>
      <c r="C657" s="164" t="s">
        <v>8</v>
      </c>
      <c r="D657" s="164" t="s">
        <v>266</v>
      </c>
      <c r="E657" s="164" t="s">
        <v>261</v>
      </c>
      <c r="F657" s="164" t="s">
        <v>262</v>
      </c>
      <c r="G657" s="164" t="s">
        <v>263</v>
      </c>
      <c r="H657" s="164" t="s">
        <v>11</v>
      </c>
      <c r="I657" s="163"/>
    </row>
    <row r="658" spans="1:9" ht="25.5" x14ac:dyDescent="0.2">
      <c r="A658" s="3"/>
      <c r="B658" s="165" t="s">
        <v>492</v>
      </c>
      <c r="C658" s="7">
        <v>4</v>
      </c>
      <c r="D658" s="161"/>
      <c r="E658" s="161"/>
      <c r="F658" s="161"/>
      <c r="G658" s="161"/>
      <c r="H658" s="8">
        <f>ROUND(IF(PRODUCT(IF(C658=0,1,C658),IF(D658=0,1,D658),IF(E658=0,1,E658),IF(F658=0,1,F658),IF(G658=0,1,G658))=1,0,PRODUCT(IF(C658=0,1,C658),IF(D658=0,1,D658),IF(E658=0,1,E658),IF(F658=0,1,F658),IF(G658=0,1,G658))),2)</f>
        <v>4</v>
      </c>
      <c r="I658" s="163"/>
    </row>
    <row r="659" spans="1:9" x14ac:dyDescent="0.2">
      <c r="A659" s="3"/>
      <c r="B659" s="166"/>
      <c r="C659" s="161"/>
      <c r="D659" s="161"/>
      <c r="E659" s="161"/>
      <c r="F659" s="161"/>
      <c r="G659" s="161"/>
      <c r="H659" s="8">
        <f>ROUND(IF(PRODUCT(IF(C659=0,1,C659),IF(E659=0,1,E659),IF(F659=0,1,F659),IF(G659=0,1,G659))=1,0,PRODUCT(IF(C659=0,1,C659),IF(E659=0,1,E659),IF(F659=0,1,F659),IF(G659=0,1,G659))),2)</f>
        <v>0</v>
      </c>
      <c r="I659" s="163"/>
    </row>
    <row r="660" spans="1:9" x14ac:dyDescent="0.2">
      <c r="A660" s="3"/>
      <c r="B660" s="162"/>
      <c r="C660" s="167"/>
      <c r="D660" s="167"/>
      <c r="E660" s="168"/>
      <c r="F660" s="169" t="s">
        <v>11</v>
      </c>
      <c r="G660" s="170" t="s">
        <v>264</v>
      </c>
      <c r="H660" s="171">
        <f>SUM(H658:H658)</f>
        <v>4</v>
      </c>
      <c r="I660" s="172" t="s">
        <v>277</v>
      </c>
    </row>
    <row r="661" spans="1:9" ht="15" customHeight="1" x14ac:dyDescent="0.2">
      <c r="A661" s="3" t="str">
        <f>'Orçamento Sintético'!A152</f>
        <v xml:space="preserve"> 13.1.15</v>
      </c>
      <c r="B661" s="279" t="str">
        <f>'Orçamento Sintético'!D152</f>
        <v>REGISTRO DE ESFERA, PVC, SOLDÁVEL, COM VOLANTE, DN  50 MM - FORNECIMENTO E INSTALAÇÃO. AF_08/2021</v>
      </c>
      <c r="C661" s="280"/>
      <c r="D661" s="280"/>
      <c r="E661" s="281"/>
      <c r="F661" s="162"/>
      <c r="G661" s="162"/>
      <c r="H661" s="162"/>
      <c r="I661" s="163"/>
    </row>
    <row r="662" spans="1:9" x14ac:dyDescent="0.2">
      <c r="A662" s="3"/>
      <c r="B662" s="164" t="s">
        <v>260</v>
      </c>
      <c r="C662" s="164" t="s">
        <v>8</v>
      </c>
      <c r="D662" s="164" t="s">
        <v>266</v>
      </c>
      <c r="E662" s="164" t="s">
        <v>261</v>
      </c>
      <c r="F662" s="164" t="s">
        <v>262</v>
      </c>
      <c r="G662" s="164" t="s">
        <v>263</v>
      </c>
      <c r="H662" s="164" t="s">
        <v>11</v>
      </c>
      <c r="I662" s="163"/>
    </row>
    <row r="663" spans="1:9" ht="25.5" x14ac:dyDescent="0.2">
      <c r="A663" s="3"/>
      <c r="B663" s="165" t="s">
        <v>492</v>
      </c>
      <c r="C663" s="7">
        <v>4</v>
      </c>
      <c r="D663" s="161"/>
      <c r="E663" s="161"/>
      <c r="F663" s="161"/>
      <c r="G663" s="161"/>
      <c r="H663" s="8">
        <f>ROUND(IF(PRODUCT(IF(C663=0,1,C663),IF(D663=0,1,D663),IF(E663=0,1,E663),IF(F663=0,1,F663),IF(G663=0,1,G663))=1,0,PRODUCT(IF(C663=0,1,C663),IF(D663=0,1,D663),IF(E663=0,1,E663),IF(F663=0,1,F663),IF(G663=0,1,G663))),2)</f>
        <v>4</v>
      </c>
      <c r="I663" s="163"/>
    </row>
    <row r="664" spans="1:9" x14ac:dyDescent="0.2">
      <c r="A664" s="3"/>
      <c r="B664" s="166"/>
      <c r="C664" s="161"/>
      <c r="D664" s="161"/>
      <c r="E664" s="161"/>
      <c r="F664" s="161"/>
      <c r="G664" s="161"/>
      <c r="H664" s="8">
        <f>ROUND(IF(PRODUCT(IF(C664=0,1,C664),IF(E664=0,1,E664),IF(F664=0,1,F664),IF(G664=0,1,G664))=1,0,PRODUCT(IF(C664=0,1,C664),IF(E664=0,1,E664),IF(F664=0,1,F664),IF(G664=0,1,G664))),2)</f>
        <v>0</v>
      </c>
      <c r="I664" s="163"/>
    </row>
    <row r="665" spans="1:9" x14ac:dyDescent="0.2">
      <c r="A665" s="3"/>
      <c r="B665" s="162"/>
      <c r="C665" s="167"/>
      <c r="D665" s="167"/>
      <c r="E665" s="168"/>
      <c r="F665" s="169" t="s">
        <v>11</v>
      </c>
      <c r="G665" s="170" t="s">
        <v>264</v>
      </c>
      <c r="H665" s="171">
        <f>SUM(H663:H663)</f>
        <v>4</v>
      </c>
      <c r="I665" s="172" t="s">
        <v>277</v>
      </c>
    </row>
    <row r="666" spans="1:9" ht="15" customHeight="1" x14ac:dyDescent="0.2">
      <c r="A666" s="3" t="str">
        <f>'Orçamento Sintético'!A153</f>
        <v xml:space="preserve"> 13.1.16</v>
      </c>
      <c r="B666" s="279" t="str">
        <f>'Orçamento Sintético'!D153</f>
        <v>CAIXA D´ÁGUA EM POLIETILENO, 1000 LITROS - FORNECIMENTO E INSTALAÇÃO. AF_06/2021</v>
      </c>
      <c r="C666" s="280"/>
      <c r="D666" s="280"/>
      <c r="E666" s="281"/>
      <c r="F666" s="162"/>
      <c r="G666" s="162"/>
      <c r="H666" s="162"/>
      <c r="I666" s="163"/>
    </row>
    <row r="667" spans="1:9" x14ac:dyDescent="0.2">
      <c r="A667" s="3"/>
      <c r="B667" s="164" t="s">
        <v>260</v>
      </c>
      <c r="C667" s="164" t="s">
        <v>8</v>
      </c>
      <c r="D667" s="164" t="s">
        <v>266</v>
      </c>
      <c r="E667" s="164" t="s">
        <v>261</v>
      </c>
      <c r="F667" s="164" t="s">
        <v>262</v>
      </c>
      <c r="G667" s="164" t="s">
        <v>263</v>
      </c>
      <c r="H667" s="164" t="s">
        <v>11</v>
      </c>
      <c r="I667" s="163"/>
    </row>
    <row r="668" spans="1:9" ht="25.5" x14ac:dyDescent="0.2">
      <c r="A668" s="3"/>
      <c r="B668" s="165" t="s">
        <v>492</v>
      </c>
      <c r="C668" s="7">
        <v>2</v>
      </c>
      <c r="D668" s="161"/>
      <c r="E668" s="161"/>
      <c r="F668" s="161"/>
      <c r="G668" s="161"/>
      <c r="H668" s="8">
        <f>ROUND(IF(PRODUCT(IF(C668=0,1,C668),IF(D668=0,1,D668),IF(E668=0,1,E668),IF(F668=0,1,F668),IF(G668=0,1,G668))=1,0,PRODUCT(IF(C668=0,1,C668),IF(D668=0,1,D668),IF(E668=0,1,E668),IF(F668=0,1,F668),IF(G668=0,1,G668))),2)</f>
        <v>2</v>
      </c>
      <c r="I668" s="163"/>
    </row>
    <row r="669" spans="1:9" x14ac:dyDescent="0.2">
      <c r="A669" s="3"/>
      <c r="B669" s="166"/>
      <c r="C669" s="161"/>
      <c r="D669" s="161"/>
      <c r="E669" s="161"/>
      <c r="F669" s="161"/>
      <c r="G669" s="161"/>
      <c r="H669" s="8">
        <f>ROUND(IF(PRODUCT(IF(C669=0,1,C669),IF(E669=0,1,E669),IF(F669=0,1,F669),IF(G669=0,1,G669))=1,0,PRODUCT(IF(C669=0,1,C669),IF(E669=0,1,E669),IF(F669=0,1,F669),IF(G669=0,1,G669))),2)</f>
        <v>0</v>
      </c>
      <c r="I669" s="163"/>
    </row>
    <row r="670" spans="1:9" x14ac:dyDescent="0.2">
      <c r="A670" s="3"/>
      <c r="B670" s="162"/>
      <c r="C670" s="167"/>
      <c r="D670" s="167"/>
      <c r="E670" s="168"/>
      <c r="F670" s="169" t="s">
        <v>11</v>
      </c>
      <c r="G670" s="170" t="s">
        <v>264</v>
      </c>
      <c r="H670" s="171">
        <f>SUM(H668:H668)</f>
        <v>2</v>
      </c>
      <c r="I670" s="172" t="s">
        <v>277</v>
      </c>
    </row>
    <row r="671" spans="1:9" x14ac:dyDescent="0.2">
      <c r="A671" s="96" t="str">
        <f>'Orçamento Sintético'!A154</f>
        <v>13.2</v>
      </c>
      <c r="B671" s="173" t="str">
        <f>'Orçamento Sintético'!D154</f>
        <v>TUBULAÇÃO PLUVIAL</v>
      </c>
      <c r="C671" s="283"/>
      <c r="D671" s="284"/>
      <c r="E671" s="284"/>
      <c r="F671" s="284"/>
      <c r="G671" s="284"/>
      <c r="H671" s="284"/>
      <c r="I671" s="285"/>
    </row>
    <row r="672" spans="1:9" ht="16.149999999999999" customHeight="1" x14ac:dyDescent="0.2">
      <c r="A672" s="3" t="str">
        <f>'Orçamento Sintético'!A155</f>
        <v>13.2.1</v>
      </c>
      <c r="B672" s="279" t="str">
        <f>'Orçamento Sintético'!D155</f>
        <v>TUBO PVC, SÉRIE R, ÁGUA PLUVIAL, DN 50 MM, FORNECIDO E INSTALADO EM RAMAL DE ENCAMINHAMENTO. AF_06/2022</v>
      </c>
      <c r="C672" s="280"/>
      <c r="D672" s="280"/>
      <c r="E672" s="281"/>
      <c r="F672" s="162"/>
      <c r="G672" s="162"/>
      <c r="H672" s="162"/>
      <c r="I672" s="163"/>
    </row>
    <row r="673" spans="1:9" x14ac:dyDescent="0.2">
      <c r="A673" s="3"/>
      <c r="B673" s="164" t="s">
        <v>260</v>
      </c>
      <c r="C673" s="164" t="s">
        <v>8</v>
      </c>
      <c r="D673" s="164" t="s">
        <v>266</v>
      </c>
      <c r="E673" s="164" t="s">
        <v>261</v>
      </c>
      <c r="F673" s="164" t="s">
        <v>262</v>
      </c>
      <c r="G673" s="164" t="s">
        <v>263</v>
      </c>
      <c r="H673" s="164" t="s">
        <v>11</v>
      </c>
      <c r="I673" s="163"/>
    </row>
    <row r="674" spans="1:9" ht="25.5" x14ac:dyDescent="0.2">
      <c r="A674" s="3"/>
      <c r="B674" s="165" t="s">
        <v>492</v>
      </c>
      <c r="C674" s="161"/>
      <c r="D674" s="161"/>
      <c r="E674" s="7">
        <v>1.91</v>
      </c>
      <c r="F674" s="161"/>
      <c r="G674" s="161"/>
      <c r="H674" s="8">
        <f>ROUND(IF(PRODUCT(IF(C674=0,1,C674),IF(D674=0,1,D674),IF(E674=0,1,E674),IF(F674=0,1,F674),IF(G674=0,1,G674))=1,0,PRODUCT(IF(C674=0,1,C674),IF(D674=0,1,D674),IF(E674=0,1,E674),IF(F674=0,1,F674),IF(G674=0,1,G674))),2)</f>
        <v>1.91</v>
      </c>
      <c r="I674" s="163"/>
    </row>
    <row r="675" spans="1:9" x14ac:dyDescent="0.2">
      <c r="A675" s="3"/>
      <c r="B675" s="166"/>
      <c r="C675" s="161"/>
      <c r="D675" s="161"/>
      <c r="E675" s="161"/>
      <c r="F675" s="161"/>
      <c r="G675" s="161"/>
      <c r="H675" s="8">
        <f>ROUND(IF(PRODUCT(IF(C675=0,1,C675),IF(E675=0,1,E675),IF(F675=0,1,F675),IF(G675=0,1,G675))=1,0,PRODUCT(IF(C675=0,1,C675),IF(E675=0,1,E675),IF(F675=0,1,F675),IF(G675=0,1,G675))),2)</f>
        <v>0</v>
      </c>
      <c r="I675" s="163"/>
    </row>
    <row r="676" spans="1:9" x14ac:dyDescent="0.2">
      <c r="A676" s="3"/>
      <c r="B676" s="162"/>
      <c r="C676" s="167"/>
      <c r="D676" s="167"/>
      <c r="E676" s="168"/>
      <c r="F676" s="169" t="s">
        <v>11</v>
      </c>
      <c r="G676" s="170" t="s">
        <v>264</v>
      </c>
      <c r="H676" s="171">
        <f>SUM(H674:H674)</f>
        <v>1.91</v>
      </c>
      <c r="I676" s="172" t="s">
        <v>186</v>
      </c>
    </row>
    <row r="677" spans="1:9" ht="16.149999999999999" customHeight="1" x14ac:dyDescent="0.2">
      <c r="A677" s="3" t="str">
        <f>'Orçamento Sintético'!A156</f>
        <v>13.2.2</v>
      </c>
      <c r="B677" s="279" t="str">
        <f>'Orçamento Sintético'!D156</f>
        <v>TUBO PVC, SÉRIE R, ÁGUA PLUVIAL, DN 100 MM, FORNECIDO E INSTALADO EM RAMAL DE ENCAMINHAMENTO. AF_06/2022</v>
      </c>
      <c r="C677" s="280"/>
      <c r="D677" s="280"/>
      <c r="E677" s="281"/>
      <c r="F677" s="162"/>
      <c r="G677" s="162"/>
      <c r="H677" s="162"/>
      <c r="I677" s="163"/>
    </row>
    <row r="678" spans="1:9" x14ac:dyDescent="0.2">
      <c r="A678" s="3"/>
      <c r="B678" s="164" t="s">
        <v>260</v>
      </c>
      <c r="C678" s="164" t="s">
        <v>8</v>
      </c>
      <c r="D678" s="164" t="s">
        <v>266</v>
      </c>
      <c r="E678" s="164" t="s">
        <v>261</v>
      </c>
      <c r="F678" s="164" t="s">
        <v>262</v>
      </c>
      <c r="G678" s="164" t="s">
        <v>263</v>
      </c>
      <c r="H678" s="164" t="s">
        <v>11</v>
      </c>
      <c r="I678" s="163"/>
    </row>
    <row r="679" spans="1:9" ht="25.5" x14ac:dyDescent="0.2">
      <c r="A679" s="3"/>
      <c r="B679" s="165" t="s">
        <v>492</v>
      </c>
      <c r="C679" s="161"/>
      <c r="D679" s="161"/>
      <c r="E679" s="7">
        <v>174.22</v>
      </c>
      <c r="F679" s="161"/>
      <c r="G679" s="161"/>
      <c r="H679" s="8">
        <f>ROUND(IF(PRODUCT(IF(C679=0,1,C679),IF(D679=0,1,D679),IF(E679=0,1,E679),IF(F679=0,1,F679),IF(G679=0,1,G679))=1,0,PRODUCT(IF(C679=0,1,C679),IF(D679=0,1,D679),IF(E679=0,1,E679),IF(F679=0,1,F679),IF(G679=0,1,G679))),2)</f>
        <v>174.22</v>
      </c>
      <c r="I679" s="163"/>
    </row>
    <row r="680" spans="1:9" x14ac:dyDescent="0.2">
      <c r="A680" s="3"/>
      <c r="B680" s="166"/>
      <c r="C680" s="161"/>
      <c r="D680" s="161"/>
      <c r="E680" s="161"/>
      <c r="F680" s="161"/>
      <c r="G680" s="161"/>
      <c r="H680" s="8">
        <f>ROUND(IF(PRODUCT(IF(C680=0,1,C680),IF(E680=0,1,E680),IF(F680=0,1,F680),IF(G680=0,1,G680))=1,0,PRODUCT(IF(C680=0,1,C680),IF(E680=0,1,E680),IF(F680=0,1,F680),IF(G680=0,1,G680))),2)</f>
        <v>0</v>
      </c>
      <c r="I680" s="163"/>
    </row>
    <row r="681" spans="1:9" x14ac:dyDescent="0.2">
      <c r="A681" s="3"/>
      <c r="B681" s="162"/>
      <c r="C681" s="167"/>
      <c r="D681" s="167"/>
      <c r="E681" s="168"/>
      <c r="F681" s="169" t="s">
        <v>11</v>
      </c>
      <c r="G681" s="170" t="s">
        <v>264</v>
      </c>
      <c r="H681" s="171">
        <f>SUM(H679:H679)</f>
        <v>174.22</v>
      </c>
      <c r="I681" s="172" t="s">
        <v>186</v>
      </c>
    </row>
    <row r="682" spans="1:9" x14ac:dyDescent="0.2">
      <c r="A682" s="96" t="str">
        <f>'Orçamento Sintético'!A157</f>
        <v>13.3</v>
      </c>
      <c r="B682" s="173" t="str">
        <f>'Orçamento Sintético'!D157</f>
        <v>INSTALAÇÕES SANITÁRIAS</v>
      </c>
      <c r="C682" s="283"/>
      <c r="D682" s="284"/>
      <c r="E682" s="284"/>
      <c r="F682" s="284"/>
      <c r="G682" s="284"/>
      <c r="H682" s="284"/>
      <c r="I682" s="285"/>
    </row>
    <row r="683" spans="1:9" ht="22.5" customHeight="1" x14ac:dyDescent="0.2">
      <c r="A683" s="3" t="str">
        <f>'Orçamento Sintético'!A158</f>
        <v>13.3.1</v>
      </c>
      <c r="B683" s="279" t="str">
        <f>'Orçamento Sintético'!D158</f>
        <v>JOELHO 45 GRAUS, PVC, SERIE NORMAL, ESGOTO PREDIAL, DN 40 MM, JUNTA SOLDÁVEL, FORNECIDO E INSTALADO EM RAMAL DE DESCARGA OU RAMAL DE ESGOTO SANITÁRIO. AF_08/2022</v>
      </c>
      <c r="C683" s="280"/>
      <c r="D683" s="280"/>
      <c r="E683" s="281"/>
      <c r="F683" s="162"/>
      <c r="G683" s="162"/>
      <c r="H683" s="162"/>
      <c r="I683" s="163"/>
    </row>
    <row r="684" spans="1:9" x14ac:dyDescent="0.2">
      <c r="A684" s="3"/>
      <c r="B684" s="164" t="s">
        <v>260</v>
      </c>
      <c r="C684" s="164" t="s">
        <v>8</v>
      </c>
      <c r="D684" s="164" t="s">
        <v>266</v>
      </c>
      <c r="E684" s="164" t="s">
        <v>261</v>
      </c>
      <c r="F684" s="164" t="s">
        <v>262</v>
      </c>
      <c r="G684" s="164" t="s">
        <v>263</v>
      </c>
      <c r="H684" s="164" t="s">
        <v>11</v>
      </c>
      <c r="I684" s="163"/>
    </row>
    <row r="685" spans="1:9" ht="25.5" x14ac:dyDescent="0.2">
      <c r="A685" s="3"/>
      <c r="B685" s="165" t="s">
        <v>492</v>
      </c>
      <c r="C685" s="7">
        <v>14</v>
      </c>
      <c r="D685" s="161"/>
      <c r="E685" s="161"/>
      <c r="F685" s="161"/>
      <c r="G685" s="161"/>
      <c r="H685" s="8">
        <f>ROUND(IF(PRODUCT(IF(C685=0,1,C685),IF(D685=0,1,D685),IF(E685=0,1,E685),IF(F685=0,1,F685),IF(G685=0,1,G685))=1,0,PRODUCT(IF(C685=0,1,C685),IF(D685=0,1,D685),IF(E685=0,1,E685),IF(F685=0,1,F685),IF(G685=0,1,G685))),2)</f>
        <v>14</v>
      </c>
      <c r="I685" s="163"/>
    </row>
    <row r="686" spans="1:9" x14ac:dyDescent="0.2">
      <c r="A686" s="3"/>
      <c r="B686" s="166"/>
      <c r="C686" s="161"/>
      <c r="D686" s="161"/>
      <c r="E686" s="161"/>
      <c r="F686" s="161"/>
      <c r="G686" s="161"/>
      <c r="H686" s="8">
        <f>ROUND(IF(PRODUCT(IF(C686=0,1,C686),IF(E686=0,1,E686),IF(F686=0,1,F686),IF(G686=0,1,G686))=1,0,PRODUCT(IF(C686=0,1,C686),IF(E686=0,1,E686),IF(F686=0,1,F686),IF(G686=0,1,G686))),2)</f>
        <v>0</v>
      </c>
      <c r="I686" s="163"/>
    </row>
    <row r="687" spans="1:9" x14ac:dyDescent="0.2">
      <c r="A687" s="3"/>
      <c r="B687" s="162"/>
      <c r="C687" s="167"/>
      <c r="D687" s="167"/>
      <c r="E687" s="168"/>
      <c r="F687" s="169" t="s">
        <v>11</v>
      </c>
      <c r="G687" s="170" t="s">
        <v>264</v>
      </c>
      <c r="H687" s="171">
        <f>SUM(H685:H685)</f>
        <v>14</v>
      </c>
      <c r="I687" s="172" t="s">
        <v>277</v>
      </c>
    </row>
    <row r="688" spans="1:9" ht="23.25" customHeight="1" x14ac:dyDescent="0.2">
      <c r="A688" s="3" t="str">
        <f>'Orçamento Sintético'!A159</f>
        <v>13.3.2</v>
      </c>
      <c r="B688" s="279" t="str">
        <f>'Orçamento Sintético'!D159</f>
        <v>JOELHO 45 GRAUS, PVC, SERIE NORMAL, ESGOTO PREDIAL, DN 50 MM, JUNTA ELÁSTICA, FORNECIDO E INSTALADO EM RAMAL DE DESCARGA OU RAMAL DE ESGOTO SANITÁRIO. AF_08/2022</v>
      </c>
      <c r="C688" s="280"/>
      <c r="D688" s="280"/>
      <c r="E688" s="281"/>
      <c r="F688" s="162"/>
      <c r="G688" s="162"/>
      <c r="H688" s="162"/>
      <c r="I688" s="163"/>
    </row>
    <row r="689" spans="1:9" x14ac:dyDescent="0.2">
      <c r="A689" s="3"/>
      <c r="B689" s="164" t="s">
        <v>260</v>
      </c>
      <c r="C689" s="164" t="s">
        <v>8</v>
      </c>
      <c r="D689" s="164" t="s">
        <v>266</v>
      </c>
      <c r="E689" s="164" t="s">
        <v>261</v>
      </c>
      <c r="F689" s="164" t="s">
        <v>262</v>
      </c>
      <c r="G689" s="164" t="s">
        <v>263</v>
      </c>
      <c r="H689" s="164" t="s">
        <v>11</v>
      </c>
      <c r="I689" s="163"/>
    </row>
    <row r="690" spans="1:9" ht="25.5" x14ac:dyDescent="0.2">
      <c r="A690" s="3"/>
      <c r="B690" s="165" t="s">
        <v>492</v>
      </c>
      <c r="C690" s="7">
        <v>13</v>
      </c>
      <c r="D690" s="161"/>
      <c r="E690" s="161"/>
      <c r="F690" s="161"/>
      <c r="G690" s="161"/>
      <c r="H690" s="8">
        <f>ROUND(IF(PRODUCT(IF(C690=0,1,C690),IF(D690=0,1,D690),IF(E690=0,1,E690),IF(F690=0,1,F690),IF(G690=0,1,G690))=1,0,PRODUCT(IF(C690=0,1,C690),IF(D690=0,1,D690),IF(E690=0,1,E690),IF(F690=0,1,F690),IF(G690=0,1,G690))),2)</f>
        <v>13</v>
      </c>
      <c r="I690" s="163"/>
    </row>
    <row r="691" spans="1:9" x14ac:dyDescent="0.2">
      <c r="A691" s="3"/>
      <c r="B691" s="166"/>
      <c r="C691" s="161"/>
      <c r="D691" s="161"/>
      <c r="E691" s="161"/>
      <c r="F691" s="161"/>
      <c r="G691" s="161"/>
      <c r="H691" s="8">
        <f>ROUND(IF(PRODUCT(IF(C691=0,1,C691),IF(E691=0,1,E691),IF(F691=0,1,F691),IF(G691=0,1,G691))=1,0,PRODUCT(IF(C691=0,1,C691),IF(E691=0,1,E691),IF(F691=0,1,F691),IF(G691=0,1,G691))),2)</f>
        <v>0</v>
      </c>
      <c r="I691" s="163"/>
    </row>
    <row r="692" spans="1:9" x14ac:dyDescent="0.2">
      <c r="A692" s="3"/>
      <c r="B692" s="162"/>
      <c r="C692" s="167"/>
      <c r="D692" s="167"/>
      <c r="E692" s="168"/>
      <c r="F692" s="169" t="s">
        <v>11</v>
      </c>
      <c r="G692" s="170" t="s">
        <v>264</v>
      </c>
      <c r="H692" s="171">
        <f>SUM(H690:H690)</f>
        <v>13</v>
      </c>
      <c r="I692" s="172" t="s">
        <v>277</v>
      </c>
    </row>
    <row r="693" spans="1:9" ht="24.75" customHeight="1" x14ac:dyDescent="0.2">
      <c r="A693" s="3" t="str">
        <f>'Orçamento Sintético'!A160</f>
        <v>13.3.3</v>
      </c>
      <c r="B693" s="279" t="str">
        <f>'Orçamento Sintético'!D160</f>
        <v>JOELHO 45 GRAUS, PVC, SERIE NORMAL, ESGOTO PREDIAL, DN 100 MM, JUNTA ELÁSTICA, FORNECIDO E INSTALADO EM RAMAL DE DESCARGA OU RAMAL DE ESGOTO SANITÁRIO. AF_08/2022</v>
      </c>
      <c r="C693" s="280"/>
      <c r="D693" s="280"/>
      <c r="E693" s="281"/>
      <c r="F693" s="162"/>
      <c r="G693" s="162"/>
      <c r="H693" s="162"/>
      <c r="I693" s="163"/>
    </row>
    <row r="694" spans="1:9" x14ac:dyDescent="0.2">
      <c r="A694" s="3"/>
      <c r="B694" s="164" t="s">
        <v>260</v>
      </c>
      <c r="C694" s="164" t="s">
        <v>8</v>
      </c>
      <c r="D694" s="164" t="s">
        <v>266</v>
      </c>
      <c r="E694" s="164" t="s">
        <v>261</v>
      </c>
      <c r="F694" s="164" t="s">
        <v>262</v>
      </c>
      <c r="G694" s="164" t="s">
        <v>263</v>
      </c>
      <c r="H694" s="164" t="s">
        <v>11</v>
      </c>
      <c r="I694" s="163"/>
    </row>
    <row r="695" spans="1:9" ht="25.5" x14ac:dyDescent="0.2">
      <c r="A695" s="3"/>
      <c r="B695" s="165" t="s">
        <v>492</v>
      </c>
      <c r="C695" s="7">
        <v>27</v>
      </c>
      <c r="D695" s="161"/>
      <c r="E695" s="161"/>
      <c r="F695" s="161"/>
      <c r="G695" s="161"/>
      <c r="H695" s="8">
        <f>ROUND(IF(PRODUCT(IF(C695=0,1,C695),IF(D695=0,1,D695),IF(E695=0,1,E695),IF(F695=0,1,F695),IF(G695=0,1,G695))=1,0,PRODUCT(IF(C695=0,1,C695),IF(D695=0,1,D695),IF(E695=0,1,E695),IF(F695=0,1,F695),IF(G695=0,1,G695))),2)</f>
        <v>27</v>
      </c>
      <c r="I695" s="163"/>
    </row>
    <row r="696" spans="1:9" x14ac:dyDescent="0.2">
      <c r="A696" s="3"/>
      <c r="B696" s="166"/>
      <c r="C696" s="161"/>
      <c r="D696" s="161"/>
      <c r="E696" s="161"/>
      <c r="F696" s="161"/>
      <c r="G696" s="161"/>
      <c r="H696" s="8">
        <f>ROUND(IF(PRODUCT(IF(C696=0,1,C696),IF(E696=0,1,E696),IF(F696=0,1,F696),IF(G696=0,1,G696))=1,0,PRODUCT(IF(C696=0,1,C696),IF(E696=0,1,E696),IF(F696=0,1,F696),IF(G696=0,1,G696))),2)</f>
        <v>0</v>
      </c>
      <c r="I696" s="163"/>
    </row>
    <row r="697" spans="1:9" x14ac:dyDescent="0.2">
      <c r="A697" s="3"/>
      <c r="B697" s="162"/>
      <c r="C697" s="167"/>
      <c r="D697" s="167"/>
      <c r="E697" s="168"/>
      <c r="F697" s="169" t="s">
        <v>11</v>
      </c>
      <c r="G697" s="170" t="s">
        <v>264</v>
      </c>
      <c r="H697" s="171">
        <f>SUM(H695:H695)</f>
        <v>27</v>
      </c>
      <c r="I697" s="172" t="s">
        <v>277</v>
      </c>
    </row>
    <row r="698" spans="1:9" ht="24.75" customHeight="1" x14ac:dyDescent="0.2">
      <c r="A698" s="3" t="str">
        <f>'Orçamento Sintético'!A161</f>
        <v>13.3.4</v>
      </c>
      <c r="B698" s="279" t="str">
        <f>'Orçamento Sintético'!D161</f>
        <v>JOELHO 90 GRAUS, PVC, SERIE NORMAL, ESGOTO PREDIAL, DN 40 MM, JUNTA SOLDÁVEL, FORNECIDO E INSTALADO EM RAMAL DE DESCARGA OU RAMAL DE ESGOTO SANITÁRIO. AF_08/2022</v>
      </c>
      <c r="C698" s="280"/>
      <c r="D698" s="280"/>
      <c r="E698" s="281"/>
      <c r="F698" s="162"/>
      <c r="G698" s="162"/>
      <c r="H698" s="162"/>
      <c r="I698" s="163"/>
    </row>
    <row r="699" spans="1:9" x14ac:dyDescent="0.2">
      <c r="A699" s="3"/>
      <c r="B699" s="164" t="s">
        <v>260</v>
      </c>
      <c r="C699" s="164" t="s">
        <v>8</v>
      </c>
      <c r="D699" s="164" t="s">
        <v>266</v>
      </c>
      <c r="E699" s="164" t="s">
        <v>261</v>
      </c>
      <c r="F699" s="164" t="s">
        <v>262</v>
      </c>
      <c r="G699" s="164" t="s">
        <v>263</v>
      </c>
      <c r="H699" s="164" t="s">
        <v>11</v>
      </c>
      <c r="I699" s="163"/>
    </row>
    <row r="700" spans="1:9" ht="25.5" x14ac:dyDescent="0.2">
      <c r="A700" s="3"/>
      <c r="B700" s="165" t="s">
        <v>492</v>
      </c>
      <c r="C700" s="7">
        <v>6</v>
      </c>
      <c r="D700" s="161"/>
      <c r="E700" s="161"/>
      <c r="F700" s="161"/>
      <c r="G700" s="161"/>
      <c r="H700" s="8">
        <f>ROUND(IF(PRODUCT(IF(C700=0,1,C700),IF(D700=0,1,D700),IF(E700=0,1,E700),IF(F700=0,1,F700),IF(G700=0,1,G700))=1,0,PRODUCT(IF(C700=0,1,C700),IF(D700=0,1,D700),IF(E700=0,1,E700),IF(F700=0,1,F700),IF(G700=0,1,G700))),2)</f>
        <v>6</v>
      </c>
      <c r="I700" s="163"/>
    </row>
    <row r="701" spans="1:9" x14ac:dyDescent="0.2">
      <c r="A701" s="3"/>
      <c r="B701" s="166"/>
      <c r="C701" s="161"/>
      <c r="D701" s="161"/>
      <c r="E701" s="161"/>
      <c r="F701" s="161"/>
      <c r="G701" s="161"/>
      <c r="H701" s="8">
        <f>ROUND(IF(PRODUCT(IF(C701=0,1,C701),IF(E701=0,1,E701),IF(F701=0,1,F701),IF(G701=0,1,G701))=1,0,PRODUCT(IF(C701=0,1,C701),IF(E701=0,1,E701),IF(F701=0,1,F701),IF(G701=0,1,G701))),2)</f>
        <v>0</v>
      </c>
      <c r="I701" s="163"/>
    </row>
    <row r="702" spans="1:9" x14ac:dyDescent="0.2">
      <c r="A702" s="3"/>
      <c r="B702" s="162"/>
      <c r="C702" s="167"/>
      <c r="D702" s="167"/>
      <c r="E702" s="168"/>
      <c r="F702" s="169" t="s">
        <v>11</v>
      </c>
      <c r="G702" s="170" t="s">
        <v>264</v>
      </c>
      <c r="H702" s="171">
        <f>SUM(H700:H700)</f>
        <v>6</v>
      </c>
      <c r="I702" s="172" t="s">
        <v>277</v>
      </c>
    </row>
    <row r="703" spans="1:9" ht="23.25" customHeight="1" x14ac:dyDescent="0.2">
      <c r="A703" s="3" t="str">
        <f>'Orçamento Sintético'!A162</f>
        <v>13.3.5</v>
      </c>
      <c r="B703" s="279" t="str">
        <f>'Orçamento Sintético'!D162</f>
        <v>JOELHO 90 GRAUS, PVC, SERIE NORMAL, ESGOTO PREDIAL, DN 100 MM, JUNTA ELÁSTICA, FORNECIDO E INSTALADO EM RAMAL DE DESCARGA OU RAMAL DE ESGOTO SANITÁRIO. AF_08/2022</v>
      </c>
      <c r="C703" s="280"/>
      <c r="D703" s="280"/>
      <c r="E703" s="281"/>
      <c r="F703" s="162"/>
      <c r="G703" s="162"/>
      <c r="H703" s="162"/>
      <c r="I703" s="163"/>
    </row>
    <row r="704" spans="1:9" x14ac:dyDescent="0.2">
      <c r="A704" s="3"/>
      <c r="B704" s="164" t="s">
        <v>260</v>
      </c>
      <c r="C704" s="164" t="s">
        <v>8</v>
      </c>
      <c r="D704" s="164" t="s">
        <v>266</v>
      </c>
      <c r="E704" s="164" t="s">
        <v>261</v>
      </c>
      <c r="F704" s="164" t="s">
        <v>262</v>
      </c>
      <c r="G704" s="164" t="s">
        <v>263</v>
      </c>
      <c r="H704" s="164" t="s">
        <v>11</v>
      </c>
      <c r="I704" s="163"/>
    </row>
    <row r="705" spans="1:9" ht="25.5" x14ac:dyDescent="0.2">
      <c r="A705" s="3"/>
      <c r="B705" s="165" t="s">
        <v>492</v>
      </c>
      <c r="C705" s="7">
        <v>8</v>
      </c>
      <c r="D705" s="161"/>
      <c r="E705" s="161"/>
      <c r="F705" s="161"/>
      <c r="G705" s="161"/>
      <c r="H705" s="8">
        <f>ROUND(IF(PRODUCT(IF(C705=0,1,C705),IF(D705=0,1,D705),IF(E705=0,1,E705),IF(F705=0,1,F705),IF(G705=0,1,G705))=1,0,PRODUCT(IF(C705=0,1,C705),IF(D705=0,1,D705),IF(E705=0,1,E705),IF(F705=0,1,F705),IF(G705=0,1,G705))),2)</f>
        <v>8</v>
      </c>
      <c r="I705" s="163"/>
    </row>
    <row r="706" spans="1:9" x14ac:dyDescent="0.2">
      <c r="A706" s="3"/>
      <c r="B706" s="166"/>
      <c r="C706" s="161"/>
      <c r="D706" s="161"/>
      <c r="E706" s="161"/>
      <c r="F706" s="161"/>
      <c r="G706" s="161"/>
      <c r="H706" s="8">
        <f>ROUND(IF(PRODUCT(IF(C706=0,1,C706),IF(E706=0,1,E706),IF(F706=0,1,F706),IF(G706=0,1,G706))=1,0,PRODUCT(IF(C706=0,1,C706),IF(E706=0,1,E706),IF(F706=0,1,F706),IF(G706=0,1,G706))),2)</f>
        <v>0</v>
      </c>
      <c r="I706" s="163"/>
    </row>
    <row r="707" spans="1:9" x14ac:dyDescent="0.2">
      <c r="A707" s="3"/>
      <c r="B707" s="162"/>
      <c r="C707" s="167"/>
      <c r="D707" s="167"/>
      <c r="E707" s="168"/>
      <c r="F707" s="169" t="s">
        <v>11</v>
      </c>
      <c r="G707" s="170" t="s">
        <v>264</v>
      </c>
      <c r="H707" s="171">
        <f>SUM(H705:H705)</f>
        <v>8</v>
      </c>
      <c r="I707" s="172" t="s">
        <v>277</v>
      </c>
    </row>
    <row r="708" spans="1:9" ht="24.75" customHeight="1" x14ac:dyDescent="0.2">
      <c r="A708" s="3" t="str">
        <f>'Orçamento Sintético'!A163</f>
        <v>13.3.6</v>
      </c>
      <c r="B708" s="279" t="str">
        <f>'Orçamento Sintético'!D163</f>
        <v>JUNÇÃO SIMPLES, PVC, SERIE NORMAL, ESGOTO PREDIAL, DN 40 MM, JUNTA SOLDÁVEL, FORNECIDO E INSTALADO EM RAMAL DE DESCARGA OU RAMAL DE ESGOTO SANITÁRIO. AF_08/2022</v>
      </c>
      <c r="C708" s="280"/>
      <c r="D708" s="280"/>
      <c r="E708" s="281"/>
      <c r="F708" s="162"/>
      <c r="G708" s="162"/>
      <c r="H708" s="162"/>
      <c r="I708" s="163"/>
    </row>
    <row r="709" spans="1:9" x14ac:dyDescent="0.2">
      <c r="A709" s="3"/>
      <c r="B709" s="164" t="s">
        <v>260</v>
      </c>
      <c r="C709" s="164" t="s">
        <v>8</v>
      </c>
      <c r="D709" s="164" t="s">
        <v>266</v>
      </c>
      <c r="E709" s="164" t="s">
        <v>261</v>
      </c>
      <c r="F709" s="164" t="s">
        <v>262</v>
      </c>
      <c r="G709" s="164" t="s">
        <v>263</v>
      </c>
      <c r="H709" s="164" t="s">
        <v>11</v>
      </c>
      <c r="I709" s="163"/>
    </row>
    <row r="710" spans="1:9" ht="25.5" x14ac:dyDescent="0.2">
      <c r="A710" s="3"/>
      <c r="B710" s="165" t="s">
        <v>492</v>
      </c>
      <c r="C710" s="7">
        <v>2</v>
      </c>
      <c r="D710" s="161"/>
      <c r="E710" s="161"/>
      <c r="F710" s="161"/>
      <c r="G710" s="161"/>
      <c r="H710" s="8">
        <f>ROUND(IF(PRODUCT(IF(C710=0,1,C710),IF(D710=0,1,D710),IF(E710=0,1,E710),IF(F710=0,1,F710),IF(G710=0,1,G710))=1,0,PRODUCT(IF(C710=0,1,C710),IF(D710=0,1,D710),IF(E710=0,1,E710),IF(F710=0,1,F710),IF(G710=0,1,G710))),2)</f>
        <v>2</v>
      </c>
      <c r="I710" s="163"/>
    </row>
    <row r="711" spans="1:9" x14ac:dyDescent="0.2">
      <c r="A711" s="3"/>
      <c r="B711" s="166"/>
      <c r="C711" s="161"/>
      <c r="D711" s="161"/>
      <c r="E711" s="161"/>
      <c r="F711" s="161"/>
      <c r="G711" s="161"/>
      <c r="H711" s="8">
        <f>ROUND(IF(PRODUCT(IF(C711=0,1,C711),IF(E711=0,1,E711),IF(F711=0,1,F711),IF(G711=0,1,G711))=1,0,PRODUCT(IF(C711=0,1,C711),IF(E711=0,1,E711),IF(F711=0,1,F711),IF(G711=0,1,G711))),2)</f>
        <v>0</v>
      </c>
      <c r="I711" s="163"/>
    </row>
    <row r="712" spans="1:9" x14ac:dyDescent="0.2">
      <c r="A712" s="3"/>
      <c r="B712" s="162"/>
      <c r="C712" s="167"/>
      <c r="D712" s="167"/>
      <c r="E712" s="168"/>
      <c r="F712" s="169" t="s">
        <v>11</v>
      </c>
      <c r="G712" s="170" t="s">
        <v>264</v>
      </c>
      <c r="H712" s="171">
        <f>SUM(H710:H710)</f>
        <v>2</v>
      </c>
      <c r="I712" s="172" t="s">
        <v>277</v>
      </c>
    </row>
    <row r="713" spans="1:9" ht="14.25" customHeight="1" x14ac:dyDescent="0.2">
      <c r="A713" s="3" t="str">
        <f>'Orçamento Sintético'!A164</f>
        <v>13.3.7</v>
      </c>
      <c r="B713" s="279" t="str">
        <f>'Orçamento Sintético'!D164</f>
        <v>JUNÇÃO SIMPLES EM PVC RÍGIDO SOLDÁVEL, PARA ESGOTO PRIMÁRIO, DIÂM = 100 X 50MM</v>
      </c>
      <c r="C713" s="280"/>
      <c r="D713" s="280"/>
      <c r="E713" s="281"/>
      <c r="F713" s="162"/>
      <c r="G713" s="162"/>
      <c r="H713" s="162"/>
      <c r="I713" s="163"/>
    </row>
    <row r="714" spans="1:9" x14ac:dyDescent="0.2">
      <c r="A714" s="3"/>
      <c r="B714" s="164" t="s">
        <v>260</v>
      </c>
      <c r="C714" s="164" t="s">
        <v>8</v>
      </c>
      <c r="D714" s="164" t="s">
        <v>266</v>
      </c>
      <c r="E714" s="164" t="s">
        <v>261</v>
      </c>
      <c r="F714" s="164" t="s">
        <v>262</v>
      </c>
      <c r="G714" s="164" t="s">
        <v>263</v>
      </c>
      <c r="H714" s="164" t="s">
        <v>11</v>
      </c>
      <c r="I714" s="163"/>
    </row>
    <row r="715" spans="1:9" ht="25.5" x14ac:dyDescent="0.2">
      <c r="A715" s="3"/>
      <c r="B715" s="165" t="s">
        <v>492</v>
      </c>
      <c r="C715" s="7">
        <v>5</v>
      </c>
      <c r="D715" s="161"/>
      <c r="E715" s="161"/>
      <c r="F715" s="161"/>
      <c r="G715" s="161"/>
      <c r="H715" s="8">
        <f>ROUND(IF(PRODUCT(IF(C715=0,1,C715),IF(D715=0,1,D715),IF(E715=0,1,E715),IF(F715=0,1,F715),IF(G715=0,1,G715))=1,0,PRODUCT(IF(C715=0,1,C715),IF(D715=0,1,D715),IF(E715=0,1,E715),IF(F715=0,1,F715),IF(G715=0,1,G715))),2)</f>
        <v>5</v>
      </c>
      <c r="I715" s="163"/>
    </row>
    <row r="716" spans="1:9" x14ac:dyDescent="0.2">
      <c r="A716" s="3"/>
      <c r="B716" s="166"/>
      <c r="C716" s="161"/>
      <c r="D716" s="161"/>
      <c r="E716" s="161"/>
      <c r="F716" s="161"/>
      <c r="G716" s="161"/>
      <c r="H716" s="8">
        <f>ROUND(IF(PRODUCT(IF(C716=0,1,C716),IF(E716=0,1,E716),IF(F716=0,1,F716),IF(G716=0,1,G716))=1,0,PRODUCT(IF(C716=0,1,C716),IF(E716=0,1,E716),IF(F716=0,1,F716),IF(G716=0,1,G716))),2)</f>
        <v>0</v>
      </c>
      <c r="I716" s="163"/>
    </row>
    <row r="717" spans="1:9" x14ac:dyDescent="0.2">
      <c r="A717" s="3"/>
      <c r="B717" s="162"/>
      <c r="C717" s="167"/>
      <c r="D717" s="167"/>
      <c r="E717" s="168"/>
      <c r="F717" s="169" t="s">
        <v>11</v>
      </c>
      <c r="G717" s="170" t="s">
        <v>264</v>
      </c>
      <c r="H717" s="171">
        <f>SUM(H715:H715)</f>
        <v>5</v>
      </c>
      <c r="I717" s="172" t="s">
        <v>277</v>
      </c>
    </row>
    <row r="718" spans="1:9" ht="24.75" customHeight="1" x14ac:dyDescent="0.2">
      <c r="A718" s="3" t="str">
        <f>'Orçamento Sintético'!A165</f>
        <v>13.3.8</v>
      </c>
      <c r="B718" s="279" t="str">
        <f>'Orçamento Sintético'!D165</f>
        <v>JUNÇÃO SIMPLES, PVC, SERIE NORMAL, ESGOTO PREDIAL, DN 100 X 100 MM, JUNTA ELÁSTICA, FORNECIDO E INSTALADO EM PRUMADA DE ESGOTO SANITÁRIO OU VENTILAÇÃO. AF_08/2022</v>
      </c>
      <c r="C718" s="280"/>
      <c r="D718" s="280"/>
      <c r="E718" s="281"/>
      <c r="F718" s="162"/>
      <c r="G718" s="162"/>
      <c r="H718" s="162"/>
      <c r="I718" s="163"/>
    </row>
    <row r="719" spans="1:9" x14ac:dyDescent="0.2">
      <c r="A719" s="3"/>
      <c r="B719" s="164" t="s">
        <v>260</v>
      </c>
      <c r="C719" s="164" t="s">
        <v>8</v>
      </c>
      <c r="D719" s="164" t="s">
        <v>266</v>
      </c>
      <c r="E719" s="164" t="s">
        <v>261</v>
      </c>
      <c r="F719" s="164" t="s">
        <v>262</v>
      </c>
      <c r="G719" s="164" t="s">
        <v>263</v>
      </c>
      <c r="H719" s="164" t="s">
        <v>11</v>
      </c>
      <c r="I719" s="163"/>
    </row>
    <row r="720" spans="1:9" ht="25.5" x14ac:dyDescent="0.2">
      <c r="A720" s="3"/>
      <c r="B720" s="165" t="s">
        <v>492</v>
      </c>
      <c r="C720" s="7">
        <v>7</v>
      </c>
      <c r="D720" s="161"/>
      <c r="E720" s="161"/>
      <c r="F720" s="161"/>
      <c r="G720" s="161"/>
      <c r="H720" s="8">
        <f>ROUND(IF(PRODUCT(IF(C720=0,1,C720),IF(D720=0,1,D720),IF(E720=0,1,E720),IF(F720=0,1,F720),IF(G720=0,1,G720))=1,0,PRODUCT(IF(C720=0,1,C720),IF(D720=0,1,D720),IF(E720=0,1,E720),IF(F720=0,1,F720),IF(G720=0,1,G720))),2)</f>
        <v>7</v>
      </c>
      <c r="I720" s="163"/>
    </row>
    <row r="721" spans="1:9" x14ac:dyDescent="0.2">
      <c r="A721" s="3"/>
      <c r="B721" s="166"/>
      <c r="C721" s="161"/>
      <c r="D721" s="161"/>
      <c r="E721" s="161"/>
      <c r="F721" s="161"/>
      <c r="G721" s="161"/>
      <c r="H721" s="8">
        <f>ROUND(IF(PRODUCT(IF(C721=0,1,C721),IF(E721=0,1,E721),IF(F721=0,1,F721),IF(G721=0,1,G721))=1,0,PRODUCT(IF(C721=0,1,C721),IF(E721=0,1,E721),IF(F721=0,1,F721),IF(G721=0,1,G721))),2)</f>
        <v>0</v>
      </c>
      <c r="I721" s="163"/>
    </row>
    <row r="722" spans="1:9" x14ac:dyDescent="0.2">
      <c r="A722" s="3"/>
      <c r="B722" s="162"/>
      <c r="C722" s="167"/>
      <c r="D722" s="167"/>
      <c r="E722" s="168"/>
      <c r="F722" s="169" t="s">
        <v>11</v>
      </c>
      <c r="G722" s="170" t="s">
        <v>264</v>
      </c>
      <c r="H722" s="171">
        <f>SUM(H720:H720)</f>
        <v>7</v>
      </c>
      <c r="I722" s="172" t="s">
        <v>277</v>
      </c>
    </row>
    <row r="723" spans="1:9" ht="24.75" customHeight="1" x14ac:dyDescent="0.2">
      <c r="A723" s="3" t="str">
        <f>'Orçamento Sintético'!A166</f>
        <v>13.3.9</v>
      </c>
      <c r="B723" s="279" t="str">
        <f>'Orçamento Sintético'!D166</f>
        <v>LUVA SIMPLES, PVC, SERIE NORMAL, ESGOTO PREDIAL, DN 50 MM, JUNTA ELÁSTICA, FORNECIDO E INSTALADO EM RAMAL DE DESCARGA OU RAMAL DE ESGOTO SANITÁRIO. AF_08/2022</v>
      </c>
      <c r="C723" s="280"/>
      <c r="D723" s="280"/>
      <c r="E723" s="281"/>
      <c r="F723" s="162"/>
      <c r="G723" s="162"/>
      <c r="H723" s="162"/>
      <c r="I723" s="163"/>
    </row>
    <row r="724" spans="1:9" x14ac:dyDescent="0.2">
      <c r="A724" s="3"/>
      <c r="B724" s="164" t="s">
        <v>260</v>
      </c>
      <c r="C724" s="164" t="s">
        <v>8</v>
      </c>
      <c r="D724" s="164" t="s">
        <v>266</v>
      </c>
      <c r="E724" s="164" t="s">
        <v>261</v>
      </c>
      <c r="F724" s="164" t="s">
        <v>262</v>
      </c>
      <c r="G724" s="164" t="s">
        <v>263</v>
      </c>
      <c r="H724" s="164" t="s">
        <v>11</v>
      </c>
      <c r="I724" s="163"/>
    </row>
    <row r="725" spans="1:9" ht="25.5" x14ac:dyDescent="0.2">
      <c r="A725" s="3"/>
      <c r="B725" s="165" t="s">
        <v>492</v>
      </c>
      <c r="C725" s="7">
        <v>15</v>
      </c>
      <c r="D725" s="161"/>
      <c r="E725" s="161"/>
      <c r="F725" s="161"/>
      <c r="G725" s="161"/>
      <c r="H725" s="8">
        <f>ROUND(IF(PRODUCT(IF(C725=0,1,C725),IF(D725=0,1,D725),IF(E725=0,1,E725),IF(F725=0,1,F725),IF(G725=0,1,G725))=1,0,PRODUCT(IF(C725=0,1,C725),IF(D725=0,1,D725),IF(E725=0,1,E725),IF(F725=0,1,F725),IF(G725=0,1,G725))),2)</f>
        <v>15</v>
      </c>
      <c r="I725" s="163"/>
    </row>
    <row r="726" spans="1:9" x14ac:dyDescent="0.2">
      <c r="A726" s="3"/>
      <c r="B726" s="166"/>
      <c r="C726" s="161"/>
      <c r="D726" s="161"/>
      <c r="E726" s="161"/>
      <c r="F726" s="161"/>
      <c r="G726" s="161"/>
      <c r="H726" s="8">
        <f>ROUND(IF(PRODUCT(IF(C726=0,1,C726),IF(E726=0,1,E726),IF(F726=0,1,F726),IF(G726=0,1,G726))=1,0,PRODUCT(IF(C726=0,1,C726),IF(E726=0,1,E726),IF(F726=0,1,F726),IF(G726=0,1,G726))),2)</f>
        <v>0</v>
      </c>
      <c r="I726" s="163"/>
    </row>
    <row r="727" spans="1:9" x14ac:dyDescent="0.2">
      <c r="A727" s="3"/>
      <c r="B727" s="162"/>
      <c r="C727" s="167"/>
      <c r="D727" s="167"/>
      <c r="E727" s="168"/>
      <c r="F727" s="169" t="s">
        <v>11</v>
      </c>
      <c r="G727" s="170" t="s">
        <v>264</v>
      </c>
      <c r="H727" s="171">
        <f>SUM(H725:H725)</f>
        <v>15</v>
      </c>
      <c r="I727" s="172" t="s">
        <v>277</v>
      </c>
    </row>
    <row r="728" spans="1:9" ht="23.25" customHeight="1" x14ac:dyDescent="0.2">
      <c r="A728" s="3" t="str">
        <f>'Orçamento Sintético'!A167</f>
        <v>13.3.10</v>
      </c>
      <c r="B728" s="279" t="str">
        <f>'Orçamento Sintético'!D167</f>
        <v>LUVA SIMPLES, PVC, SERIE NORMAL, ESGOTO PREDIAL, DN 100 MM, JUNTA ELÁSTICA, FORNECIDO E INSTALADO EM RAMAL DE DESCARGA OU RAMAL DE ESGOTO SANITÁRIO. AF_08/2022</v>
      </c>
      <c r="C728" s="280"/>
      <c r="D728" s="280"/>
      <c r="E728" s="281"/>
      <c r="F728" s="162"/>
      <c r="G728" s="162"/>
      <c r="H728" s="162"/>
      <c r="I728" s="163"/>
    </row>
    <row r="729" spans="1:9" x14ac:dyDescent="0.2">
      <c r="A729" s="3"/>
      <c r="B729" s="164" t="s">
        <v>260</v>
      </c>
      <c r="C729" s="164" t="s">
        <v>8</v>
      </c>
      <c r="D729" s="164" t="s">
        <v>266</v>
      </c>
      <c r="E729" s="164" t="s">
        <v>261</v>
      </c>
      <c r="F729" s="164" t="s">
        <v>262</v>
      </c>
      <c r="G729" s="164" t="s">
        <v>263</v>
      </c>
      <c r="H729" s="164" t="s">
        <v>11</v>
      </c>
      <c r="I729" s="163"/>
    </row>
    <row r="730" spans="1:9" ht="25.5" x14ac:dyDescent="0.2">
      <c r="A730" s="3"/>
      <c r="B730" s="165" t="s">
        <v>492</v>
      </c>
      <c r="C730" s="7">
        <v>47</v>
      </c>
      <c r="D730" s="161"/>
      <c r="E730" s="161"/>
      <c r="F730" s="161"/>
      <c r="G730" s="161"/>
      <c r="H730" s="8">
        <f>ROUND(IF(PRODUCT(IF(C730=0,1,C730),IF(D730=0,1,D730),IF(E730=0,1,E730),IF(F730=0,1,F730),IF(G730=0,1,G730))=1,0,PRODUCT(IF(C730=0,1,C730),IF(D730=0,1,D730),IF(E730=0,1,E730),IF(F730=0,1,F730),IF(G730=0,1,G730))),2)</f>
        <v>47</v>
      </c>
      <c r="I730" s="163"/>
    </row>
    <row r="731" spans="1:9" x14ac:dyDescent="0.2">
      <c r="A731" s="3"/>
      <c r="B731" s="166"/>
      <c r="C731" s="161"/>
      <c r="D731" s="161"/>
      <c r="E731" s="161"/>
      <c r="F731" s="161"/>
      <c r="G731" s="161"/>
      <c r="H731" s="8">
        <f>ROUND(IF(PRODUCT(IF(C731=0,1,C731),IF(E731=0,1,E731),IF(F731=0,1,F731),IF(G731=0,1,G731))=1,0,PRODUCT(IF(C731=0,1,C731),IF(E731=0,1,E731),IF(F731=0,1,F731),IF(G731=0,1,G731))),2)</f>
        <v>0</v>
      </c>
      <c r="I731" s="163"/>
    </row>
    <row r="732" spans="1:9" x14ac:dyDescent="0.2">
      <c r="A732" s="3"/>
      <c r="B732" s="162"/>
      <c r="C732" s="167"/>
      <c r="D732" s="167"/>
      <c r="E732" s="168"/>
      <c r="F732" s="169" t="s">
        <v>11</v>
      </c>
      <c r="G732" s="170" t="s">
        <v>264</v>
      </c>
      <c r="H732" s="171">
        <f>SUM(H730:H730)</f>
        <v>47</v>
      </c>
      <c r="I732" s="172" t="s">
        <v>277</v>
      </c>
    </row>
    <row r="733" spans="1:9" ht="23.25" customHeight="1" x14ac:dyDescent="0.2">
      <c r="A733" s="3" t="str">
        <f>'Orçamento Sintético'!A168</f>
        <v>13.3.11</v>
      </c>
      <c r="B733" s="279" t="str">
        <f>'Orçamento Sintético'!D168</f>
        <v>TE, PVC, SERIE NORMAL, ESGOTO PREDIAL, DN 50 X 50 MM, JUNTA ELÁSTICA, FORNECIDO E INSTALADO EM PRUMADA DE ESGOTO SANITÁRIO OU VENTILAÇÃO. AF_08/2022</v>
      </c>
      <c r="C733" s="280"/>
      <c r="D733" s="280"/>
      <c r="E733" s="281"/>
      <c r="F733" s="162"/>
      <c r="G733" s="162"/>
      <c r="H733" s="162"/>
      <c r="I733" s="163"/>
    </row>
    <row r="734" spans="1:9" x14ac:dyDescent="0.2">
      <c r="A734" s="3"/>
      <c r="B734" s="164" t="s">
        <v>260</v>
      </c>
      <c r="C734" s="164" t="s">
        <v>8</v>
      </c>
      <c r="D734" s="164" t="s">
        <v>266</v>
      </c>
      <c r="E734" s="164" t="s">
        <v>261</v>
      </c>
      <c r="F734" s="164" t="s">
        <v>262</v>
      </c>
      <c r="G734" s="164" t="s">
        <v>263</v>
      </c>
      <c r="H734" s="164" t="s">
        <v>11</v>
      </c>
      <c r="I734" s="163"/>
    </row>
    <row r="735" spans="1:9" ht="25.5" x14ac:dyDescent="0.2">
      <c r="A735" s="3"/>
      <c r="B735" s="165" t="s">
        <v>492</v>
      </c>
      <c r="C735" s="7">
        <v>2</v>
      </c>
      <c r="D735" s="161"/>
      <c r="E735" s="161"/>
      <c r="F735" s="161"/>
      <c r="G735" s="161"/>
      <c r="H735" s="8">
        <f>ROUND(IF(PRODUCT(IF(C735=0,1,C735),IF(D735=0,1,D735),IF(E735=0,1,E735),IF(F735=0,1,F735),IF(G735=0,1,G735))=1,0,PRODUCT(IF(C735=0,1,C735),IF(D735=0,1,D735),IF(E735=0,1,E735),IF(F735=0,1,F735),IF(G735=0,1,G735))),2)</f>
        <v>2</v>
      </c>
      <c r="I735" s="163"/>
    </row>
    <row r="736" spans="1:9" x14ac:dyDescent="0.2">
      <c r="A736" s="3"/>
      <c r="B736" s="166"/>
      <c r="C736" s="161"/>
      <c r="D736" s="161"/>
      <c r="E736" s="161"/>
      <c r="F736" s="161"/>
      <c r="G736" s="161"/>
      <c r="H736" s="8">
        <f>ROUND(IF(PRODUCT(IF(C736=0,1,C736),IF(E736=0,1,E736),IF(F736=0,1,F736),IF(G736=0,1,G736))=1,0,PRODUCT(IF(C736=0,1,C736),IF(E736=0,1,E736),IF(F736=0,1,F736),IF(G736=0,1,G736))),2)</f>
        <v>0</v>
      </c>
      <c r="I736" s="163"/>
    </row>
    <row r="737" spans="1:9" x14ac:dyDescent="0.2">
      <c r="A737" s="3"/>
      <c r="B737" s="162"/>
      <c r="C737" s="167"/>
      <c r="D737" s="167"/>
      <c r="E737" s="168"/>
      <c r="F737" s="169" t="s">
        <v>11</v>
      </c>
      <c r="G737" s="170" t="s">
        <v>264</v>
      </c>
      <c r="H737" s="171">
        <f>SUM(H735:H735)</f>
        <v>2</v>
      </c>
      <c r="I737" s="172" t="s">
        <v>277</v>
      </c>
    </row>
    <row r="738" spans="1:9" ht="24.75" customHeight="1" x14ac:dyDescent="0.2">
      <c r="A738" s="3" t="str">
        <f>'Orçamento Sintético'!A169</f>
        <v>13.3.12</v>
      </c>
      <c r="B738" s="279" t="str">
        <f>'Orçamento Sintético'!D169</f>
        <v>TUBO PVC, SERIE NORMAL, ESGOTO PREDIAL, DN 50 MM, FORNECIDO E INSTALADO EM RAMAL DE DESCARGA OU RAMAL DE ESGOTO SANITÁRIO. AF_08/2022</v>
      </c>
      <c r="C738" s="280"/>
      <c r="D738" s="280"/>
      <c r="E738" s="281"/>
      <c r="F738" s="162"/>
      <c r="G738" s="162"/>
      <c r="H738" s="162"/>
      <c r="I738" s="163"/>
    </row>
    <row r="739" spans="1:9" x14ac:dyDescent="0.2">
      <c r="A739" s="3"/>
      <c r="B739" s="164" t="s">
        <v>260</v>
      </c>
      <c r="C739" s="164" t="s">
        <v>8</v>
      </c>
      <c r="D739" s="164" t="s">
        <v>266</v>
      </c>
      <c r="E739" s="164" t="s">
        <v>261</v>
      </c>
      <c r="F739" s="164" t="s">
        <v>262</v>
      </c>
      <c r="G739" s="164" t="s">
        <v>263</v>
      </c>
      <c r="H739" s="164" t="s">
        <v>11</v>
      </c>
      <c r="I739" s="163"/>
    </row>
    <row r="740" spans="1:9" ht="25.5" x14ac:dyDescent="0.2">
      <c r="A740" s="3"/>
      <c r="B740" s="165" t="s">
        <v>492</v>
      </c>
      <c r="C740" s="161"/>
      <c r="D740" s="161"/>
      <c r="E740" s="7">
        <v>11.7</v>
      </c>
      <c r="F740" s="161"/>
      <c r="G740" s="161"/>
      <c r="H740" s="8">
        <f>ROUND(IF(PRODUCT(IF(C740=0,1,C740),IF(D740=0,1,D740),IF(E740=0,1,E740),IF(F740=0,1,F740),IF(G740=0,1,G740))=1,0,PRODUCT(IF(C740=0,1,C740),IF(D740=0,1,D740),IF(E740=0,1,E740),IF(F740=0,1,F740),IF(G740=0,1,G740))),2)</f>
        <v>11.7</v>
      </c>
      <c r="I740" s="163"/>
    </row>
    <row r="741" spans="1:9" x14ac:dyDescent="0.2">
      <c r="A741" s="3"/>
      <c r="B741" s="166"/>
      <c r="C741" s="161"/>
      <c r="D741" s="161"/>
      <c r="E741" s="161"/>
      <c r="F741" s="161"/>
      <c r="G741" s="161"/>
      <c r="H741" s="8">
        <f>ROUND(IF(PRODUCT(IF(C741=0,1,C741),IF(E741=0,1,E741),IF(F741=0,1,F741),IF(G741=0,1,G741))=1,0,PRODUCT(IF(C741=0,1,C741),IF(E741=0,1,E741),IF(F741=0,1,F741),IF(G741=0,1,G741))),2)</f>
        <v>0</v>
      </c>
      <c r="I741" s="163"/>
    </row>
    <row r="742" spans="1:9" x14ac:dyDescent="0.2">
      <c r="A742" s="3"/>
      <c r="B742" s="162"/>
      <c r="C742" s="167"/>
      <c r="D742" s="167"/>
      <c r="E742" s="168"/>
      <c r="F742" s="169" t="s">
        <v>11</v>
      </c>
      <c r="G742" s="170" t="s">
        <v>264</v>
      </c>
      <c r="H742" s="171">
        <f>SUM(H740:H740)</f>
        <v>11.7</v>
      </c>
      <c r="I742" s="172" t="s">
        <v>186</v>
      </c>
    </row>
    <row r="743" spans="1:9" ht="24.75" customHeight="1" x14ac:dyDescent="0.2">
      <c r="A743" s="3" t="str">
        <f>'Orçamento Sintético'!A170</f>
        <v>13.3.13</v>
      </c>
      <c r="B743" s="279" t="str">
        <f>'Orçamento Sintético'!D170</f>
        <v>TUBO PVC, SERIE NORMAL, ESGOTO PREDIAL, DN 40 MM, FORNECIDO E INSTALADO EM RAMAL DE DESCARGA OU RAMAL DE ESGOTO SANITÁRIO. AF_08/2022</v>
      </c>
      <c r="C743" s="280"/>
      <c r="D743" s="280"/>
      <c r="E743" s="281"/>
      <c r="F743" s="162"/>
      <c r="G743" s="162"/>
      <c r="H743" s="162"/>
      <c r="I743" s="163"/>
    </row>
    <row r="744" spans="1:9" x14ac:dyDescent="0.2">
      <c r="A744" s="3"/>
      <c r="B744" s="164" t="s">
        <v>260</v>
      </c>
      <c r="C744" s="164" t="s">
        <v>8</v>
      </c>
      <c r="D744" s="164" t="s">
        <v>266</v>
      </c>
      <c r="E744" s="164" t="s">
        <v>261</v>
      </c>
      <c r="F744" s="164" t="s">
        <v>262</v>
      </c>
      <c r="G744" s="164" t="s">
        <v>263</v>
      </c>
      <c r="H744" s="164" t="s">
        <v>11</v>
      </c>
      <c r="I744" s="163"/>
    </row>
    <row r="745" spans="1:9" ht="25.5" x14ac:dyDescent="0.2">
      <c r="A745" s="3"/>
      <c r="B745" s="165" t="s">
        <v>492</v>
      </c>
      <c r="C745" s="161"/>
      <c r="D745" s="161"/>
      <c r="E745" s="7">
        <v>6.88</v>
      </c>
      <c r="F745" s="161"/>
      <c r="G745" s="161"/>
      <c r="H745" s="8">
        <f>ROUND(IF(PRODUCT(IF(C745=0,1,C745),IF(D745=0,1,D745),IF(E745=0,1,E745),IF(F745=0,1,F745),IF(G745=0,1,G745))=1,0,PRODUCT(IF(C745=0,1,C745),IF(D745=0,1,D745),IF(E745=0,1,E745),IF(F745=0,1,F745),IF(G745=0,1,G745))),2)</f>
        <v>6.88</v>
      </c>
      <c r="I745" s="163"/>
    </row>
    <row r="746" spans="1:9" x14ac:dyDescent="0.2">
      <c r="A746" s="3"/>
      <c r="B746" s="166"/>
      <c r="C746" s="161"/>
      <c r="D746" s="161"/>
      <c r="E746" s="161"/>
      <c r="F746" s="161"/>
      <c r="G746" s="161"/>
      <c r="H746" s="8">
        <f>ROUND(IF(PRODUCT(IF(C746=0,1,C746),IF(E746=0,1,E746),IF(F746=0,1,F746),IF(G746=0,1,G746))=1,0,PRODUCT(IF(C746=0,1,C746),IF(E746=0,1,E746),IF(F746=0,1,F746),IF(G746=0,1,G746))),2)</f>
        <v>0</v>
      </c>
      <c r="I746" s="163"/>
    </row>
    <row r="747" spans="1:9" x14ac:dyDescent="0.2">
      <c r="A747" s="3"/>
      <c r="B747" s="162"/>
      <c r="C747" s="167"/>
      <c r="D747" s="167"/>
      <c r="E747" s="168"/>
      <c r="F747" s="169" t="s">
        <v>11</v>
      </c>
      <c r="G747" s="170" t="s">
        <v>264</v>
      </c>
      <c r="H747" s="171">
        <f>SUM(H745:H745)</f>
        <v>6.88</v>
      </c>
      <c r="I747" s="172" t="s">
        <v>186</v>
      </c>
    </row>
    <row r="748" spans="1:9" ht="23.25" customHeight="1" x14ac:dyDescent="0.2">
      <c r="A748" s="3" t="str">
        <f>'Orçamento Sintético'!A171</f>
        <v>13.3.14</v>
      </c>
      <c r="B748" s="279" t="str">
        <f>'Orçamento Sintético'!D171</f>
        <v>TUBO PVC, SERIE NORMAL, ESGOTO PREDIAL, DN 100 MM, FORNECIDO E INSTALADO EM RAMAL DE DESCARGA OU RAMAL DE ESGOTO SANITÁRIO. AF_08/2022</v>
      </c>
      <c r="C748" s="280"/>
      <c r="D748" s="280"/>
      <c r="E748" s="281"/>
      <c r="F748" s="162"/>
      <c r="G748" s="162"/>
      <c r="H748" s="162"/>
      <c r="I748" s="163"/>
    </row>
    <row r="749" spans="1:9" x14ac:dyDescent="0.2">
      <c r="A749" s="3"/>
      <c r="B749" s="164" t="s">
        <v>260</v>
      </c>
      <c r="C749" s="164" t="s">
        <v>8</v>
      </c>
      <c r="D749" s="164" t="s">
        <v>266</v>
      </c>
      <c r="E749" s="164" t="s">
        <v>261</v>
      </c>
      <c r="F749" s="164" t="s">
        <v>262</v>
      </c>
      <c r="G749" s="164" t="s">
        <v>263</v>
      </c>
      <c r="H749" s="164" t="s">
        <v>11</v>
      </c>
      <c r="I749" s="163"/>
    </row>
    <row r="750" spans="1:9" ht="25.5" x14ac:dyDescent="0.2">
      <c r="A750" s="3"/>
      <c r="B750" s="165" t="s">
        <v>492</v>
      </c>
      <c r="C750" s="161"/>
      <c r="D750" s="161"/>
      <c r="E750" s="7">
        <v>28.57</v>
      </c>
      <c r="F750" s="161"/>
      <c r="G750" s="161"/>
      <c r="H750" s="8">
        <f>ROUND(IF(PRODUCT(IF(C750=0,1,C750),IF(D750=0,1,D750),IF(E750=0,1,E750),IF(F750=0,1,F750),IF(G750=0,1,G750))=1,0,PRODUCT(IF(C750=0,1,C750),IF(D750=0,1,D750),IF(E750=0,1,E750),IF(F750=0,1,F750),IF(G750=0,1,G750))),2)</f>
        <v>28.57</v>
      </c>
      <c r="I750" s="163"/>
    </row>
    <row r="751" spans="1:9" x14ac:dyDescent="0.2">
      <c r="A751" s="3"/>
      <c r="B751" s="166"/>
      <c r="C751" s="161"/>
      <c r="D751" s="161"/>
      <c r="E751" s="161"/>
      <c r="F751" s="161"/>
      <c r="G751" s="161"/>
      <c r="H751" s="8">
        <f>ROUND(IF(PRODUCT(IF(C751=0,1,C751),IF(E751=0,1,E751),IF(F751=0,1,F751),IF(G751=0,1,G751))=1,0,PRODUCT(IF(C751=0,1,C751),IF(E751=0,1,E751),IF(F751=0,1,F751),IF(G751=0,1,G751))),2)</f>
        <v>0</v>
      </c>
      <c r="I751" s="163"/>
    </row>
    <row r="752" spans="1:9" x14ac:dyDescent="0.2">
      <c r="A752" s="3"/>
      <c r="B752" s="162"/>
      <c r="C752" s="167"/>
      <c r="D752" s="167"/>
      <c r="E752" s="168"/>
      <c r="F752" s="169" t="s">
        <v>11</v>
      </c>
      <c r="G752" s="170" t="s">
        <v>264</v>
      </c>
      <c r="H752" s="171">
        <f>SUM(H750:H750)</f>
        <v>28.57</v>
      </c>
      <c r="I752" s="172" t="s">
        <v>186</v>
      </c>
    </row>
    <row r="753" spans="1:9" ht="15" customHeight="1" x14ac:dyDescent="0.2">
      <c r="A753" s="3" t="str">
        <f>'Orçamento Sintético'!A172</f>
        <v>13.3.15</v>
      </c>
      <c r="B753" s="279" t="str">
        <f>'Orçamento Sintético'!D172</f>
        <v>CAIXA DE INSPEÇÃO  0.60 X 0.60 X 0.60M</v>
      </c>
      <c r="C753" s="280"/>
      <c r="D753" s="280"/>
      <c r="E753" s="281"/>
      <c r="F753" s="162"/>
      <c r="G753" s="162"/>
      <c r="H753" s="162"/>
      <c r="I753" s="163"/>
    </row>
    <row r="754" spans="1:9" x14ac:dyDescent="0.2">
      <c r="A754" s="3"/>
      <c r="B754" s="164" t="s">
        <v>260</v>
      </c>
      <c r="C754" s="164" t="s">
        <v>8</v>
      </c>
      <c r="D754" s="164" t="s">
        <v>266</v>
      </c>
      <c r="E754" s="164" t="s">
        <v>261</v>
      </c>
      <c r="F754" s="164" t="s">
        <v>262</v>
      </c>
      <c r="G754" s="164" t="s">
        <v>263</v>
      </c>
      <c r="H754" s="164" t="s">
        <v>11</v>
      </c>
      <c r="I754" s="163"/>
    </row>
    <row r="755" spans="1:9" ht="25.5" x14ac:dyDescent="0.2">
      <c r="A755" s="3"/>
      <c r="B755" s="165" t="s">
        <v>492</v>
      </c>
      <c r="C755" s="7">
        <v>10</v>
      </c>
      <c r="D755" s="161"/>
      <c r="E755" s="161"/>
      <c r="F755" s="161"/>
      <c r="G755" s="161"/>
      <c r="H755" s="8">
        <f>ROUND(IF(PRODUCT(IF(C755=0,1,C755),IF(D755=0,1,D755),IF(E755=0,1,E755),IF(F755=0,1,F755),IF(G755=0,1,G755))=1,0,PRODUCT(IF(C755=0,1,C755),IF(D755=0,1,D755),IF(E755=0,1,E755),IF(F755=0,1,F755),IF(G755=0,1,G755))),2)</f>
        <v>10</v>
      </c>
      <c r="I755" s="163"/>
    </row>
    <row r="756" spans="1:9" x14ac:dyDescent="0.2">
      <c r="A756" s="3"/>
      <c r="B756" s="166"/>
      <c r="C756" s="161"/>
      <c r="D756" s="161"/>
      <c r="E756" s="161"/>
      <c r="F756" s="161"/>
      <c r="G756" s="161"/>
      <c r="H756" s="8">
        <f>ROUND(IF(PRODUCT(IF(C756=0,1,C756),IF(E756=0,1,E756),IF(F756=0,1,F756),IF(G756=0,1,G756))=1,0,PRODUCT(IF(C756=0,1,C756),IF(E756=0,1,E756),IF(F756=0,1,F756),IF(G756=0,1,G756))),2)</f>
        <v>0</v>
      </c>
      <c r="I756" s="163"/>
    </row>
    <row r="757" spans="1:9" x14ac:dyDescent="0.2">
      <c r="A757" s="3"/>
      <c r="B757" s="162"/>
      <c r="C757" s="167"/>
      <c r="D757" s="167"/>
      <c r="E757" s="168"/>
      <c r="F757" s="169" t="s">
        <v>11</v>
      </c>
      <c r="G757" s="170" t="s">
        <v>264</v>
      </c>
      <c r="H757" s="171">
        <f>SUM(H755:H755)</f>
        <v>10</v>
      </c>
      <c r="I757" s="172" t="s">
        <v>277</v>
      </c>
    </row>
    <row r="758" spans="1:9" ht="24" customHeight="1" x14ac:dyDescent="0.2">
      <c r="A758" s="3" t="str">
        <f>'Orçamento Sintético'!A173</f>
        <v>13.3.16</v>
      </c>
      <c r="B758" s="279" t="str">
        <f>'Orçamento Sintético'!D173</f>
        <v>CAIXA SIFONADA, PVC, DN 150 X 185 X 75 MM, JUNTA ELÁSTICA, FORNECIDA E INSTALADA EM RAMAL DE DESCARGA OU EM RAMAL DE ESGOTO SANITÁRIO. AF_08/2022</v>
      </c>
      <c r="C758" s="280"/>
      <c r="D758" s="280"/>
      <c r="E758" s="281"/>
      <c r="F758" s="162"/>
      <c r="G758" s="162"/>
      <c r="H758" s="162"/>
      <c r="I758" s="163"/>
    </row>
    <row r="759" spans="1:9" x14ac:dyDescent="0.2">
      <c r="A759" s="3"/>
      <c r="B759" s="164" t="s">
        <v>260</v>
      </c>
      <c r="C759" s="164" t="s">
        <v>8</v>
      </c>
      <c r="D759" s="164" t="s">
        <v>266</v>
      </c>
      <c r="E759" s="164" t="s">
        <v>261</v>
      </c>
      <c r="F759" s="164" t="s">
        <v>262</v>
      </c>
      <c r="G759" s="164" t="s">
        <v>263</v>
      </c>
      <c r="H759" s="164" t="s">
        <v>11</v>
      </c>
      <c r="I759" s="163"/>
    </row>
    <row r="760" spans="1:9" ht="25.5" x14ac:dyDescent="0.2">
      <c r="A760" s="3"/>
      <c r="B760" s="165" t="s">
        <v>492</v>
      </c>
      <c r="C760" s="7">
        <v>5</v>
      </c>
      <c r="D760" s="161"/>
      <c r="E760" s="161"/>
      <c r="F760" s="161"/>
      <c r="G760" s="161"/>
      <c r="H760" s="8">
        <f>ROUND(IF(PRODUCT(IF(C760=0,1,C760),IF(D760=0,1,D760),IF(E760=0,1,E760),IF(F760=0,1,F760),IF(G760=0,1,G760))=1,0,PRODUCT(IF(C760=0,1,C760),IF(D760=0,1,D760),IF(E760=0,1,E760),IF(F760=0,1,F760),IF(G760=0,1,G760))),2)</f>
        <v>5</v>
      </c>
      <c r="I760" s="163"/>
    </row>
    <row r="761" spans="1:9" x14ac:dyDescent="0.2">
      <c r="A761" s="3"/>
      <c r="B761" s="166"/>
      <c r="C761" s="161"/>
      <c r="D761" s="161"/>
      <c r="E761" s="161"/>
      <c r="F761" s="161"/>
      <c r="G761" s="161"/>
      <c r="H761" s="8">
        <f>ROUND(IF(PRODUCT(IF(C761=0,1,C761),IF(E761=0,1,E761),IF(F761=0,1,F761),IF(G761=0,1,G761))=1,0,PRODUCT(IF(C761=0,1,C761),IF(E761=0,1,E761),IF(F761=0,1,F761),IF(G761=0,1,G761))),2)</f>
        <v>0</v>
      </c>
      <c r="I761" s="163"/>
    </row>
    <row r="762" spans="1:9" x14ac:dyDescent="0.2">
      <c r="A762" s="3"/>
      <c r="B762" s="162"/>
      <c r="C762" s="167"/>
      <c r="D762" s="167"/>
      <c r="E762" s="168"/>
      <c r="F762" s="169" t="s">
        <v>11</v>
      </c>
      <c r="G762" s="170" t="s">
        <v>264</v>
      </c>
      <c r="H762" s="171">
        <f>SUM(H760:H760)</f>
        <v>5</v>
      </c>
      <c r="I762" s="172" t="s">
        <v>277</v>
      </c>
    </row>
    <row r="763" spans="1:9" ht="15" customHeight="1" x14ac:dyDescent="0.2">
      <c r="A763" s="3" t="str">
        <f>'Orçamento Sintético'!A174</f>
        <v>13.3.17</v>
      </c>
      <c r="B763" s="279" t="str">
        <f>'Orçamento Sintético'!D174</f>
        <v>PROLONGAMENTO / PROLONGADOR PARA CAIXA SIFONADA, PVC, 150 MM X 200 MM (NBR 5688)</v>
      </c>
      <c r="C763" s="280"/>
      <c r="D763" s="280"/>
      <c r="E763" s="281"/>
      <c r="F763" s="162"/>
      <c r="G763" s="162"/>
      <c r="H763" s="162"/>
      <c r="I763" s="163"/>
    </row>
    <row r="764" spans="1:9" x14ac:dyDescent="0.2">
      <c r="A764" s="3"/>
      <c r="B764" s="164" t="s">
        <v>260</v>
      </c>
      <c r="C764" s="164" t="s">
        <v>8</v>
      </c>
      <c r="D764" s="164" t="s">
        <v>266</v>
      </c>
      <c r="E764" s="164" t="s">
        <v>261</v>
      </c>
      <c r="F764" s="164" t="s">
        <v>262</v>
      </c>
      <c r="G764" s="164" t="s">
        <v>263</v>
      </c>
      <c r="H764" s="164" t="s">
        <v>11</v>
      </c>
      <c r="I764" s="163"/>
    </row>
    <row r="765" spans="1:9" ht="25.5" x14ac:dyDescent="0.2">
      <c r="A765" s="3"/>
      <c r="B765" s="165" t="s">
        <v>492</v>
      </c>
      <c r="C765" s="7">
        <v>5</v>
      </c>
      <c r="D765" s="161"/>
      <c r="E765" s="161"/>
      <c r="F765" s="161"/>
      <c r="G765" s="161"/>
      <c r="H765" s="8">
        <f>ROUND(IF(PRODUCT(IF(C765=0,1,C765),IF(D765=0,1,D765),IF(E765=0,1,E765),IF(F765=0,1,F765),IF(G765=0,1,G765))=1,0,PRODUCT(IF(C765=0,1,C765),IF(D765=0,1,D765),IF(E765=0,1,E765),IF(F765=0,1,F765),IF(G765=0,1,G765))),2)</f>
        <v>5</v>
      </c>
      <c r="I765" s="163"/>
    </row>
    <row r="766" spans="1:9" x14ac:dyDescent="0.2">
      <c r="A766" s="3"/>
      <c r="B766" s="166"/>
      <c r="C766" s="161"/>
      <c r="D766" s="161"/>
      <c r="E766" s="161"/>
      <c r="F766" s="161"/>
      <c r="G766" s="161"/>
      <c r="H766" s="8">
        <f>ROUND(IF(PRODUCT(IF(C766=0,1,C766),IF(E766=0,1,E766),IF(F766=0,1,F766),IF(G766=0,1,G766))=1,0,PRODUCT(IF(C766=0,1,C766),IF(E766=0,1,E766),IF(F766=0,1,F766),IF(G766=0,1,G766))),2)</f>
        <v>0</v>
      </c>
      <c r="I766" s="163"/>
    </row>
    <row r="767" spans="1:9" x14ac:dyDescent="0.2">
      <c r="A767" s="3"/>
      <c r="B767" s="162"/>
      <c r="C767" s="167"/>
      <c r="D767" s="167"/>
      <c r="E767" s="168"/>
      <c r="F767" s="169" t="s">
        <v>11</v>
      </c>
      <c r="G767" s="170" t="s">
        <v>264</v>
      </c>
      <c r="H767" s="171">
        <f>SUM(H765:H765)</f>
        <v>5</v>
      </c>
      <c r="I767" s="172" t="s">
        <v>277</v>
      </c>
    </row>
    <row r="768" spans="1:9" ht="15" customHeight="1" x14ac:dyDescent="0.2">
      <c r="A768" s="96" t="str">
        <f>'Orçamento Sintético'!A175</f>
        <v>13.4</v>
      </c>
      <c r="B768" s="173" t="str">
        <f>'Orçamento Sintético'!D175</f>
        <v>FOSSA</v>
      </c>
      <c r="C768" s="283"/>
      <c r="D768" s="284"/>
      <c r="E768" s="284"/>
      <c r="F768" s="284"/>
      <c r="G768" s="284"/>
      <c r="H768" s="284"/>
      <c r="I768" s="285"/>
    </row>
    <row r="769" spans="1:9" ht="15" customHeight="1" x14ac:dyDescent="0.2">
      <c r="A769" s="3" t="str">
        <f>'Orçamento Sintético'!A176</f>
        <v>13.4.1</v>
      </c>
      <c r="B769" s="279" t="str">
        <f>'Orçamento Sintético'!D176</f>
        <v>FOSSA SÉPTICA EM ALVENARIA BLOCO DE CIMENTO E CONCRETO ARMADO, DIMENSÕES INTERNAS 1,20 X 2,40 X 1,20 M</v>
      </c>
      <c r="C769" s="280"/>
      <c r="D769" s="280"/>
      <c r="E769" s="281"/>
      <c r="F769" s="162"/>
      <c r="G769" s="162"/>
      <c r="H769" s="162"/>
      <c r="I769" s="163"/>
    </row>
    <row r="770" spans="1:9" x14ac:dyDescent="0.2">
      <c r="A770" s="3"/>
      <c r="B770" s="164" t="s">
        <v>260</v>
      </c>
      <c r="C770" s="164" t="s">
        <v>8</v>
      </c>
      <c r="D770" s="164" t="s">
        <v>266</v>
      </c>
      <c r="E770" s="164" t="s">
        <v>261</v>
      </c>
      <c r="F770" s="164" t="s">
        <v>262</v>
      </c>
      <c r="G770" s="164" t="s">
        <v>263</v>
      </c>
      <c r="H770" s="164" t="s">
        <v>11</v>
      </c>
      <c r="I770" s="163"/>
    </row>
    <row r="771" spans="1:9" x14ac:dyDescent="0.2">
      <c r="A771" s="3"/>
      <c r="B771" s="165" t="s">
        <v>553</v>
      </c>
      <c r="C771" s="7">
        <v>1</v>
      </c>
      <c r="D771" s="161"/>
      <c r="E771" s="161"/>
      <c r="F771" s="161"/>
      <c r="G771" s="161"/>
      <c r="H771" s="8">
        <f>PRODUCT(C771,D771,E771,F771,G771)</f>
        <v>1</v>
      </c>
      <c r="I771" s="163"/>
    </row>
    <row r="772" spans="1:9" x14ac:dyDescent="0.2">
      <c r="A772" s="3"/>
      <c r="B772" s="166"/>
      <c r="C772" s="161"/>
      <c r="D772" s="161"/>
      <c r="E772" s="161"/>
      <c r="F772" s="161"/>
      <c r="G772" s="161"/>
      <c r="H772" s="8">
        <f>ROUND(IF(PRODUCT(IF(C772=0,1,C772),IF(E772=0,1,E772),IF(F772=0,1,F772),IF(G772=0,1,G772))=1,0,PRODUCT(IF(C772=0,1,C772),IF(E772=0,1,E772),IF(F772=0,1,F772),IF(G772=0,1,G772))),2)</f>
        <v>0</v>
      </c>
      <c r="I772" s="163"/>
    </row>
    <row r="773" spans="1:9" x14ac:dyDescent="0.2">
      <c r="A773" s="3"/>
      <c r="B773" s="162"/>
      <c r="C773" s="167"/>
      <c r="D773" s="167"/>
      <c r="E773" s="168"/>
      <c r="F773" s="169" t="s">
        <v>11</v>
      </c>
      <c r="G773" s="170" t="s">
        <v>264</v>
      </c>
      <c r="H773" s="171">
        <f>SUM(H771:H771)</f>
        <v>1</v>
      </c>
      <c r="I773" s="172" t="s">
        <v>277</v>
      </c>
    </row>
    <row r="774" spans="1:9" ht="15" customHeight="1" x14ac:dyDescent="0.2">
      <c r="A774" s="96" t="str">
        <f>'Orçamento Sintético'!A177</f>
        <v>13.5</v>
      </c>
      <c r="B774" s="173" t="str">
        <f>'Orçamento Sintético'!D177</f>
        <v>SUMIDOURO</v>
      </c>
      <c r="C774" s="283"/>
      <c r="D774" s="284"/>
      <c r="E774" s="284"/>
      <c r="F774" s="284"/>
      <c r="G774" s="284"/>
      <c r="H774" s="284"/>
      <c r="I774" s="285"/>
    </row>
    <row r="775" spans="1:9" ht="15" customHeight="1" x14ac:dyDescent="0.2">
      <c r="A775" s="3" t="str">
        <f>'Orçamento Sintético'!A178</f>
        <v>13.5.1</v>
      </c>
      <c r="B775" s="279" t="str">
        <f>'Orçamento Sintético'!D178</f>
        <v>SUMIDOURO PAREDES COM BLOCOS CERÂMICOS 6 FUROS E DIMENSÕES INTERNAS DE 3,00 X 1,50 X 1,50 M</v>
      </c>
      <c r="C775" s="280"/>
      <c r="D775" s="280"/>
      <c r="E775" s="281"/>
      <c r="F775" s="162"/>
      <c r="G775" s="162"/>
      <c r="H775" s="162"/>
      <c r="I775" s="163"/>
    </row>
    <row r="776" spans="1:9" x14ac:dyDescent="0.2">
      <c r="A776" s="3"/>
      <c r="B776" s="164" t="s">
        <v>260</v>
      </c>
      <c r="C776" s="164" t="s">
        <v>8</v>
      </c>
      <c r="D776" s="164" t="s">
        <v>266</v>
      </c>
      <c r="E776" s="164" t="s">
        <v>261</v>
      </c>
      <c r="F776" s="164" t="s">
        <v>262</v>
      </c>
      <c r="G776" s="164" t="s">
        <v>263</v>
      </c>
      <c r="H776" s="164" t="s">
        <v>11</v>
      </c>
      <c r="I776" s="163"/>
    </row>
    <row r="777" spans="1:9" x14ac:dyDescent="0.2">
      <c r="A777" s="3"/>
      <c r="B777" s="165" t="s">
        <v>553</v>
      </c>
      <c r="C777" s="7">
        <v>1</v>
      </c>
      <c r="D777" s="161"/>
      <c r="E777" s="161"/>
      <c r="F777" s="161"/>
      <c r="G777" s="161"/>
      <c r="H777" s="8">
        <f>PRODUCT(C777,D777,E777,F777,G777)</f>
        <v>1</v>
      </c>
      <c r="I777" s="163"/>
    </row>
    <row r="778" spans="1:9" x14ac:dyDescent="0.2">
      <c r="A778" s="3"/>
      <c r="B778" s="166"/>
      <c r="C778" s="161"/>
      <c r="D778" s="161"/>
      <c r="E778" s="161"/>
      <c r="F778" s="161"/>
      <c r="G778" s="161"/>
      <c r="H778" s="8">
        <f>ROUND(IF(PRODUCT(IF(C778=0,1,C778),IF(E778=0,1,E778),IF(F778=0,1,F778),IF(G778=0,1,G778))=1,0,PRODUCT(IF(C778=0,1,C778),IF(E778=0,1,E778),IF(F778=0,1,F778),IF(G778=0,1,G778))),2)</f>
        <v>0</v>
      </c>
      <c r="I778" s="163"/>
    </row>
    <row r="779" spans="1:9" x14ac:dyDescent="0.2">
      <c r="A779" s="3"/>
      <c r="B779" s="162"/>
      <c r="C779" s="167"/>
      <c r="D779" s="167"/>
      <c r="E779" s="168"/>
      <c r="F779" s="169" t="s">
        <v>11</v>
      </c>
      <c r="G779" s="170" t="s">
        <v>264</v>
      </c>
      <c r="H779" s="171">
        <f>SUM(H777:H777)</f>
        <v>1</v>
      </c>
      <c r="I779" s="172" t="s">
        <v>277</v>
      </c>
    </row>
    <row r="780" spans="1:9" ht="15" customHeight="1" x14ac:dyDescent="0.2">
      <c r="A780" s="96" t="str">
        <f>'Orçamento Sintético'!A179</f>
        <v>13.6</v>
      </c>
      <c r="B780" s="97" t="str">
        <f>'Orçamento Sintético'!D179</f>
        <v>ACABAMENTOS</v>
      </c>
      <c r="C780" s="273"/>
      <c r="D780" s="274"/>
      <c r="E780" s="274"/>
      <c r="F780" s="274"/>
      <c r="G780" s="274"/>
      <c r="H780" s="274"/>
      <c r="I780" s="275"/>
    </row>
    <row r="781" spans="1:9" ht="14.25" customHeight="1" x14ac:dyDescent="0.2">
      <c r="A781" s="3" t="str">
        <f>'Orçamento Sintético'!A180</f>
        <v>13.6.1</v>
      </c>
      <c r="B781" s="270" t="str">
        <f>'Orçamento Sintético'!D180</f>
        <v>BANCADA EM GRANITO VERDE UBATUBA, E = 2CM</v>
      </c>
      <c r="C781" s="271"/>
      <c r="D781" s="271"/>
      <c r="E781" s="272"/>
      <c r="I781" s="5"/>
    </row>
    <row r="782" spans="1:9" x14ac:dyDescent="0.2">
      <c r="A782" s="3"/>
      <c r="B782" s="91" t="s">
        <v>260</v>
      </c>
      <c r="C782" s="91" t="s">
        <v>8</v>
      </c>
      <c r="D782" s="91" t="s">
        <v>266</v>
      </c>
      <c r="E782" s="91" t="s">
        <v>261</v>
      </c>
      <c r="F782" s="91" t="s">
        <v>262</v>
      </c>
      <c r="G782" s="91" t="s">
        <v>263</v>
      </c>
      <c r="H782" s="91" t="s">
        <v>11</v>
      </c>
      <c r="I782" s="5"/>
    </row>
    <row r="783" spans="1:9" x14ac:dyDescent="0.2">
      <c r="A783" s="3"/>
      <c r="B783" s="6" t="s">
        <v>493</v>
      </c>
      <c r="C783" s="7">
        <v>2</v>
      </c>
      <c r="D783" s="7"/>
      <c r="E783" s="7">
        <v>2</v>
      </c>
      <c r="F783" s="7">
        <v>0.5</v>
      </c>
      <c r="G783" s="7"/>
      <c r="H783" s="8">
        <f>PRODUCT(C783,D783,E783,F783,G783)</f>
        <v>2</v>
      </c>
      <c r="I783" s="5"/>
    </row>
    <row r="784" spans="1:9" x14ac:dyDescent="0.2">
      <c r="A784" s="3"/>
      <c r="B784" s="6"/>
      <c r="C784" s="7"/>
      <c r="D784" s="7"/>
      <c r="E784" s="7"/>
      <c r="F784" s="7"/>
      <c r="G784" s="7"/>
      <c r="H784" s="8">
        <f>ROUND(IF(PRODUCT(IF(C784=0,1,C784),IF(E784=0,1,E784),IF(F784=0,1,F784),IF(G784=0,1,G784))=1,0,PRODUCT(IF(C784=0,1,C784),IF(E784=0,1,E784),IF(F784=0,1,F784),IF(G784=0,1,G784))),2)</f>
        <v>0</v>
      </c>
      <c r="I784" s="5"/>
    </row>
    <row r="785" spans="1:9" x14ac:dyDescent="0.2">
      <c r="A785" s="3"/>
      <c r="C785" s="10"/>
      <c r="D785" s="10"/>
      <c r="E785" s="9"/>
      <c r="F785" s="94" t="s">
        <v>11</v>
      </c>
      <c r="G785" s="95" t="s">
        <v>264</v>
      </c>
      <c r="H785" s="11">
        <f>SUM(H783:H783)</f>
        <v>2</v>
      </c>
      <c r="I785" s="12" t="s">
        <v>17</v>
      </c>
    </row>
    <row r="786" spans="1:9" ht="14.25" customHeight="1" x14ac:dyDescent="0.2">
      <c r="A786" s="3" t="str">
        <f>'Orçamento Sintético'!A181</f>
        <v>13.6.2</v>
      </c>
      <c r="B786" s="270" t="str">
        <f>'Orçamento Sintético'!D181</f>
        <v>RODOPIA EM GRANITO PRETO, H = 10 CM, APLICADO COM ARGAMASSA INDUSTRIALIZADA AC-I</v>
      </c>
      <c r="C786" s="271"/>
      <c r="D786" s="271"/>
      <c r="E786" s="272"/>
      <c r="I786" s="5"/>
    </row>
    <row r="787" spans="1:9" x14ac:dyDescent="0.2">
      <c r="A787" s="3"/>
      <c r="B787" s="91" t="s">
        <v>260</v>
      </c>
      <c r="C787" s="91" t="s">
        <v>8</v>
      </c>
      <c r="D787" s="91" t="s">
        <v>266</v>
      </c>
      <c r="E787" s="91" t="s">
        <v>261</v>
      </c>
      <c r="F787" s="91" t="s">
        <v>262</v>
      </c>
      <c r="G787" s="91" t="s">
        <v>263</v>
      </c>
      <c r="H787" s="91" t="s">
        <v>11</v>
      </c>
      <c r="I787" s="5"/>
    </row>
    <row r="788" spans="1:9" x14ac:dyDescent="0.2">
      <c r="A788" s="3"/>
      <c r="B788" s="6" t="s">
        <v>493</v>
      </c>
      <c r="C788" s="7">
        <v>2</v>
      </c>
      <c r="D788" s="7"/>
      <c r="E788" s="7">
        <f>2+0.5</f>
        <v>2.5</v>
      </c>
      <c r="F788" s="7"/>
      <c r="G788" s="7"/>
      <c r="H788" s="8">
        <f>ROUND(IF(PRODUCT(IF(C788=0,1,C788),IF(D788=0,1,D788),IF(E788=0,1,E788),IF(F788=0,1,F788),IF(G788=0,1,G788))=1,0,PRODUCT(IF(C788=0,1,C788),IF(D788=0,1,D788),IF(E788=0,1,E788),IF(F788=0,1,F788),IF(G788=0,1,G788))),2)</f>
        <v>5</v>
      </c>
      <c r="I788" s="5"/>
    </row>
    <row r="789" spans="1:9" x14ac:dyDescent="0.2">
      <c r="A789" s="3"/>
      <c r="B789" s="6"/>
      <c r="C789" s="7"/>
      <c r="D789" s="7"/>
      <c r="E789" s="7"/>
      <c r="F789" s="7"/>
      <c r="G789" s="7"/>
      <c r="H789" s="8">
        <f>ROUND(IF(PRODUCT(IF(C789=0,1,C789),IF(E789=0,1,E789),IF(F789=0,1,F789),IF(G789=0,1,G789))=1,0,PRODUCT(IF(C789=0,1,C789),IF(E789=0,1,E789),IF(F789=0,1,F789),IF(G789=0,1,G789))),2)</f>
        <v>0</v>
      </c>
      <c r="I789" s="5"/>
    </row>
    <row r="790" spans="1:9" x14ac:dyDescent="0.2">
      <c r="A790" s="3"/>
      <c r="C790" s="10"/>
      <c r="D790" s="10"/>
      <c r="E790" s="9"/>
      <c r="F790" s="94" t="s">
        <v>11</v>
      </c>
      <c r="G790" s="95" t="s">
        <v>264</v>
      </c>
      <c r="H790" s="11">
        <f>SUM(H788:H788)</f>
        <v>5</v>
      </c>
      <c r="I790" s="12" t="s">
        <v>186</v>
      </c>
    </row>
    <row r="791" spans="1:9" ht="12.75" customHeight="1" x14ac:dyDescent="0.2">
      <c r="A791" s="3" t="str">
        <f>'Orçamento Sintético'!A182</f>
        <v>13.6.3</v>
      </c>
      <c r="B791" s="270" t="str">
        <f>'Orçamento Sintético'!D182</f>
        <v>TESTEIRA EM GRANITO VERDE UBATUBA, H=10CM, ESP=2CM, APLICADO COM ARGAMASSA INDUSTRIALIZADA AC-I</v>
      </c>
      <c r="C791" s="271"/>
      <c r="D791" s="271"/>
      <c r="E791" s="272"/>
      <c r="I791" s="5"/>
    </row>
    <row r="792" spans="1:9" x14ac:dyDescent="0.2">
      <c r="A792" s="3"/>
      <c r="B792" s="91" t="s">
        <v>260</v>
      </c>
      <c r="C792" s="91" t="s">
        <v>8</v>
      </c>
      <c r="D792" s="91" t="s">
        <v>266</v>
      </c>
      <c r="E792" s="91" t="s">
        <v>261</v>
      </c>
      <c r="F792" s="91" t="s">
        <v>262</v>
      </c>
      <c r="G792" s="91" t="s">
        <v>263</v>
      </c>
      <c r="H792" s="91" t="s">
        <v>11</v>
      </c>
      <c r="I792" s="5"/>
    </row>
    <row r="793" spans="1:9" x14ac:dyDescent="0.2">
      <c r="A793" s="3"/>
      <c r="B793" s="6" t="s">
        <v>493</v>
      </c>
      <c r="C793" s="7">
        <v>2</v>
      </c>
      <c r="D793" s="7"/>
      <c r="E793" s="7">
        <f>2+0.5</f>
        <v>2.5</v>
      </c>
      <c r="F793" s="7"/>
      <c r="G793" s="7"/>
      <c r="H793" s="8">
        <f>ROUND(IF(PRODUCT(IF(C793=0,1,C793),IF(D793=0,1,D793),IF(E793=0,1,E793),IF(F793=0,1,F793),IF(G793=0,1,G793))=1,0,PRODUCT(IF(C793=0,1,C793),IF(D793=0,1,D793),IF(E793=0,1,E793),IF(F793=0,1,F793),IF(G793=0,1,G793))),2)</f>
        <v>5</v>
      </c>
      <c r="I793" s="5"/>
    </row>
    <row r="794" spans="1:9" x14ac:dyDescent="0.2">
      <c r="A794" s="3"/>
      <c r="B794" s="6"/>
      <c r="C794" s="7"/>
      <c r="D794" s="7"/>
      <c r="E794" s="7"/>
      <c r="F794" s="7"/>
      <c r="G794" s="7"/>
      <c r="H794" s="8">
        <f>ROUND(IF(PRODUCT(IF(C794=0,1,C794),IF(E794=0,1,E794),IF(F794=0,1,F794),IF(G794=0,1,G794))=1,0,PRODUCT(IF(C794=0,1,C794),IF(E794=0,1,E794),IF(F794=0,1,F794),IF(G794=0,1,G794))),2)</f>
        <v>0</v>
      </c>
      <c r="I794" s="5"/>
    </row>
    <row r="795" spans="1:9" x14ac:dyDescent="0.2">
      <c r="A795" s="3"/>
      <c r="C795" s="10"/>
      <c r="D795" s="10"/>
      <c r="E795" s="9"/>
      <c r="F795" s="94" t="s">
        <v>11</v>
      </c>
      <c r="G795" s="95" t="s">
        <v>264</v>
      </c>
      <c r="H795" s="11">
        <f>SUM(H793:H793)</f>
        <v>5</v>
      </c>
      <c r="I795" s="12" t="s">
        <v>186</v>
      </c>
    </row>
    <row r="796" spans="1:9" ht="24" customHeight="1" x14ac:dyDescent="0.2">
      <c r="A796" s="3" t="str">
        <f>'Orçamento Sintético'!A183</f>
        <v>13.6.4</v>
      </c>
      <c r="B796" s="270" t="str">
        <f>'Orçamento Sintético'!D183</f>
        <v>DIVISÓRIA EM GRANITO VERDE UBATUBA, POLIDO DOS DOIS LADOS, ACABAMENTO BOLEADO, E= 2CM, ASSENTADO COM ARGAMASSA TRACO 1:4, ARREMATE EM CIMENTO BRANCO, EXCLUSIVE FERRAGENS</v>
      </c>
      <c r="C796" s="271"/>
      <c r="D796" s="271"/>
      <c r="E796" s="272"/>
      <c r="I796" s="5"/>
    </row>
    <row r="797" spans="1:9" x14ac:dyDescent="0.2">
      <c r="A797" s="3"/>
      <c r="B797" s="91" t="s">
        <v>260</v>
      </c>
      <c r="C797" s="91" t="s">
        <v>8</v>
      </c>
      <c r="D797" s="91" t="s">
        <v>266</v>
      </c>
      <c r="E797" s="91" t="s">
        <v>261</v>
      </c>
      <c r="F797" s="91" t="s">
        <v>262</v>
      </c>
      <c r="G797" s="91" t="s">
        <v>263</v>
      </c>
      <c r="H797" s="91" t="s">
        <v>11</v>
      </c>
      <c r="I797" s="5"/>
    </row>
    <row r="798" spans="1:9" x14ac:dyDescent="0.2">
      <c r="A798" s="3"/>
      <c r="B798" s="6" t="s">
        <v>493</v>
      </c>
      <c r="C798" s="7">
        <v>2</v>
      </c>
      <c r="D798" s="7"/>
      <c r="E798" s="7">
        <f>1.5+1.5+1.5+4</f>
        <v>8.5</v>
      </c>
      <c r="F798" s="7"/>
      <c r="G798" s="7">
        <v>1.9</v>
      </c>
      <c r="H798" s="8">
        <f>ROUND(IF(PRODUCT(IF(C798=0,1,C798),IF(D798=0,1,D798),IF(E798=0,1,E798),IF(F798=0,1,F798),IF(G798=0,1,G798))=1,0,PRODUCT(IF(C798=0,1,C798),IF(D798=0,1,D798),IF(E798=0,1,E798),IF(F798=0,1,F798),IF(G798=0,1,G798))),2)</f>
        <v>32.299999999999997</v>
      </c>
      <c r="I798" s="5"/>
    </row>
    <row r="799" spans="1:9" x14ac:dyDescent="0.2">
      <c r="A799" s="3"/>
      <c r="B799" s="6"/>
      <c r="C799" s="7"/>
      <c r="D799" s="7"/>
      <c r="E799" s="7"/>
      <c r="F799" s="7"/>
      <c r="G799" s="7"/>
      <c r="H799" s="8"/>
      <c r="I799" s="5"/>
    </row>
    <row r="800" spans="1:9" x14ac:dyDescent="0.2">
      <c r="A800" s="3"/>
      <c r="B800" s="23" t="s">
        <v>435</v>
      </c>
      <c r="C800" s="7"/>
      <c r="D800" s="7"/>
      <c r="E800" s="7"/>
      <c r="F800" s="7"/>
      <c r="G800" s="7"/>
      <c r="H800" s="8">
        <f>ROUND(IF(PRODUCT(IF(C800=0,1,C800),IF(D800=0,1,D800),IF(E800=0,1,E800),IF(F800=0,1,F800),IF(G800=0,1,G800))=1,0,PRODUCT(IF(C800=0,1,C800),IF(D800=0,1,D800),IF(E800=0,1,E800),IF(F800=0,1,F800),IF(G800=0,1,G800))),2)</f>
        <v>0</v>
      </c>
      <c r="I800" s="5"/>
    </row>
    <row r="801" spans="1:9" x14ac:dyDescent="0.2">
      <c r="A801" s="3"/>
      <c r="B801" s="16" t="s">
        <v>433</v>
      </c>
      <c r="C801" s="25">
        <v>6</v>
      </c>
      <c r="D801" s="25"/>
      <c r="E801" s="25">
        <v>0.8</v>
      </c>
      <c r="F801" s="25"/>
      <c r="G801" s="25">
        <v>1.9</v>
      </c>
      <c r="H801" s="17">
        <f>-ROUND(IF(PRODUCT(IF(C801=0,1,C801),IF(D801=0,1,D801),IF(E801=0,1,E801),IF(F801=0,1,F801),IF(G801=0,1,G801))=1,0,PRODUCT(IF(C801=0,1,C801),IF(D801=0,1,D801),IF(E801=0,1,E801),IF(F801=0,1,F801),IF(G801=0,1,G801))),2)</f>
        <v>-9.1199999999999992</v>
      </c>
      <c r="I801" s="5"/>
    </row>
    <row r="802" spans="1:9" x14ac:dyDescent="0.2">
      <c r="A802" s="3"/>
      <c r="B802" s="16" t="s">
        <v>434</v>
      </c>
      <c r="C802" s="25">
        <v>2</v>
      </c>
      <c r="D802" s="25"/>
      <c r="E802" s="25">
        <v>0.9</v>
      </c>
      <c r="F802" s="25"/>
      <c r="G802" s="25">
        <v>1.9</v>
      </c>
      <c r="H802" s="17">
        <f>-ROUND(IF(PRODUCT(IF(C802=0,1,C802),IF(D802=0,1,D802),IF(E802=0,1,E802),IF(F802=0,1,F802),IF(G802=0,1,G802))=1,0,PRODUCT(IF(C802=0,1,C802),IF(D802=0,1,D802),IF(E802=0,1,E802),IF(F802=0,1,F802),IF(G802=0,1,G802))),2)</f>
        <v>-3.42</v>
      </c>
      <c r="I802" s="5"/>
    </row>
    <row r="803" spans="1:9" x14ac:dyDescent="0.2">
      <c r="A803" s="3"/>
      <c r="B803" s="16" t="s">
        <v>979</v>
      </c>
      <c r="C803" s="25">
        <v>6</v>
      </c>
      <c r="D803" s="25"/>
      <c r="E803" s="25">
        <v>0.75</v>
      </c>
      <c r="F803" s="25"/>
      <c r="G803" s="25">
        <v>0.25</v>
      </c>
      <c r="H803" s="17">
        <f>-ROUND(IF(PRODUCT(IF(C803=0,1,C803),IF(D803=0,1,D803),IF(E803=0,1,E803),IF(F803=0,1,F803),IF(G803=0,1,G803))=1,0,PRODUCT(IF(C803=0,1,C803),IF(D803=0,1,D803),IF(E803=0,1,E803),IF(F803=0,1,F803),IF(G803=0,1,G803))),2)</f>
        <v>-1.1299999999999999</v>
      </c>
      <c r="I803" s="5"/>
    </row>
    <row r="804" spans="1:9" x14ac:dyDescent="0.2">
      <c r="A804" s="3"/>
      <c r="B804" s="6"/>
      <c r="C804" s="7"/>
      <c r="D804" s="7"/>
      <c r="E804" s="7"/>
      <c r="F804" s="7"/>
      <c r="G804" s="7"/>
      <c r="H804" s="8">
        <f>ROUND(IF(PRODUCT(IF(C804=0,1,C804),IF(E804=0,1,E804),IF(F804=0,1,F804),IF(G804=0,1,G804))=1,0,PRODUCT(IF(C804=0,1,C804),IF(E804=0,1,E804),IF(F804=0,1,F804),IF(G804=0,1,G804))),2)</f>
        <v>0</v>
      </c>
      <c r="I804" s="5"/>
    </row>
    <row r="805" spans="1:9" x14ac:dyDescent="0.2">
      <c r="A805" s="3"/>
      <c r="C805" s="10"/>
      <c r="D805" s="10"/>
      <c r="E805" s="9"/>
      <c r="F805" s="94" t="s">
        <v>11</v>
      </c>
      <c r="G805" s="95" t="s">
        <v>264</v>
      </c>
      <c r="H805" s="11">
        <f>SUM(H798:H803)</f>
        <v>18.63</v>
      </c>
      <c r="I805" s="12" t="s">
        <v>17</v>
      </c>
    </row>
    <row r="806" spans="1:9" ht="24.75" customHeight="1" x14ac:dyDescent="0.2">
      <c r="A806" s="3" t="str">
        <f>'Orçamento Sintético'!A184</f>
        <v>13.6.5</v>
      </c>
      <c r="B806" s="270" t="str">
        <f>'Orçamento Sintético'!D184</f>
        <v>VASO SANITÁRIO SIFONADO COM CAIXA ACOPLADA LOUÇA BRANCA, INCLUSO ENGATE FLEXÍVEL EM PLÁSTICO BRANCO, 1/2  X 40CM - FORNECIMENTO E INSTALAÇÃO. AF_01/2020</v>
      </c>
      <c r="C806" s="271"/>
      <c r="D806" s="271"/>
      <c r="E806" s="272"/>
      <c r="I806" s="5"/>
    </row>
    <row r="807" spans="1:9" x14ac:dyDescent="0.2">
      <c r="A807" s="3"/>
      <c r="B807" s="91" t="s">
        <v>260</v>
      </c>
      <c r="C807" s="91" t="s">
        <v>8</v>
      </c>
      <c r="D807" s="91" t="s">
        <v>266</v>
      </c>
      <c r="E807" s="91" t="s">
        <v>261</v>
      </c>
      <c r="F807" s="91" t="s">
        <v>262</v>
      </c>
      <c r="G807" s="91" t="s">
        <v>263</v>
      </c>
      <c r="H807" s="91" t="s">
        <v>11</v>
      </c>
      <c r="I807" s="5"/>
    </row>
    <row r="808" spans="1:9" x14ac:dyDescent="0.2">
      <c r="A808" s="3"/>
      <c r="B808" s="6" t="s">
        <v>493</v>
      </c>
      <c r="C808" s="7">
        <v>6</v>
      </c>
      <c r="D808" s="7"/>
      <c r="E808" s="7"/>
      <c r="F808" s="7"/>
      <c r="G808" s="7"/>
      <c r="H808" s="8">
        <f>ROUND(IF(PRODUCT(IF(C808=0,1,C808),IF(D808=0,1,D808),IF(E808=0,1,E808),IF(F808=0,1,F808),IF(G808=0,1,G808))=1,0,PRODUCT(IF(C808=0,1,C808),IF(D808=0,1,D808),IF(E808=0,1,E808),IF(F808=0,1,F808),IF(G808=0,1,G808))),2)</f>
        <v>6</v>
      </c>
      <c r="I808" s="5"/>
    </row>
    <row r="809" spans="1:9" x14ac:dyDescent="0.2">
      <c r="A809" s="3"/>
      <c r="B809" s="6"/>
      <c r="C809" s="7"/>
      <c r="D809" s="7"/>
      <c r="E809" s="7"/>
      <c r="F809" s="7"/>
      <c r="G809" s="7"/>
      <c r="H809" s="8">
        <f>ROUND(IF(PRODUCT(IF(C809=0,1,C809),IF(E809=0,1,E809),IF(F809=0,1,F809),IF(G809=0,1,G809))=1,0,PRODUCT(IF(C809=0,1,C809),IF(E809=0,1,E809),IF(F809=0,1,F809),IF(G809=0,1,G809))),2)</f>
        <v>0</v>
      </c>
      <c r="I809" s="5"/>
    </row>
    <row r="810" spans="1:9" x14ac:dyDescent="0.2">
      <c r="A810" s="3"/>
      <c r="C810" s="10"/>
      <c r="D810" s="10"/>
      <c r="E810" s="9"/>
      <c r="F810" s="94" t="s">
        <v>11</v>
      </c>
      <c r="G810" s="95" t="s">
        <v>264</v>
      </c>
      <c r="H810" s="11">
        <f>SUM(H808:H808)</f>
        <v>6</v>
      </c>
      <c r="I810" s="12" t="s">
        <v>277</v>
      </c>
    </row>
    <row r="811" spans="1:9" ht="24.75" customHeight="1" x14ac:dyDescent="0.2">
      <c r="A811" s="3" t="str">
        <f>'Orçamento Sintético'!A185</f>
        <v>13.6.6</v>
      </c>
      <c r="B811" s="270" t="str">
        <f>'Orçamento Sintético'!D185</f>
        <v>VASO SANITARIO SIFONADO CONVENCIONAL PARA PCD SEM FURO FRONTAL COM LOUÇA BRANCA SEM ASSENTO, INCLUSO CONJUNTO DE LIGAÇÃO PARA BACIA SANITÁRIA AJUSTÁVEL - FORNECIMENTO E INSTALAÇÃO. AF_01/2020</v>
      </c>
      <c r="C811" s="271"/>
      <c r="D811" s="271"/>
      <c r="E811" s="272"/>
      <c r="I811" s="5"/>
    </row>
    <row r="812" spans="1:9" x14ac:dyDescent="0.2">
      <c r="A812" s="3"/>
      <c r="B812" s="91" t="s">
        <v>260</v>
      </c>
      <c r="C812" s="91" t="s">
        <v>8</v>
      </c>
      <c r="D812" s="91" t="s">
        <v>266</v>
      </c>
      <c r="E812" s="91" t="s">
        <v>261</v>
      </c>
      <c r="F812" s="91" t="s">
        <v>262</v>
      </c>
      <c r="G812" s="91" t="s">
        <v>263</v>
      </c>
      <c r="H812" s="91" t="s">
        <v>11</v>
      </c>
      <c r="I812" s="5"/>
    </row>
    <row r="813" spans="1:9" x14ac:dyDescent="0.2">
      <c r="A813" s="3"/>
      <c r="B813" s="6" t="s">
        <v>493</v>
      </c>
      <c r="C813" s="7">
        <v>2</v>
      </c>
      <c r="D813" s="7"/>
      <c r="E813" s="7"/>
      <c r="F813" s="7"/>
      <c r="G813" s="7"/>
      <c r="H813" s="8">
        <f>ROUND(IF(PRODUCT(IF(C813=0,1,C813),IF(D813=0,1,D813),IF(E813=0,1,E813),IF(F813=0,1,F813),IF(G813=0,1,G813))=1,0,PRODUCT(IF(C813=0,1,C813),IF(D813=0,1,D813),IF(E813=0,1,E813),IF(F813=0,1,F813),IF(G813=0,1,G813))),2)</f>
        <v>2</v>
      </c>
      <c r="I813" s="5"/>
    </row>
    <row r="814" spans="1:9" x14ac:dyDescent="0.2">
      <c r="A814" s="3"/>
      <c r="B814" s="6"/>
      <c r="C814" s="7"/>
      <c r="D814" s="7"/>
      <c r="E814" s="7"/>
      <c r="F814" s="7"/>
      <c r="G814" s="7"/>
      <c r="H814" s="8">
        <f>ROUND(IF(PRODUCT(IF(C814=0,1,C814),IF(E814=0,1,E814),IF(F814=0,1,F814),IF(G814=0,1,G814))=1,0,PRODUCT(IF(C814=0,1,C814),IF(E814=0,1,E814),IF(F814=0,1,F814),IF(G814=0,1,G814))),2)</f>
        <v>0</v>
      </c>
      <c r="I814" s="5"/>
    </row>
    <row r="815" spans="1:9" x14ac:dyDescent="0.2">
      <c r="A815" s="3"/>
      <c r="C815" s="10"/>
      <c r="D815" s="10"/>
      <c r="E815" s="9"/>
      <c r="F815" s="94" t="s">
        <v>11</v>
      </c>
      <c r="G815" s="95" t="s">
        <v>264</v>
      </c>
      <c r="H815" s="11">
        <f>SUM(H813:H813)</f>
        <v>2</v>
      </c>
      <c r="I815" s="12" t="s">
        <v>277</v>
      </c>
    </row>
    <row r="816" spans="1:9" ht="15" customHeight="1" x14ac:dyDescent="0.2">
      <c r="A816" s="3" t="str">
        <f>'Orçamento Sintético'!A186</f>
        <v>13.6.7</v>
      </c>
      <c r="B816" s="270" t="str">
        <f>'Orçamento Sintético'!D186</f>
        <v>ASSENTO SANITÁRIO CONVENCIONAL - FORNECIMENTO E INSTALACAO. AF_01/2020</v>
      </c>
      <c r="C816" s="271"/>
      <c r="D816" s="271"/>
      <c r="E816" s="272"/>
      <c r="I816" s="5"/>
    </row>
    <row r="817" spans="1:9" x14ac:dyDescent="0.2">
      <c r="A817" s="3"/>
      <c r="B817" s="91" t="s">
        <v>260</v>
      </c>
      <c r="C817" s="91" t="s">
        <v>8</v>
      </c>
      <c r="D817" s="91" t="s">
        <v>266</v>
      </c>
      <c r="E817" s="91" t="s">
        <v>261</v>
      </c>
      <c r="F817" s="91" t="s">
        <v>262</v>
      </c>
      <c r="G817" s="91" t="s">
        <v>263</v>
      </c>
      <c r="H817" s="91" t="s">
        <v>11</v>
      </c>
      <c r="I817" s="5"/>
    </row>
    <row r="818" spans="1:9" x14ac:dyDescent="0.2">
      <c r="A818" s="3"/>
      <c r="B818" s="6" t="s">
        <v>493</v>
      </c>
      <c r="C818" s="7">
        <f>H815+H810</f>
        <v>8</v>
      </c>
      <c r="D818" s="7"/>
      <c r="E818" s="7"/>
      <c r="F818" s="7"/>
      <c r="G818" s="7"/>
      <c r="H818" s="8">
        <f>ROUND(IF(PRODUCT(IF(C818=0,1,C818),IF(D818=0,1,D818),IF(E818=0,1,E818),IF(F818=0,1,F818),IF(G818=0,1,G818))=1,0,PRODUCT(IF(C818=0,1,C818),IF(D818=0,1,D818),IF(E818=0,1,E818),IF(F818=0,1,F818),IF(G818=0,1,G818))),2)</f>
        <v>8</v>
      </c>
      <c r="I818" s="5"/>
    </row>
    <row r="819" spans="1:9" x14ac:dyDescent="0.2">
      <c r="A819" s="3"/>
      <c r="B819" s="6"/>
      <c r="C819" s="7"/>
      <c r="D819" s="7"/>
      <c r="E819" s="7"/>
      <c r="F819" s="7"/>
      <c r="G819" s="7"/>
      <c r="H819" s="8">
        <f>ROUND(IF(PRODUCT(IF(C819=0,1,C819),IF(E819=0,1,E819),IF(F819=0,1,F819),IF(G819=0,1,G819))=1,0,PRODUCT(IF(C819=0,1,C819),IF(E819=0,1,E819),IF(F819=0,1,F819),IF(G819=0,1,G819))),2)</f>
        <v>0</v>
      </c>
      <c r="I819" s="5"/>
    </row>
    <row r="820" spans="1:9" x14ac:dyDescent="0.2">
      <c r="A820" s="3"/>
      <c r="C820" s="10"/>
      <c r="D820" s="10"/>
      <c r="E820" s="9"/>
      <c r="F820" s="94" t="s">
        <v>11</v>
      </c>
      <c r="G820" s="95" t="s">
        <v>264</v>
      </c>
      <c r="H820" s="11">
        <f>SUM(H818:H818)</f>
        <v>8</v>
      </c>
      <c r="I820" s="12" t="s">
        <v>277</v>
      </c>
    </row>
    <row r="821" spans="1:9" ht="22.5" customHeight="1" x14ac:dyDescent="0.2">
      <c r="A821" s="3" t="str">
        <f>'Orçamento Sintético'!A187</f>
        <v>13.6.8</v>
      </c>
      <c r="B821" s="270" t="str">
        <f>'Orçamento Sintético'!D187</f>
        <v>TANQUE DE LOUÇA BRANCA COM COLUNA, 30L OU EQUIVALENTE, INCLUSO SIFÃO FLEXÍVEL EM PVC, VÁLVULA METÁLICA E TORNEIRA DE METAL CROMADO PADRÃO MÉDIO - FORNECIMENTO E INSTALAÇÃO. AF_01/2020</v>
      </c>
      <c r="C821" s="271"/>
      <c r="D821" s="271"/>
      <c r="E821" s="272"/>
      <c r="I821" s="5"/>
    </row>
    <row r="822" spans="1:9" x14ac:dyDescent="0.2">
      <c r="A822" s="3"/>
      <c r="B822" s="91" t="s">
        <v>260</v>
      </c>
      <c r="C822" s="91" t="s">
        <v>8</v>
      </c>
      <c r="D822" s="91" t="s">
        <v>266</v>
      </c>
      <c r="E822" s="91" t="s">
        <v>261</v>
      </c>
      <c r="F822" s="91" t="s">
        <v>262</v>
      </c>
      <c r="G822" s="91" t="s">
        <v>263</v>
      </c>
      <c r="H822" s="91" t="s">
        <v>11</v>
      </c>
      <c r="I822" s="5"/>
    </row>
    <row r="823" spans="1:9" x14ac:dyDescent="0.2">
      <c r="A823" s="3"/>
      <c r="B823" s="6" t="s">
        <v>493</v>
      </c>
      <c r="C823" s="7">
        <v>1</v>
      </c>
      <c r="D823" s="7"/>
      <c r="E823" s="7"/>
      <c r="F823" s="7"/>
      <c r="G823" s="7"/>
      <c r="H823" s="8">
        <f>PRODUCT(C823,D823,E823,E823,F823,G823)</f>
        <v>1</v>
      </c>
      <c r="I823" s="5"/>
    </row>
    <row r="824" spans="1:9" x14ac:dyDescent="0.2">
      <c r="A824" s="3"/>
      <c r="B824" s="6"/>
      <c r="C824" s="7"/>
      <c r="D824" s="7"/>
      <c r="E824" s="7"/>
      <c r="F824" s="7"/>
      <c r="G824" s="7"/>
      <c r="H824" s="8">
        <f>ROUND(IF(PRODUCT(IF(C824=0,1,C824),IF(E824=0,1,E824),IF(F824=0,1,F824),IF(G824=0,1,G824))=1,0,PRODUCT(IF(C824=0,1,C824),IF(E824=0,1,E824),IF(F824=0,1,F824),IF(G824=0,1,G824))),2)</f>
        <v>0</v>
      </c>
      <c r="I824" s="5"/>
    </row>
    <row r="825" spans="1:9" x14ac:dyDescent="0.2">
      <c r="A825" s="3"/>
      <c r="C825" s="10"/>
      <c r="D825" s="10"/>
      <c r="E825" s="9"/>
      <c r="F825" s="94" t="s">
        <v>11</v>
      </c>
      <c r="G825" s="95" t="s">
        <v>264</v>
      </c>
      <c r="H825" s="11">
        <f>SUM(H823:H823)</f>
        <v>1</v>
      </c>
      <c r="I825" s="12" t="s">
        <v>277</v>
      </c>
    </row>
    <row r="826" spans="1:9" ht="22.5" customHeight="1" x14ac:dyDescent="0.2">
      <c r="A826" s="3" t="str">
        <f>'Orçamento Sintético'!A188</f>
        <v>13.6.9</v>
      </c>
      <c r="B826" s="270" t="str">
        <f>'Orçamento Sintético'!D188</f>
        <v>TORNEIRA CROMADA DE MESA, 1/2" OU 3/4", PARA LAVATÓRIO, PADRÃO MÉDIO - FORNECIMENTO E INSTALAÇÃO. AF_01/2020</v>
      </c>
      <c r="C826" s="271"/>
      <c r="D826" s="271"/>
      <c r="E826" s="272"/>
      <c r="I826" s="5"/>
    </row>
    <row r="827" spans="1:9" x14ac:dyDescent="0.2">
      <c r="A827" s="3"/>
      <c r="B827" s="91" t="s">
        <v>260</v>
      </c>
      <c r="C827" s="91" t="s">
        <v>8</v>
      </c>
      <c r="D827" s="91" t="s">
        <v>266</v>
      </c>
      <c r="E827" s="91" t="s">
        <v>261</v>
      </c>
      <c r="F827" s="91" t="s">
        <v>262</v>
      </c>
      <c r="G827" s="91" t="s">
        <v>263</v>
      </c>
      <c r="H827" s="91" t="s">
        <v>11</v>
      </c>
      <c r="I827" s="5"/>
    </row>
    <row r="828" spans="1:9" x14ac:dyDescent="0.2">
      <c r="A828" s="3"/>
      <c r="B828" s="6" t="s">
        <v>493</v>
      </c>
      <c r="C828" s="7">
        <v>6</v>
      </c>
      <c r="D828" s="7"/>
      <c r="E828" s="7"/>
      <c r="F828" s="7"/>
      <c r="G828" s="7"/>
      <c r="H828" s="8">
        <f>ROUND(IF(PRODUCT(IF(C828=0,1,C828),IF(D828=0,1,D828),IF(E828=0,1,E828),IF(F828=0,1,F828),IF(G828=0,1,G828))=1,0,PRODUCT(IF(C828=0,1,C828),IF(D828=0,1,D828),IF(E828=0,1,E828),IF(F828=0,1,F828),IF(G828=0,1,G828))),2)</f>
        <v>6</v>
      </c>
      <c r="I828" s="5"/>
    </row>
    <row r="829" spans="1:9" x14ac:dyDescent="0.2">
      <c r="A829" s="3"/>
      <c r="B829" s="6"/>
      <c r="C829" s="7"/>
      <c r="D829" s="7"/>
      <c r="E829" s="7"/>
      <c r="F829" s="7"/>
      <c r="G829" s="7"/>
      <c r="H829" s="8">
        <f>ROUND(IF(PRODUCT(IF(C829=0,1,C829),IF(E829=0,1,E829),IF(F829=0,1,F829),IF(G829=0,1,G829))=1,0,PRODUCT(IF(C829=0,1,C829),IF(E829=0,1,E829),IF(F829=0,1,F829),IF(G829=0,1,G829))),2)</f>
        <v>0</v>
      </c>
      <c r="I829" s="5"/>
    </row>
    <row r="830" spans="1:9" x14ac:dyDescent="0.2">
      <c r="A830" s="3"/>
      <c r="C830" s="10"/>
      <c r="D830" s="10"/>
      <c r="E830" s="9"/>
      <c r="F830" s="94" t="s">
        <v>11</v>
      </c>
      <c r="G830" s="95" t="s">
        <v>264</v>
      </c>
      <c r="H830" s="11">
        <f>SUM(H828:H828)</f>
        <v>6</v>
      </c>
      <c r="I830" s="12" t="s">
        <v>277</v>
      </c>
    </row>
    <row r="831" spans="1:9" ht="22.5" customHeight="1" x14ac:dyDescent="0.2">
      <c r="A831" s="3" t="str">
        <f>'Orçamento Sintético'!A189</f>
        <v>13.6.10</v>
      </c>
      <c r="B831" s="270" t="str">
        <f>'Orçamento Sintético'!D189</f>
        <v>CUBA DE EMBUTIR OVAL EM LOUÇA BRANCA, 35 X 50CM OU EQUIVALENTE, INCLUSO VÁLVULA E SIFÃO TIPO GARRAFA EM METAL CROMADO - FORNECIMENTO E INSTALAÇÃO. AF_01/2020</v>
      </c>
      <c r="C831" s="271"/>
      <c r="D831" s="271"/>
      <c r="E831" s="272"/>
      <c r="I831" s="5"/>
    </row>
    <row r="832" spans="1:9" x14ac:dyDescent="0.2">
      <c r="A832" s="3"/>
      <c r="B832" s="91" t="s">
        <v>260</v>
      </c>
      <c r="C832" s="91" t="s">
        <v>8</v>
      </c>
      <c r="D832" s="91" t="s">
        <v>266</v>
      </c>
      <c r="E832" s="91" t="s">
        <v>261</v>
      </c>
      <c r="F832" s="91" t="s">
        <v>262</v>
      </c>
      <c r="G832" s="91" t="s">
        <v>263</v>
      </c>
      <c r="H832" s="91" t="s">
        <v>11</v>
      </c>
      <c r="I832" s="5"/>
    </row>
    <row r="833" spans="1:9" x14ac:dyDescent="0.2">
      <c r="A833" s="3"/>
      <c r="B833" s="6" t="s">
        <v>493</v>
      </c>
      <c r="C833" s="7">
        <v>6</v>
      </c>
      <c r="D833" s="7"/>
      <c r="E833" s="7"/>
      <c r="F833" s="7"/>
      <c r="G833" s="7"/>
      <c r="H833" s="8">
        <f>ROUND(IF(PRODUCT(IF(C833=0,1,C833),IF(D833=0,1,D833),IF(E833=0,1,E833),IF(F833=0,1,F833),IF(G833=0,1,G833))=1,0,PRODUCT(IF(C833=0,1,C833),IF(D833=0,1,D833),IF(E833=0,1,E833),IF(F833=0,1,F833),IF(G833=0,1,G833))),2)</f>
        <v>6</v>
      </c>
      <c r="I833" s="5"/>
    </row>
    <row r="834" spans="1:9" x14ac:dyDescent="0.2">
      <c r="A834" s="3"/>
      <c r="B834" s="6"/>
      <c r="C834" s="7"/>
      <c r="D834" s="7"/>
      <c r="E834" s="7"/>
      <c r="F834" s="7"/>
      <c r="G834" s="7"/>
      <c r="H834" s="8">
        <f>ROUND(IF(PRODUCT(IF(C834=0,1,C834),IF(E834=0,1,E834),IF(F834=0,1,F834),IF(G834=0,1,G834))=1,0,PRODUCT(IF(C834=0,1,C834),IF(E834=0,1,E834),IF(F834=0,1,F834),IF(G834=0,1,G834))),2)</f>
        <v>0</v>
      </c>
      <c r="I834" s="5"/>
    </row>
    <row r="835" spans="1:9" x14ac:dyDescent="0.2">
      <c r="A835" s="3"/>
      <c r="C835" s="10"/>
      <c r="D835" s="10"/>
      <c r="E835" s="9"/>
      <c r="F835" s="94" t="s">
        <v>11</v>
      </c>
      <c r="G835" s="95" t="s">
        <v>264</v>
      </c>
      <c r="H835" s="11">
        <f>SUM(H833:H833)</f>
        <v>6</v>
      </c>
      <c r="I835" s="12" t="s">
        <v>277</v>
      </c>
    </row>
    <row r="836" spans="1:9" ht="24" customHeight="1" x14ac:dyDescent="0.2">
      <c r="A836" s="3" t="str">
        <f>'Orçamento Sintético'!A190</f>
        <v>13.6.11</v>
      </c>
      <c r="B836" s="270" t="str">
        <f>'Orçamento Sintético'!D190</f>
        <v>SABONETEIRA PLASTICA TIPO DISPENSER PARA SABONETE LIQUIDO COM RESERVATORIO 800 A 1500 ML, INCLUSO FIXAÇÃO. AF_01/2020</v>
      </c>
      <c r="C836" s="271"/>
      <c r="D836" s="271"/>
      <c r="E836" s="272"/>
      <c r="I836" s="5"/>
    </row>
    <row r="837" spans="1:9" x14ac:dyDescent="0.2">
      <c r="A837" s="3"/>
      <c r="B837" s="91" t="s">
        <v>260</v>
      </c>
      <c r="C837" s="91" t="s">
        <v>8</v>
      </c>
      <c r="D837" s="91" t="s">
        <v>266</v>
      </c>
      <c r="E837" s="91" t="s">
        <v>261</v>
      </c>
      <c r="F837" s="91" t="s">
        <v>262</v>
      </c>
      <c r="G837" s="91" t="s">
        <v>263</v>
      </c>
      <c r="H837" s="91" t="s">
        <v>11</v>
      </c>
      <c r="I837" s="5"/>
    </row>
    <row r="838" spans="1:9" x14ac:dyDescent="0.2">
      <c r="A838" s="3"/>
      <c r="B838" s="6" t="s">
        <v>493</v>
      </c>
      <c r="C838" s="7">
        <v>2</v>
      </c>
      <c r="D838" s="7"/>
      <c r="E838" s="7"/>
      <c r="F838" s="7"/>
      <c r="G838" s="7"/>
      <c r="H838" s="8">
        <f>ROUND(IF(PRODUCT(IF(C838=0,1,C838),IF(D838=0,1,D838),IF(E838=0,1,E838),IF(F838=0,1,F838),IF(G838=0,1,G838))=1,0,PRODUCT(IF(C838=0,1,C838),IF(D838=0,1,D838),IF(E838=0,1,E838),IF(F838=0,1,F838),IF(G838=0,1,G838))),2)</f>
        <v>2</v>
      </c>
      <c r="I838" s="5"/>
    </row>
    <row r="839" spans="1:9" x14ac:dyDescent="0.2">
      <c r="A839" s="3"/>
      <c r="B839" s="6"/>
      <c r="C839" s="7"/>
      <c r="D839" s="7"/>
      <c r="E839" s="7"/>
      <c r="F839" s="7"/>
      <c r="G839" s="7"/>
      <c r="H839" s="8">
        <f>ROUND(IF(PRODUCT(IF(C839=0,1,C839),IF(E839=0,1,E839),IF(F839=0,1,F839),IF(G839=0,1,G839))=1,0,PRODUCT(IF(C839=0,1,C839),IF(E839=0,1,E839),IF(F839=0,1,F839),IF(G839=0,1,G839))),2)</f>
        <v>0</v>
      </c>
      <c r="I839" s="5"/>
    </row>
    <row r="840" spans="1:9" x14ac:dyDescent="0.2">
      <c r="A840" s="3"/>
      <c r="C840" s="10"/>
      <c r="D840" s="10"/>
      <c r="E840" s="9"/>
      <c r="F840" s="94" t="s">
        <v>11</v>
      </c>
      <c r="G840" s="95" t="s">
        <v>264</v>
      </c>
      <c r="H840" s="11">
        <f>SUM(H838:H838)</f>
        <v>2</v>
      </c>
      <c r="I840" s="12" t="s">
        <v>277</v>
      </c>
    </row>
    <row r="841" spans="1:9" ht="15" customHeight="1" x14ac:dyDescent="0.2">
      <c r="A841" s="3" t="str">
        <f>'Orçamento Sintético'!A191</f>
        <v>13.6.12</v>
      </c>
      <c r="B841" s="279" t="str">
        <f>'Orçamento Sintético'!D191</f>
        <v>TOALHEIRO PLASTICO TIPO DISPENSER PARA PAPEL TOALHA INTERFOLHADO</v>
      </c>
      <c r="C841" s="280"/>
      <c r="D841" s="280"/>
      <c r="E841" s="281"/>
      <c r="F841" s="162"/>
      <c r="G841" s="162"/>
      <c r="H841" s="162"/>
      <c r="I841" s="163"/>
    </row>
    <row r="842" spans="1:9" x14ac:dyDescent="0.2">
      <c r="A842" s="3"/>
      <c r="B842" s="164" t="s">
        <v>260</v>
      </c>
      <c r="C842" s="164" t="s">
        <v>8</v>
      </c>
      <c r="D842" s="164" t="s">
        <v>266</v>
      </c>
      <c r="E842" s="164" t="s">
        <v>261</v>
      </c>
      <c r="F842" s="164" t="s">
        <v>262</v>
      </c>
      <c r="G842" s="164" t="s">
        <v>263</v>
      </c>
      <c r="H842" s="164" t="s">
        <v>11</v>
      </c>
      <c r="I842" s="163"/>
    </row>
    <row r="843" spans="1:9" x14ac:dyDescent="0.2">
      <c r="A843" s="3"/>
      <c r="B843" s="166" t="s">
        <v>493</v>
      </c>
      <c r="C843" s="7">
        <v>2</v>
      </c>
      <c r="D843" s="161"/>
      <c r="E843" s="161"/>
      <c r="F843" s="161"/>
      <c r="G843" s="161"/>
      <c r="H843" s="8">
        <f>ROUND(IF(PRODUCT(IF(C843=0,1,C843),IF(D843=0,1,D843),IF(E843=0,1,E843),IF(F843=0,1,F843),IF(G843=0,1,G843))=1,0,PRODUCT(IF(C843=0,1,C843),IF(D843=0,1,D843),IF(E843=0,1,E843),IF(F843=0,1,F843),IF(G843=0,1,G843))),2)</f>
        <v>2</v>
      </c>
      <c r="I843" s="163"/>
    </row>
    <row r="844" spans="1:9" x14ac:dyDescent="0.2">
      <c r="A844" s="3"/>
      <c r="B844" s="166"/>
      <c r="C844" s="161"/>
      <c r="D844" s="161"/>
      <c r="E844" s="161"/>
      <c r="F844" s="161"/>
      <c r="G844" s="161"/>
      <c r="H844" s="8">
        <f>ROUND(IF(PRODUCT(IF(C844=0,1,C844),IF(E844=0,1,E844),IF(F844=0,1,F844),IF(G844=0,1,G844))=1,0,PRODUCT(IF(C844=0,1,C844),IF(E844=0,1,E844),IF(F844=0,1,F844),IF(G844=0,1,G844))),2)</f>
        <v>0</v>
      </c>
      <c r="I844" s="163"/>
    </row>
    <row r="845" spans="1:9" x14ac:dyDescent="0.2">
      <c r="A845" s="3"/>
      <c r="B845" s="162"/>
      <c r="C845" s="167"/>
      <c r="D845" s="167"/>
      <c r="E845" s="168"/>
      <c r="F845" s="169" t="s">
        <v>11</v>
      </c>
      <c r="G845" s="170" t="s">
        <v>264</v>
      </c>
      <c r="H845" s="171">
        <f>SUM(H843:H843)</f>
        <v>2</v>
      </c>
      <c r="I845" s="172" t="s">
        <v>277</v>
      </c>
    </row>
    <row r="846" spans="1:9" ht="15" customHeight="1" x14ac:dyDescent="0.2">
      <c r="A846" s="3" t="str">
        <f>'Orçamento Sintético'!A192</f>
        <v>13.6.13</v>
      </c>
      <c r="B846" s="279" t="str">
        <f>'Orçamento Sintético'!D192</f>
        <v>PAPELEIRA DE PAREDE EM METAL CROMADO SEM TAMPA, INCLUSO FIXAÇÃO. AF_01/2020</v>
      </c>
      <c r="C846" s="280"/>
      <c r="D846" s="280"/>
      <c r="E846" s="281"/>
      <c r="F846" s="162"/>
      <c r="G846" s="162"/>
      <c r="H846" s="162"/>
      <c r="I846" s="163"/>
    </row>
    <row r="847" spans="1:9" x14ac:dyDescent="0.2">
      <c r="A847" s="3"/>
      <c r="B847" s="164" t="s">
        <v>260</v>
      </c>
      <c r="C847" s="164" t="s">
        <v>8</v>
      </c>
      <c r="D847" s="164" t="s">
        <v>266</v>
      </c>
      <c r="E847" s="164" t="s">
        <v>261</v>
      </c>
      <c r="F847" s="164" t="s">
        <v>262</v>
      </c>
      <c r="G847" s="164" t="s">
        <v>263</v>
      </c>
      <c r="H847" s="164" t="s">
        <v>11</v>
      </c>
      <c r="I847" s="163"/>
    </row>
    <row r="848" spans="1:9" x14ac:dyDescent="0.2">
      <c r="A848" s="3"/>
      <c r="B848" s="166" t="s">
        <v>493</v>
      </c>
      <c r="C848" s="7">
        <v>8</v>
      </c>
      <c r="D848" s="161"/>
      <c r="E848" s="161"/>
      <c r="F848" s="161"/>
      <c r="G848" s="161"/>
      <c r="H848" s="8">
        <f>ROUND(IF(PRODUCT(IF(C848=0,1,C848),IF(D848=0,1,D848),IF(E848=0,1,E848),IF(F848=0,1,F848),IF(G848=0,1,G848))=1,0,PRODUCT(IF(C848=0,1,C848),IF(D848=0,1,D848),IF(E848=0,1,E848),IF(F848=0,1,F848),IF(G848=0,1,G848))),2)</f>
        <v>8</v>
      </c>
      <c r="I848" s="163"/>
    </row>
    <row r="849" spans="1:9" x14ac:dyDescent="0.2">
      <c r="A849" s="3"/>
      <c r="B849" s="166"/>
      <c r="C849" s="161"/>
      <c r="D849" s="161"/>
      <c r="E849" s="161"/>
      <c r="F849" s="161"/>
      <c r="G849" s="161"/>
      <c r="H849" s="8">
        <f>ROUND(IF(PRODUCT(IF(C849=0,1,C849),IF(E849=0,1,E849),IF(F849=0,1,F849),IF(G849=0,1,G849))=1,0,PRODUCT(IF(C849=0,1,C849),IF(E849=0,1,E849),IF(F849=0,1,F849),IF(G849=0,1,G849))),2)</f>
        <v>0</v>
      </c>
      <c r="I849" s="163"/>
    </row>
    <row r="850" spans="1:9" x14ac:dyDescent="0.2">
      <c r="A850" s="3"/>
      <c r="B850" s="162"/>
      <c r="C850" s="167"/>
      <c r="D850" s="167"/>
      <c r="E850" s="168"/>
      <c r="F850" s="169" t="s">
        <v>11</v>
      </c>
      <c r="G850" s="170" t="s">
        <v>264</v>
      </c>
      <c r="H850" s="171">
        <f>SUM(H848:H848)</f>
        <v>8</v>
      </c>
      <c r="I850" s="172" t="s">
        <v>277</v>
      </c>
    </row>
    <row r="851" spans="1:9" ht="22.5" customHeight="1" x14ac:dyDescent="0.2">
      <c r="A851" s="3" t="str">
        <f>'Orçamento Sintético'!A193</f>
        <v>13.6.14</v>
      </c>
      <c r="B851" s="279" t="str">
        <f>'Orçamento Sintético'!D193</f>
        <v>BARRA DE APOIO RETA, EM ACO INOX POLIDO, COMPRIMENTO 80 CM,  FIXADA NA PAREDE - FORNECIMENTO E INSTALAÇÃO. AF_01/2020</v>
      </c>
      <c r="C851" s="280"/>
      <c r="D851" s="280"/>
      <c r="E851" s="281"/>
      <c r="F851" s="162"/>
      <c r="G851" s="162"/>
      <c r="H851" s="162"/>
      <c r="I851" s="163"/>
    </row>
    <row r="852" spans="1:9" x14ac:dyDescent="0.2">
      <c r="A852" s="3"/>
      <c r="B852" s="164" t="s">
        <v>260</v>
      </c>
      <c r="C852" s="164" t="s">
        <v>8</v>
      </c>
      <c r="D852" s="164" t="s">
        <v>266</v>
      </c>
      <c r="E852" s="164" t="s">
        <v>261</v>
      </c>
      <c r="F852" s="164" t="s">
        <v>262</v>
      </c>
      <c r="G852" s="164" t="s">
        <v>263</v>
      </c>
      <c r="H852" s="164" t="s">
        <v>11</v>
      </c>
      <c r="I852" s="163"/>
    </row>
    <row r="853" spans="1:9" x14ac:dyDescent="0.2">
      <c r="A853" s="3"/>
      <c r="B853" s="166" t="s">
        <v>493</v>
      </c>
      <c r="C853" s="7">
        <v>6</v>
      </c>
      <c r="D853" s="161"/>
      <c r="E853" s="161"/>
      <c r="F853" s="161"/>
      <c r="G853" s="161"/>
      <c r="H853" s="8">
        <f>ROUND(IF(PRODUCT(IF(C853=0,1,C853),IF(D853=0,1,D853),IF(E853=0,1,E853),IF(F853=0,1,F853),IF(G853=0,1,G853))=1,0,PRODUCT(IF(C853=0,1,C853),IF(D853=0,1,D853),IF(E853=0,1,E853),IF(F853=0,1,F853),IF(G853=0,1,G853))),2)</f>
        <v>6</v>
      </c>
      <c r="I853" s="163"/>
    </row>
    <row r="854" spans="1:9" x14ac:dyDescent="0.2">
      <c r="A854" s="3"/>
      <c r="B854" s="166"/>
      <c r="C854" s="161"/>
      <c r="D854" s="161"/>
      <c r="E854" s="161"/>
      <c r="F854" s="161"/>
      <c r="G854" s="161"/>
      <c r="H854" s="8">
        <f>ROUND(IF(PRODUCT(IF(C854=0,1,C854),IF(E854=0,1,E854),IF(F854=0,1,F854),IF(G854=0,1,G854))=1,0,PRODUCT(IF(C854=0,1,C854),IF(E854=0,1,E854),IF(F854=0,1,F854),IF(G854=0,1,G854))),2)</f>
        <v>0</v>
      </c>
      <c r="I854" s="163"/>
    </row>
    <row r="855" spans="1:9" x14ac:dyDescent="0.2">
      <c r="A855" s="3"/>
      <c r="B855" s="162"/>
      <c r="C855" s="167"/>
      <c r="D855" s="167"/>
      <c r="E855" s="168"/>
      <c r="F855" s="169" t="s">
        <v>11</v>
      </c>
      <c r="G855" s="170" t="s">
        <v>264</v>
      </c>
      <c r="H855" s="171">
        <f>SUM(H853:H853)</f>
        <v>6</v>
      </c>
      <c r="I855" s="172" t="s">
        <v>277</v>
      </c>
    </row>
    <row r="856" spans="1:9" ht="14.25" customHeight="1" x14ac:dyDescent="0.2">
      <c r="A856" s="3" t="str">
        <f>'Orçamento Sintético'!A194</f>
        <v>13.6.15</v>
      </c>
      <c r="B856" s="279" t="str">
        <f>'Orçamento Sintético'!D194</f>
        <v>PUXADOR PARA PCD, FIXADO NA PORTA - FORNECIMENTO E INSTALAÇÃO. AF_01/2020</v>
      </c>
      <c r="C856" s="280"/>
      <c r="D856" s="280"/>
      <c r="E856" s="281"/>
      <c r="F856" s="162"/>
      <c r="G856" s="162"/>
      <c r="H856" s="162"/>
      <c r="I856" s="163"/>
    </row>
    <row r="857" spans="1:9" x14ac:dyDescent="0.2">
      <c r="A857" s="3"/>
      <c r="B857" s="164" t="s">
        <v>260</v>
      </c>
      <c r="C857" s="164" t="s">
        <v>8</v>
      </c>
      <c r="D857" s="164" t="s">
        <v>266</v>
      </c>
      <c r="E857" s="164" t="s">
        <v>261</v>
      </c>
      <c r="F857" s="164" t="s">
        <v>262</v>
      </c>
      <c r="G857" s="164" t="s">
        <v>263</v>
      </c>
      <c r="H857" s="164" t="s">
        <v>11</v>
      </c>
      <c r="I857" s="163"/>
    </row>
    <row r="858" spans="1:9" x14ac:dyDescent="0.2">
      <c r="A858" s="3"/>
      <c r="B858" s="166" t="s">
        <v>493</v>
      </c>
      <c r="C858" s="7">
        <v>2</v>
      </c>
      <c r="D858" s="161"/>
      <c r="E858" s="161"/>
      <c r="F858" s="161"/>
      <c r="G858" s="161"/>
      <c r="H858" s="8">
        <f>ROUND(IF(PRODUCT(IF(C858=0,1,C858),IF(D858=0,1,D858),IF(E858=0,1,E858),IF(F858=0,1,F858),IF(G858=0,1,G858))=1,0,PRODUCT(IF(C858=0,1,C858),IF(D858=0,1,D858),IF(E858=0,1,E858),IF(F858=0,1,F858),IF(G858=0,1,G858))),2)</f>
        <v>2</v>
      </c>
      <c r="I858" s="163"/>
    </row>
    <row r="859" spans="1:9" x14ac:dyDescent="0.2">
      <c r="A859" s="3"/>
      <c r="B859" s="166"/>
      <c r="C859" s="161"/>
      <c r="D859" s="161"/>
      <c r="E859" s="161"/>
      <c r="F859" s="161"/>
      <c r="G859" s="161"/>
      <c r="H859" s="8">
        <f>ROUND(IF(PRODUCT(IF(C859=0,1,C859),IF(E859=0,1,E859),IF(F859=0,1,F859),IF(G859=0,1,G859))=1,0,PRODUCT(IF(C859=0,1,C859),IF(E859=0,1,E859),IF(F859=0,1,F859),IF(G859=0,1,G859))),2)</f>
        <v>0</v>
      </c>
      <c r="I859" s="163"/>
    </row>
    <row r="860" spans="1:9" x14ac:dyDescent="0.2">
      <c r="A860" s="3"/>
      <c r="B860" s="162"/>
      <c r="C860" s="167"/>
      <c r="D860" s="167"/>
      <c r="E860" s="168"/>
      <c r="F860" s="169" t="s">
        <v>11</v>
      </c>
      <c r="G860" s="170" t="s">
        <v>264</v>
      </c>
      <c r="H860" s="171">
        <f>SUM(H858:H858)</f>
        <v>2</v>
      </c>
      <c r="I860" s="172" t="s">
        <v>277</v>
      </c>
    </row>
    <row r="861" spans="1:9" ht="15" customHeight="1" x14ac:dyDescent="0.2">
      <c r="A861" s="3" t="str">
        <f>'Orçamento Sintético'!A195</f>
        <v>13.6.16</v>
      </c>
      <c r="B861" s="279" t="str">
        <f>'Orçamento Sintético'!D195</f>
        <v>ESPELHO CRISTAL E = 4 MM</v>
      </c>
      <c r="C861" s="280"/>
      <c r="D861" s="280"/>
      <c r="E861" s="281"/>
      <c r="F861" s="162"/>
      <c r="G861" s="162"/>
      <c r="H861" s="162"/>
      <c r="I861" s="163"/>
    </row>
    <row r="862" spans="1:9" x14ac:dyDescent="0.2">
      <c r="A862" s="3"/>
      <c r="B862" s="164" t="s">
        <v>260</v>
      </c>
      <c r="C862" s="164" t="s">
        <v>8</v>
      </c>
      <c r="D862" s="164" t="s">
        <v>266</v>
      </c>
      <c r="E862" s="164" t="s">
        <v>261</v>
      </c>
      <c r="F862" s="164" t="s">
        <v>262</v>
      </c>
      <c r="G862" s="164" t="s">
        <v>263</v>
      </c>
      <c r="H862" s="164" t="s">
        <v>11</v>
      </c>
      <c r="I862" s="163"/>
    </row>
    <row r="863" spans="1:9" x14ac:dyDescent="0.2">
      <c r="A863" s="3"/>
      <c r="B863" s="166" t="s">
        <v>493</v>
      </c>
      <c r="C863" s="7">
        <v>2</v>
      </c>
      <c r="D863" s="7"/>
      <c r="E863" s="7">
        <v>2</v>
      </c>
      <c r="F863" s="7"/>
      <c r="G863" s="7">
        <v>0.6</v>
      </c>
      <c r="H863" s="8">
        <f>ROUND(IF(PRODUCT(IF(C863=0,1,C863),IF(D863=0,1,D863),IF(E863=0,1,E863),IF(F863=0,1,F863),IF(G863=0,1,G863))=1,0,PRODUCT(IF(C863=0,1,C863),IF(D863=0,1,D863),IF(E863=0,1,E863),IF(F863=0,1,F863),IF(G863=0,1,G863))),2)</f>
        <v>2.4</v>
      </c>
      <c r="I863" s="163"/>
    </row>
    <row r="864" spans="1:9" x14ac:dyDescent="0.2">
      <c r="A864" s="3"/>
      <c r="B864" s="166"/>
      <c r="C864" s="7"/>
      <c r="D864" s="7"/>
      <c r="E864" s="7"/>
      <c r="F864" s="7"/>
      <c r="G864" s="7"/>
      <c r="H864" s="8">
        <f>ROUND(IF(PRODUCT(IF(C864=0,1,C864),IF(E864=0,1,E864),IF(F864=0,1,F864),IF(G864=0,1,G864))=1,0,PRODUCT(IF(C864=0,1,C864),IF(E864=0,1,E864),IF(F864=0,1,F864),IF(G864=0,1,G864))),2)</f>
        <v>0</v>
      </c>
      <c r="I864" s="163"/>
    </row>
    <row r="865" spans="1:9" x14ac:dyDescent="0.2">
      <c r="A865" s="3"/>
      <c r="B865" s="162"/>
      <c r="C865" s="167"/>
      <c r="D865" s="167"/>
      <c r="E865" s="168"/>
      <c r="F865" s="169" t="s">
        <v>11</v>
      </c>
      <c r="G865" s="170" t="s">
        <v>264</v>
      </c>
      <c r="H865" s="171">
        <f>SUM(H863:H863)</f>
        <v>2.4</v>
      </c>
      <c r="I865" s="172" t="s">
        <v>17</v>
      </c>
    </row>
    <row r="866" spans="1:9" x14ac:dyDescent="0.2">
      <c r="A866" s="89" t="str">
        <f>'Orçamento Sintético'!A196</f>
        <v>14.0</v>
      </c>
      <c r="B866" s="174" t="str">
        <f>'Orçamento Sintético'!D196</f>
        <v>INSTALAÇÕES ELETRICAS</v>
      </c>
      <c r="C866" s="283"/>
      <c r="D866" s="284"/>
      <c r="E866" s="284"/>
      <c r="F866" s="284"/>
      <c r="G866" s="284"/>
      <c r="H866" s="284"/>
      <c r="I866" s="285"/>
    </row>
    <row r="867" spans="1:9" x14ac:dyDescent="0.2">
      <c r="A867" s="175" t="str">
        <f>'Orçamento Sintético'!A197</f>
        <v xml:space="preserve"> 14.1 </v>
      </c>
      <c r="B867" s="173" t="str">
        <f>'Orçamento Sintético'!D197</f>
        <v>ACESSÓRIOS P/ ELETRODUTOS</v>
      </c>
      <c r="C867" s="283"/>
      <c r="D867" s="284"/>
      <c r="E867" s="284"/>
      <c r="F867" s="284"/>
      <c r="G867" s="284"/>
      <c r="H867" s="284"/>
      <c r="I867" s="285"/>
    </row>
    <row r="868" spans="1:9" ht="15" customHeight="1" x14ac:dyDescent="0.2">
      <c r="A868" s="176" t="str">
        <f>'Orçamento Sintético'!A198</f>
        <v>14.1.1</v>
      </c>
      <c r="B868" s="279" t="str">
        <f>'Orçamento Sintético'!D198</f>
        <v>CAIXA DE PASSAGEM 30X30CM EM CHAPA DE AÇO GALVANIZADO - FORNECIMENTO</v>
      </c>
      <c r="C868" s="280"/>
      <c r="D868" s="280"/>
      <c r="E868" s="281"/>
      <c r="F868" s="162"/>
      <c r="G868" s="162"/>
      <c r="H868" s="162"/>
      <c r="I868" s="163"/>
    </row>
    <row r="869" spans="1:9" x14ac:dyDescent="0.2">
      <c r="A869" s="176"/>
      <c r="B869" s="164" t="s">
        <v>260</v>
      </c>
      <c r="C869" s="164" t="s">
        <v>8</v>
      </c>
      <c r="D869" s="164" t="s">
        <v>266</v>
      </c>
      <c r="E869" s="164" t="s">
        <v>261</v>
      </c>
      <c r="F869" s="164" t="s">
        <v>262</v>
      </c>
      <c r="G869" s="164" t="s">
        <v>263</v>
      </c>
      <c r="H869" s="164" t="s">
        <v>11</v>
      </c>
      <c r="I869" s="163"/>
    </row>
    <row r="870" spans="1:9" ht="25.5" x14ac:dyDescent="0.2">
      <c r="A870" s="176"/>
      <c r="B870" s="149" t="s">
        <v>522</v>
      </c>
      <c r="C870" s="7">
        <v>8</v>
      </c>
      <c r="D870" s="7"/>
      <c r="E870" s="7"/>
      <c r="F870" s="7"/>
      <c r="G870" s="7"/>
      <c r="H870" s="15">
        <f>ROUND(IF(PRODUCT(IF(C870=0,1,C870),IF(D870=0,1,D870),IF(E870=0,1,E870),IF(F870=0,1,F870),IF(G870=0,1,G870))=1,0,PRODUCT(IF(C870=0,1,C870),IF(D870=0,1,D870),IF(E870=0,1,E870),IF(F870=0,1,F870),IF(G870=0,1,G870))),2)</f>
        <v>8</v>
      </c>
      <c r="I870" s="5"/>
    </row>
    <row r="871" spans="1:9" x14ac:dyDescent="0.2">
      <c r="A871" s="176"/>
      <c r="B871" s="6"/>
      <c r="C871" s="7"/>
      <c r="D871" s="7"/>
      <c r="E871" s="7"/>
      <c r="F871" s="7"/>
      <c r="G871" s="7"/>
      <c r="H871" s="15">
        <f>ROUND(IF(PRODUCT(IF(C871=0,1,C871),IF(E871=0,1,E871),IF(F871=0,1,F871),IF(G871=0,1,G871))=1,0,PRODUCT(IF(C871=0,1,C871),IF(E871=0,1,E871),IF(F871=0,1,F871),IF(G871=0,1,G871))),2)</f>
        <v>0</v>
      </c>
      <c r="I871" s="5"/>
    </row>
    <row r="872" spans="1:9" x14ac:dyDescent="0.2">
      <c r="A872" s="176"/>
      <c r="C872" s="10"/>
      <c r="D872" s="10"/>
      <c r="E872" s="9"/>
      <c r="F872" s="94" t="s">
        <v>11</v>
      </c>
      <c r="G872" s="95" t="s">
        <v>264</v>
      </c>
      <c r="H872" s="11">
        <f>SUM(H870:H870)</f>
        <v>8</v>
      </c>
      <c r="I872" s="12" t="s">
        <v>277</v>
      </c>
    </row>
    <row r="873" spans="1:9" ht="15" customHeight="1" x14ac:dyDescent="0.2">
      <c r="A873" s="176" t="str">
        <f>'Orçamento Sintético'!A199</f>
        <v>14.1.2</v>
      </c>
      <c r="B873" s="270" t="str">
        <f>'Orçamento Sintético'!D199</f>
        <v>CAIXA OCTOGONAL 4" X 4", PVC, INSTALADA EM LAJE - FORNECIMENTO E INSTALAÇÃO. AF_03/2023</v>
      </c>
      <c r="C873" s="271"/>
      <c r="D873" s="271"/>
      <c r="E873" s="272"/>
      <c r="I873" s="5"/>
    </row>
    <row r="874" spans="1:9" x14ac:dyDescent="0.2">
      <c r="A874" s="176"/>
      <c r="B874" s="91" t="s">
        <v>260</v>
      </c>
      <c r="C874" s="91" t="s">
        <v>8</v>
      </c>
      <c r="D874" s="91" t="s">
        <v>266</v>
      </c>
      <c r="E874" s="91" t="s">
        <v>261</v>
      </c>
      <c r="F874" s="91" t="s">
        <v>262</v>
      </c>
      <c r="G874" s="91" t="s">
        <v>263</v>
      </c>
      <c r="H874" s="91" t="s">
        <v>11</v>
      </c>
      <c r="I874" s="5"/>
    </row>
    <row r="875" spans="1:9" ht="25.5" x14ac:dyDescent="0.2">
      <c r="A875" s="176"/>
      <c r="B875" s="149" t="s">
        <v>522</v>
      </c>
      <c r="C875" s="7">
        <v>12</v>
      </c>
      <c r="D875" s="7"/>
      <c r="E875" s="7"/>
      <c r="F875" s="7"/>
      <c r="G875" s="7"/>
      <c r="H875" s="15">
        <f>ROUND(IF(PRODUCT(IF(C875=0,1,C875),IF(D875=0,1,D875),IF(E875=0,1,E875),IF(F875=0,1,F875),IF(G875=0,1,G875))=1,0,PRODUCT(IF(C875=0,1,C875),IF(D875=0,1,D875),IF(E875=0,1,E875),IF(F875=0,1,F875),IF(G875=0,1,G875))),2)</f>
        <v>12</v>
      </c>
      <c r="I875" s="5"/>
    </row>
    <row r="876" spans="1:9" x14ac:dyDescent="0.2">
      <c r="A876" s="176"/>
      <c r="B876" s="6"/>
      <c r="C876" s="7"/>
      <c r="D876" s="7"/>
      <c r="E876" s="7"/>
      <c r="F876" s="7"/>
      <c r="G876" s="7"/>
      <c r="H876" s="15">
        <f>ROUND(IF(PRODUCT(IF(C876=0,1,C876),IF(E876=0,1,E876),IF(F876=0,1,F876),IF(G876=0,1,G876))=1,0,PRODUCT(IF(C876=0,1,C876),IF(E876=0,1,E876),IF(F876=0,1,F876),IF(G876=0,1,G876))),2)</f>
        <v>0</v>
      </c>
      <c r="I876" s="5"/>
    </row>
    <row r="877" spans="1:9" x14ac:dyDescent="0.2">
      <c r="A877" s="176"/>
      <c r="C877" s="10"/>
      <c r="D877" s="10"/>
      <c r="E877" s="9"/>
      <c r="F877" s="94" t="s">
        <v>11</v>
      </c>
      <c r="G877" s="95" t="s">
        <v>264</v>
      </c>
      <c r="H877" s="11">
        <f>SUM(H875:H875)</f>
        <v>12</v>
      </c>
      <c r="I877" s="12" t="s">
        <v>277</v>
      </c>
    </row>
    <row r="878" spans="1:9" ht="13.5" customHeight="1" x14ac:dyDescent="0.2">
      <c r="A878" s="176" t="str">
        <f>'Orçamento Sintético'!A200</f>
        <v>14.1.3</v>
      </c>
      <c r="B878" s="270" t="str">
        <f>'Orçamento Sintético'!D200</f>
        <v>CAIXA DE PASSAGEM, EM PVC, DE 4" X 2", PARA ELETRODUTO FLEXIVEL CORRUGADO</v>
      </c>
      <c r="C878" s="271"/>
      <c r="D878" s="271"/>
      <c r="E878" s="272"/>
      <c r="I878" s="5"/>
    </row>
    <row r="879" spans="1:9" x14ac:dyDescent="0.2">
      <c r="A879" s="176"/>
      <c r="B879" s="91" t="s">
        <v>260</v>
      </c>
      <c r="C879" s="91" t="s">
        <v>8</v>
      </c>
      <c r="D879" s="91" t="s">
        <v>266</v>
      </c>
      <c r="E879" s="91" t="s">
        <v>261</v>
      </c>
      <c r="F879" s="91" t="s">
        <v>262</v>
      </c>
      <c r="G879" s="91" t="s">
        <v>263</v>
      </c>
      <c r="H879" s="91" t="s">
        <v>11</v>
      </c>
      <c r="I879" s="5"/>
    </row>
    <row r="880" spans="1:9" ht="25.5" x14ac:dyDescent="0.2">
      <c r="A880" s="176"/>
      <c r="B880" s="149" t="s">
        <v>522</v>
      </c>
      <c r="C880" s="7">
        <v>30</v>
      </c>
      <c r="D880" s="7"/>
      <c r="E880" s="7"/>
      <c r="F880" s="7"/>
      <c r="G880" s="7"/>
      <c r="H880" s="15">
        <f>ROUND(IF(PRODUCT(IF(C880=0,1,C880),IF(D880=0,1,D880),IF(E880=0,1,E880),IF(F880=0,1,F880),IF(G880=0,1,G880))=1,0,PRODUCT(IF(C880=0,1,C880),IF(D880=0,1,D880),IF(E880=0,1,E880),IF(F880=0,1,F880),IF(G880=0,1,G880))),2)</f>
        <v>30</v>
      </c>
      <c r="I880" s="5"/>
    </row>
    <row r="881" spans="1:9" x14ac:dyDescent="0.2">
      <c r="A881" s="176"/>
      <c r="B881" s="6"/>
      <c r="C881" s="7"/>
      <c r="D881" s="7"/>
      <c r="E881" s="7"/>
      <c r="F881" s="7"/>
      <c r="G881" s="7"/>
      <c r="H881" s="15">
        <f>ROUND(IF(PRODUCT(IF(C881=0,1,C881),IF(E881=0,1,E881),IF(F881=0,1,F881),IF(G881=0,1,G881))=1,0,PRODUCT(IF(C881=0,1,C881),IF(E881=0,1,E881),IF(F881=0,1,F881),IF(G881=0,1,G881))),2)</f>
        <v>0</v>
      </c>
      <c r="I881" s="5"/>
    </row>
    <row r="882" spans="1:9" x14ac:dyDescent="0.2">
      <c r="A882" s="176"/>
      <c r="C882" s="10"/>
      <c r="D882" s="10"/>
      <c r="E882" s="9"/>
      <c r="F882" s="94" t="s">
        <v>11</v>
      </c>
      <c r="G882" s="95" t="s">
        <v>264</v>
      </c>
      <c r="H882" s="11">
        <f>SUM(H880:H880)</f>
        <v>30</v>
      </c>
      <c r="I882" s="12" t="s">
        <v>277</v>
      </c>
    </row>
    <row r="883" spans="1:9" ht="24.75" customHeight="1" x14ac:dyDescent="0.2">
      <c r="A883" s="176" t="str">
        <f>'Orçamento Sintético'!A201</f>
        <v>14.1.4</v>
      </c>
      <c r="B883" s="270" t="str">
        <f>'Orçamento Sintético'!D201</f>
        <v>LUVA PARA ELETRODUTO, PVC, ROSCÁVEL, DN 25 MM (3/4"), PARA CIRCUITOS TERMINAIS, INSTALADA EM PAREDE - FORNECIMENTO E INSTALAÇÃO. AF_03/2023</v>
      </c>
      <c r="C883" s="271"/>
      <c r="D883" s="271"/>
      <c r="E883" s="272"/>
      <c r="I883" s="5"/>
    </row>
    <row r="884" spans="1:9" x14ac:dyDescent="0.2">
      <c r="A884" s="176"/>
      <c r="B884" s="91" t="s">
        <v>260</v>
      </c>
      <c r="C884" s="91" t="s">
        <v>8</v>
      </c>
      <c r="D884" s="91" t="s">
        <v>266</v>
      </c>
      <c r="E884" s="91" t="s">
        <v>261</v>
      </c>
      <c r="F884" s="91" t="s">
        <v>262</v>
      </c>
      <c r="G884" s="91" t="s">
        <v>263</v>
      </c>
      <c r="H884" s="91" t="s">
        <v>11</v>
      </c>
      <c r="I884" s="5"/>
    </row>
    <row r="885" spans="1:9" ht="25.5" x14ac:dyDescent="0.2">
      <c r="A885" s="176"/>
      <c r="B885" s="149" t="s">
        <v>522</v>
      </c>
      <c r="C885" s="7">
        <v>6</v>
      </c>
      <c r="D885" s="7"/>
      <c r="E885" s="7"/>
      <c r="F885" s="7"/>
      <c r="G885" s="7"/>
      <c r="H885" s="15">
        <f>ROUND(IF(PRODUCT(IF(C885=0,1,C885),IF(D885=0,1,D885),IF(E885=0,1,E885),IF(F885=0,1,F885),IF(G885=0,1,G885))=1,0,PRODUCT(IF(C885=0,1,C885),IF(D885=0,1,D885),IF(E885=0,1,E885),IF(F885=0,1,F885),IF(G885=0,1,G885))),2)</f>
        <v>6</v>
      </c>
      <c r="I885" s="5"/>
    </row>
    <row r="886" spans="1:9" x14ac:dyDescent="0.2">
      <c r="A886" s="176"/>
      <c r="B886" s="6"/>
      <c r="C886" s="7"/>
      <c r="D886" s="7"/>
      <c r="E886" s="7"/>
      <c r="F886" s="7"/>
      <c r="G886" s="7"/>
      <c r="H886" s="15">
        <f>ROUND(IF(PRODUCT(IF(C886=0,1,C886),IF(E886=0,1,E886),IF(F886=0,1,F886),IF(G886=0,1,G886))=1,0,PRODUCT(IF(C886=0,1,C886),IF(E886=0,1,E886),IF(F886=0,1,F886),IF(G886=0,1,G886))),2)</f>
        <v>0</v>
      </c>
      <c r="I886" s="5"/>
    </row>
    <row r="887" spans="1:9" x14ac:dyDescent="0.2">
      <c r="A887" s="176"/>
      <c r="C887" s="10"/>
      <c r="D887" s="10"/>
      <c r="E887" s="9"/>
      <c r="F887" s="94" t="s">
        <v>11</v>
      </c>
      <c r="G887" s="95" t="s">
        <v>264</v>
      </c>
      <c r="H887" s="11">
        <f>SUM(H885:H885)</f>
        <v>6</v>
      </c>
      <c r="I887" s="12" t="s">
        <v>277</v>
      </c>
    </row>
    <row r="888" spans="1:9" ht="24.75" customHeight="1" x14ac:dyDescent="0.2">
      <c r="A888" s="176" t="str">
        <f>'Orçamento Sintético'!A202</f>
        <v>14.1.5</v>
      </c>
      <c r="B888" s="270" t="str">
        <f>'Orçamento Sintético'!D202</f>
        <v>LUVA PARA ELETRODUTO, PVC, ROSCÁVEL, DN 32 MM (1"), PARA CIRCUITOS TERMINAIS, INSTALADA EM LAJE - FORNECIMENTO E INSTALAÇÃO. AF_03/2023</v>
      </c>
      <c r="C888" s="271"/>
      <c r="D888" s="271"/>
      <c r="E888" s="272"/>
      <c r="I888" s="5"/>
    </row>
    <row r="889" spans="1:9" x14ac:dyDescent="0.2">
      <c r="A889" s="176"/>
      <c r="B889" s="91" t="s">
        <v>260</v>
      </c>
      <c r="C889" s="91" t="s">
        <v>8</v>
      </c>
      <c r="D889" s="91" t="s">
        <v>266</v>
      </c>
      <c r="E889" s="91" t="s">
        <v>261</v>
      </c>
      <c r="F889" s="91" t="s">
        <v>262</v>
      </c>
      <c r="G889" s="91" t="s">
        <v>263</v>
      </c>
      <c r="H889" s="91" t="s">
        <v>11</v>
      </c>
      <c r="I889" s="5"/>
    </row>
    <row r="890" spans="1:9" ht="25.5" x14ac:dyDescent="0.2">
      <c r="A890" s="176"/>
      <c r="B890" s="149" t="s">
        <v>522</v>
      </c>
      <c r="C890" s="7">
        <v>74</v>
      </c>
      <c r="D890" s="7"/>
      <c r="E890" s="7"/>
      <c r="F890" s="7"/>
      <c r="G890" s="7"/>
      <c r="H890" s="15">
        <f>ROUND(IF(PRODUCT(IF(C890=0,1,C890),IF(D890=0,1,D890),IF(E890=0,1,E890),IF(F890=0,1,F890),IF(G890=0,1,G890))=1,0,PRODUCT(IF(C890=0,1,C890),IF(D890=0,1,D890),IF(E890=0,1,E890),IF(F890=0,1,F890),IF(G890=0,1,G890))),2)</f>
        <v>74</v>
      </c>
      <c r="I890" s="5"/>
    </row>
    <row r="891" spans="1:9" x14ac:dyDescent="0.2">
      <c r="A891" s="176"/>
      <c r="B891" s="6"/>
      <c r="C891" s="7"/>
      <c r="D891" s="7"/>
      <c r="E891" s="7"/>
      <c r="F891" s="7"/>
      <c r="G891" s="7"/>
      <c r="H891" s="15">
        <f>ROUND(IF(PRODUCT(IF(C891=0,1,C891),IF(E891=0,1,E891),IF(F891=0,1,F891),IF(G891=0,1,G891))=1,0,PRODUCT(IF(C891=0,1,C891),IF(E891=0,1,E891),IF(F891=0,1,F891),IF(G891=0,1,G891))),2)</f>
        <v>0</v>
      </c>
      <c r="I891" s="5"/>
    </row>
    <row r="892" spans="1:9" x14ac:dyDescent="0.2">
      <c r="A892" s="176"/>
      <c r="C892" s="10"/>
      <c r="D892" s="10"/>
      <c r="E892" s="9"/>
      <c r="F892" s="94" t="s">
        <v>11</v>
      </c>
      <c r="G892" s="95" t="s">
        <v>264</v>
      </c>
      <c r="H892" s="11">
        <f>SUM(H890:H890)</f>
        <v>74</v>
      </c>
      <c r="I892" s="12" t="s">
        <v>277</v>
      </c>
    </row>
    <row r="893" spans="1:9" ht="24.75" customHeight="1" x14ac:dyDescent="0.2">
      <c r="A893" s="176" t="str">
        <f>'Orçamento Sintético'!A203</f>
        <v>14.1.6</v>
      </c>
      <c r="B893" s="270" t="str">
        <f>'Orçamento Sintético'!D203</f>
        <v>CONDULETE DE PVC, TIPO T, PARA ELETRODUTO DE PVC SOLDÁVEL DN 32 MM (1''), APARENTE - FORNECIMENTO E INSTALAÇÃO. AF_10/2022</v>
      </c>
      <c r="C893" s="271"/>
      <c r="D893" s="271"/>
      <c r="E893" s="272"/>
      <c r="I893" s="5"/>
    </row>
    <row r="894" spans="1:9" x14ac:dyDescent="0.2">
      <c r="A894" s="176"/>
      <c r="B894" s="91" t="s">
        <v>260</v>
      </c>
      <c r="C894" s="91" t="s">
        <v>8</v>
      </c>
      <c r="D894" s="91" t="s">
        <v>266</v>
      </c>
      <c r="E894" s="91" t="s">
        <v>261</v>
      </c>
      <c r="F894" s="91" t="s">
        <v>262</v>
      </c>
      <c r="G894" s="91" t="s">
        <v>263</v>
      </c>
      <c r="H894" s="91" t="s">
        <v>11</v>
      </c>
      <c r="I894" s="5"/>
    </row>
    <row r="895" spans="1:9" ht="25.5" x14ac:dyDescent="0.2">
      <c r="A895" s="176"/>
      <c r="B895" s="149" t="s">
        <v>522</v>
      </c>
      <c r="C895" s="7">
        <v>4</v>
      </c>
      <c r="D895" s="7"/>
      <c r="E895" s="7"/>
      <c r="F895" s="7"/>
      <c r="G895" s="7"/>
      <c r="H895" s="15">
        <f>ROUND(IF(PRODUCT(IF(C895=0,1,C895),IF(D895=0,1,D895),IF(E895=0,1,E895),IF(F895=0,1,F895),IF(G895=0,1,G895))=1,0,PRODUCT(IF(C895=0,1,C895),IF(D895=0,1,D895),IF(E895=0,1,E895),IF(F895=0,1,F895),IF(G895=0,1,G895))),2)</f>
        <v>4</v>
      </c>
      <c r="I895" s="5"/>
    </row>
    <row r="896" spans="1:9" x14ac:dyDescent="0.2">
      <c r="A896" s="176"/>
      <c r="B896" s="6"/>
      <c r="C896" s="7"/>
      <c r="D896" s="7"/>
      <c r="E896" s="7"/>
      <c r="F896" s="7"/>
      <c r="G896" s="7"/>
      <c r="H896" s="15">
        <f>ROUND(IF(PRODUCT(IF(C896=0,1,C896),IF(E896=0,1,E896),IF(F896=0,1,F896),IF(G896=0,1,G896))=1,0,PRODUCT(IF(C896=0,1,C896),IF(E896=0,1,E896),IF(F896=0,1,F896),IF(G896=0,1,G896))),2)</f>
        <v>0</v>
      </c>
      <c r="I896" s="5"/>
    </row>
    <row r="897" spans="1:9" x14ac:dyDescent="0.2">
      <c r="A897" s="176"/>
      <c r="C897" s="10"/>
      <c r="D897" s="10"/>
      <c r="E897" s="9"/>
      <c r="F897" s="94" t="s">
        <v>11</v>
      </c>
      <c r="G897" s="95" t="s">
        <v>264</v>
      </c>
      <c r="H897" s="11">
        <f>SUM(H895:H895)</f>
        <v>4</v>
      </c>
      <c r="I897" s="12" t="s">
        <v>277</v>
      </c>
    </row>
    <row r="898" spans="1:9" ht="14.25" customHeight="1" x14ac:dyDescent="0.2">
      <c r="A898" s="176" t="str">
        <f>'Orçamento Sintético'!A204</f>
        <v>14.1.7</v>
      </c>
      <c r="B898" s="270" t="str">
        <f>'Orçamento Sintético'!D204</f>
        <v>TAMPA CEGA EM PVC PARA CONDULETE 4 X 2"</v>
      </c>
      <c r="C898" s="271"/>
      <c r="D898" s="271"/>
      <c r="E898" s="272"/>
      <c r="I898" s="5"/>
    </row>
    <row r="899" spans="1:9" x14ac:dyDescent="0.2">
      <c r="A899" s="176"/>
      <c r="B899" s="91" t="s">
        <v>260</v>
      </c>
      <c r="C899" s="91" t="s">
        <v>8</v>
      </c>
      <c r="D899" s="91" t="s">
        <v>266</v>
      </c>
      <c r="E899" s="91" t="s">
        <v>261</v>
      </c>
      <c r="F899" s="91" t="s">
        <v>262</v>
      </c>
      <c r="G899" s="91" t="s">
        <v>263</v>
      </c>
      <c r="H899" s="91" t="s">
        <v>11</v>
      </c>
      <c r="I899" s="5"/>
    </row>
    <row r="900" spans="1:9" ht="25.5" x14ac:dyDescent="0.2">
      <c r="A900" s="176"/>
      <c r="B900" s="149" t="s">
        <v>522</v>
      </c>
      <c r="C900" s="7">
        <v>4</v>
      </c>
      <c r="D900" s="7"/>
      <c r="E900" s="7"/>
      <c r="F900" s="7"/>
      <c r="G900" s="7"/>
      <c r="H900" s="15">
        <f>ROUND(IF(PRODUCT(IF(C900=0,1,C900),IF(D900=0,1,D900),IF(E900=0,1,E900),IF(F900=0,1,F900),IF(G900=0,1,G900))=1,0,PRODUCT(IF(C900=0,1,C900),IF(D900=0,1,D900),IF(E900=0,1,E900),IF(F900=0,1,F900),IF(G900=0,1,G900))),2)</f>
        <v>4</v>
      </c>
      <c r="I900" s="5"/>
    </row>
    <row r="901" spans="1:9" x14ac:dyDescent="0.2">
      <c r="A901" s="176"/>
      <c r="B901" s="6"/>
      <c r="C901" s="7"/>
      <c r="D901" s="7"/>
      <c r="E901" s="7"/>
      <c r="F901" s="7"/>
      <c r="G901" s="7"/>
      <c r="H901" s="15">
        <f>ROUND(IF(PRODUCT(IF(C901=0,1,C901),IF(E901=0,1,E901),IF(F901=0,1,F901),IF(G901=0,1,G901))=1,0,PRODUCT(IF(C901=0,1,C901),IF(E901=0,1,E901),IF(F901=0,1,F901),IF(G901=0,1,G901))),2)</f>
        <v>0</v>
      </c>
      <c r="I901" s="5"/>
    </row>
    <row r="902" spans="1:9" x14ac:dyDescent="0.2">
      <c r="A902" s="176"/>
      <c r="C902" s="10"/>
      <c r="D902" s="10"/>
      <c r="E902" s="9"/>
      <c r="F902" s="94" t="s">
        <v>11</v>
      </c>
      <c r="G902" s="95" t="s">
        <v>264</v>
      </c>
      <c r="H902" s="11">
        <f>SUM(H900:H900)</f>
        <v>4</v>
      </c>
      <c r="I902" s="12" t="s">
        <v>277</v>
      </c>
    </row>
    <row r="903" spans="1:9" ht="22.9" customHeight="1" x14ac:dyDescent="0.2">
      <c r="A903" s="176" t="str">
        <f>'Orçamento Sintético'!A205</f>
        <v>14.1.8</v>
      </c>
      <c r="B903" s="270" t="str">
        <f>'Orçamento Sintético'!D205</f>
        <v>CURVA 90 GRAUS PARA ELETRODUTO, PVC, ROSCÁVEL, DN 25 MM (3/4"), PARA CIRCUITOS TERMINAIS, INSTALADA EM PAREDE - FORNECIMENTO E INSTALAÇÃO. AF_03/2023</v>
      </c>
      <c r="C903" s="271"/>
      <c r="D903" s="271"/>
      <c r="E903" s="272"/>
      <c r="I903" s="5"/>
    </row>
    <row r="904" spans="1:9" x14ac:dyDescent="0.2">
      <c r="A904" s="176"/>
      <c r="B904" s="91" t="s">
        <v>260</v>
      </c>
      <c r="C904" s="91" t="s">
        <v>8</v>
      </c>
      <c r="D904" s="91" t="s">
        <v>266</v>
      </c>
      <c r="E904" s="91" t="s">
        <v>261</v>
      </c>
      <c r="F904" s="91" t="s">
        <v>262</v>
      </c>
      <c r="G904" s="91" t="s">
        <v>263</v>
      </c>
      <c r="H904" s="91" t="s">
        <v>11</v>
      </c>
      <c r="I904" s="5"/>
    </row>
    <row r="905" spans="1:9" ht="25.5" x14ac:dyDescent="0.2">
      <c r="A905" s="176"/>
      <c r="B905" s="149" t="s">
        <v>522</v>
      </c>
      <c r="C905" s="7">
        <v>3</v>
      </c>
      <c r="D905" s="7"/>
      <c r="E905" s="7"/>
      <c r="F905" s="7"/>
      <c r="G905" s="7"/>
      <c r="H905" s="15">
        <f>ROUND(IF(PRODUCT(IF(C905=0,1,C905),IF(D905=0,1,D905),IF(E905=0,1,E905),IF(F905=0,1,F905),IF(G905=0,1,G905))=1,0,PRODUCT(IF(C905=0,1,C905),IF(D905=0,1,D905),IF(E905=0,1,E905),IF(F905=0,1,F905),IF(G905=0,1,G905))),2)</f>
        <v>3</v>
      </c>
      <c r="I905" s="5"/>
    </row>
    <row r="906" spans="1:9" x14ac:dyDescent="0.2">
      <c r="A906" s="176"/>
      <c r="B906" s="6"/>
      <c r="C906" s="7"/>
      <c r="D906" s="7"/>
      <c r="E906" s="7"/>
      <c r="F906" s="7"/>
      <c r="G906" s="7"/>
      <c r="H906" s="15">
        <f>ROUND(IF(PRODUCT(IF(C906=0,1,C906),IF(E906=0,1,E906),IF(F906=0,1,F906),IF(G906=0,1,G906))=1,0,PRODUCT(IF(C906=0,1,C906),IF(E906=0,1,E906),IF(F906=0,1,F906),IF(G906=0,1,G906))),2)</f>
        <v>0</v>
      </c>
      <c r="I906" s="5"/>
    </row>
    <row r="907" spans="1:9" x14ac:dyDescent="0.2">
      <c r="A907" s="176"/>
      <c r="C907" s="10"/>
      <c r="D907" s="10"/>
      <c r="E907" s="9"/>
      <c r="F907" s="94" t="s">
        <v>11</v>
      </c>
      <c r="G907" s="95" t="s">
        <v>264</v>
      </c>
      <c r="H907" s="11">
        <f>SUM(H905:H905)</f>
        <v>3</v>
      </c>
      <c r="I907" s="12" t="s">
        <v>277</v>
      </c>
    </row>
    <row r="908" spans="1:9" ht="24.75" customHeight="1" x14ac:dyDescent="0.2">
      <c r="A908" s="176" t="str">
        <f>'Orçamento Sintético'!A206</f>
        <v>14.1.9</v>
      </c>
      <c r="B908" s="270" t="str">
        <f>'Orçamento Sintético'!D206</f>
        <v>CURVA 90 GRAUS PARA ELETRODUTO, PVC, ROSCÁVEL, DN 32 MM (1"), PARA CIRCUITOS TERMINAIS, INSTALADA EM LAJE - FORNECIMENTO E INSTALAÇÃO. AF_03/2023</v>
      </c>
      <c r="C908" s="271"/>
      <c r="D908" s="271"/>
      <c r="E908" s="272"/>
      <c r="I908" s="5"/>
    </row>
    <row r="909" spans="1:9" x14ac:dyDescent="0.2">
      <c r="A909" s="176"/>
      <c r="B909" s="91" t="s">
        <v>260</v>
      </c>
      <c r="C909" s="91" t="s">
        <v>8</v>
      </c>
      <c r="D909" s="91" t="s">
        <v>266</v>
      </c>
      <c r="E909" s="91" t="s">
        <v>261</v>
      </c>
      <c r="F909" s="91" t="s">
        <v>262</v>
      </c>
      <c r="G909" s="91" t="s">
        <v>263</v>
      </c>
      <c r="H909" s="91" t="s">
        <v>11</v>
      </c>
      <c r="I909" s="5"/>
    </row>
    <row r="910" spans="1:9" ht="25.5" x14ac:dyDescent="0.2">
      <c r="A910" s="176"/>
      <c r="B910" s="149" t="s">
        <v>522</v>
      </c>
      <c r="C910" s="7">
        <v>37</v>
      </c>
      <c r="D910" s="7"/>
      <c r="E910" s="7"/>
      <c r="F910" s="7"/>
      <c r="G910" s="7"/>
      <c r="H910" s="15">
        <f>ROUND(IF(PRODUCT(IF(C910=0,1,C910),IF(D910=0,1,D910),IF(E910=0,1,E910),IF(F910=0,1,F910),IF(G910=0,1,G910))=1,0,PRODUCT(IF(C910=0,1,C910),IF(D910=0,1,D910),IF(E910=0,1,E910),IF(F910=0,1,F910),IF(G910=0,1,G910))),2)</f>
        <v>37</v>
      </c>
      <c r="I910" s="5"/>
    </row>
    <row r="911" spans="1:9" x14ac:dyDescent="0.2">
      <c r="A911" s="176"/>
      <c r="B911" s="6"/>
      <c r="C911" s="7"/>
      <c r="D911" s="7"/>
      <c r="E911" s="7"/>
      <c r="F911" s="7"/>
      <c r="G911" s="7"/>
      <c r="H911" s="15">
        <f>ROUND(IF(PRODUCT(IF(C911=0,1,C911),IF(E911=0,1,E911),IF(F911=0,1,F911),IF(G911=0,1,G911))=1,0,PRODUCT(IF(C911=0,1,C911),IF(E911=0,1,E911),IF(F911=0,1,F911),IF(G911=0,1,G911))),2)</f>
        <v>0</v>
      </c>
      <c r="I911" s="5"/>
    </row>
    <row r="912" spans="1:9" x14ac:dyDescent="0.2">
      <c r="A912" s="176"/>
      <c r="C912" s="10"/>
      <c r="D912" s="10"/>
      <c r="E912" s="9"/>
      <c r="F912" s="94" t="s">
        <v>11</v>
      </c>
      <c r="G912" s="95" t="s">
        <v>264</v>
      </c>
      <c r="H912" s="11">
        <f>SUM(H910:H910)</f>
        <v>37</v>
      </c>
      <c r="I912" s="12" t="s">
        <v>277</v>
      </c>
    </row>
    <row r="913" spans="1:9" x14ac:dyDescent="0.2">
      <c r="A913" s="175" t="str">
        <f>'Orçamento Sintético'!A207</f>
        <v xml:space="preserve"> 14.2 </v>
      </c>
      <c r="B913" s="97" t="str">
        <f>'Orçamento Sintético'!D207</f>
        <v>CABOS E FIOS CONDUTORES</v>
      </c>
      <c r="C913" s="273"/>
      <c r="D913" s="274"/>
      <c r="E913" s="274"/>
      <c r="F913" s="274"/>
      <c r="G913" s="274"/>
      <c r="H913" s="274"/>
      <c r="I913" s="275"/>
    </row>
    <row r="914" spans="1:9" ht="24.75" customHeight="1" x14ac:dyDescent="0.2">
      <c r="A914" s="176" t="str">
        <f>'Orçamento Sintético'!A208</f>
        <v xml:space="preserve"> 14.2.1 </v>
      </c>
      <c r="B914" s="270" t="str">
        <f>'Orçamento Sintético'!D208</f>
        <v>CABO DE COBRE FLEXÍVEL ISOLADO, 1,5 MM², ANTI-CHAMA 450/750 V, PARA CIRCUITOS TERMINAIS - FORNECIMENTO E INSTALAÇÃO. AF_03/2023</v>
      </c>
      <c r="C914" s="271"/>
      <c r="D914" s="271"/>
      <c r="E914" s="272"/>
      <c r="I914" s="5"/>
    </row>
    <row r="915" spans="1:9" x14ac:dyDescent="0.2">
      <c r="A915" s="176"/>
      <c r="B915" s="91" t="s">
        <v>260</v>
      </c>
      <c r="C915" s="91" t="s">
        <v>8</v>
      </c>
      <c r="D915" s="91" t="s">
        <v>266</v>
      </c>
      <c r="E915" s="91" t="s">
        <v>261</v>
      </c>
      <c r="F915" s="91" t="s">
        <v>262</v>
      </c>
      <c r="G915" s="91" t="s">
        <v>263</v>
      </c>
      <c r="H915" s="91" t="s">
        <v>11</v>
      </c>
      <c r="I915" s="5"/>
    </row>
    <row r="916" spans="1:9" ht="25.5" x14ac:dyDescent="0.2">
      <c r="A916" s="176"/>
      <c r="B916" s="149" t="s">
        <v>607</v>
      </c>
      <c r="C916" s="7"/>
      <c r="D916" s="7"/>
      <c r="E916" s="7"/>
      <c r="F916" s="7"/>
      <c r="G916" s="7"/>
      <c r="H916" s="15"/>
      <c r="I916" s="5"/>
    </row>
    <row r="917" spans="1:9" x14ac:dyDescent="0.2">
      <c r="A917" s="176"/>
      <c r="B917" s="149"/>
      <c r="C917" s="7"/>
      <c r="D917" s="7"/>
      <c r="E917" s="7"/>
      <c r="F917" s="7"/>
      <c r="G917" s="7"/>
      <c r="H917" s="15"/>
      <c r="I917" s="5"/>
    </row>
    <row r="918" spans="1:9" x14ac:dyDescent="0.2">
      <c r="A918" s="176"/>
      <c r="B918" s="6" t="s">
        <v>320</v>
      </c>
      <c r="C918" s="7"/>
      <c r="D918" s="7"/>
      <c r="E918" s="7">
        <v>26.9</v>
      </c>
      <c r="F918" s="7"/>
      <c r="G918" s="7"/>
      <c r="H918" s="15">
        <f>ROUND(IF(PRODUCT(IF(C918=0,1,C918),IF(D918=0,1,D918),IF(E918=0,1,E918),IF(F918=0,1,F918),IF(G918=0,1,G918))=1,0,PRODUCT(IF(C918=0,1,C918),IF(D918=0,1,D918),IF(E918=0,1,E918),IF(F918=0,1,F918),IF(G918=0,1,G918))),2)</f>
        <v>26.9</v>
      </c>
      <c r="I918" s="5"/>
    </row>
    <row r="919" spans="1:9" x14ac:dyDescent="0.2">
      <c r="A919" s="176"/>
      <c r="B919" s="6" t="s">
        <v>321</v>
      </c>
      <c r="C919" s="7"/>
      <c r="D919" s="7"/>
      <c r="E919" s="7">
        <v>18.3</v>
      </c>
      <c r="F919" s="7"/>
      <c r="G919" s="7"/>
      <c r="H919" s="15">
        <f>ROUND(IF(PRODUCT(IF(C919=0,1,C919),IF(D919=0,1,D919),IF(E919=0,1,E919),IF(F919=0,1,F919),IF(G919=0,1,G919))=1,0,PRODUCT(IF(C919=0,1,C919),IF(D919=0,1,D919),IF(E919=0,1,E919),IF(F919=0,1,F919),IF(G919=0,1,G919))),2)</f>
        <v>18.3</v>
      </c>
      <c r="I919" s="5"/>
    </row>
    <row r="920" spans="1:9" x14ac:dyDescent="0.2">
      <c r="A920" s="176"/>
      <c r="B920" s="6" t="s">
        <v>322</v>
      </c>
      <c r="C920" s="7"/>
      <c r="D920" s="7"/>
      <c r="E920" s="7">
        <v>18.899999999999999</v>
      </c>
      <c r="F920" s="7"/>
      <c r="G920" s="7"/>
      <c r="H920" s="15">
        <f>ROUND(IF(PRODUCT(IF(C920=0,1,C920),IF(D920=0,1,D920),IF(E920=0,1,E920),IF(F920=0,1,F920),IF(G920=0,1,G920))=1,0,PRODUCT(IF(C920=0,1,C920),IF(D920=0,1,D920),IF(E920=0,1,E920),IF(F920=0,1,F920),IF(G920=0,1,G920))),2)</f>
        <v>18.899999999999999</v>
      </c>
      <c r="I920" s="5"/>
    </row>
    <row r="921" spans="1:9" x14ac:dyDescent="0.2">
      <c r="A921" s="176"/>
      <c r="B921" s="6"/>
      <c r="C921" s="7"/>
      <c r="D921" s="7"/>
      <c r="E921" s="7"/>
      <c r="F921" s="7"/>
      <c r="G921" s="7"/>
      <c r="H921" s="15">
        <f>ROUND(IF(PRODUCT(IF(C921=0,1,C921),IF(E921=0,1,E921),IF(F921=0,1,F921),IF(G921=0,1,G921))=1,0,PRODUCT(IF(C921=0,1,C921),IF(E921=0,1,E921),IF(F921=0,1,F921),IF(G921=0,1,G921))),2)</f>
        <v>0</v>
      </c>
      <c r="I921" s="5"/>
    </row>
    <row r="922" spans="1:9" x14ac:dyDescent="0.2">
      <c r="A922" s="176"/>
      <c r="C922" s="10"/>
      <c r="D922" s="10"/>
      <c r="E922" s="9"/>
      <c r="F922" s="94" t="s">
        <v>11</v>
      </c>
      <c r="G922" s="95" t="s">
        <v>264</v>
      </c>
      <c r="H922" s="11">
        <f>SUM(H918:H920)</f>
        <v>64.099999999999994</v>
      </c>
      <c r="I922" s="12" t="s">
        <v>186</v>
      </c>
    </row>
    <row r="923" spans="1:9" ht="23.25" customHeight="1" x14ac:dyDescent="0.2">
      <c r="A923" s="176" t="str">
        <f>'Orçamento Sintético'!A209</f>
        <v xml:space="preserve"> 14.2.2</v>
      </c>
      <c r="B923" s="270" t="str">
        <f>'Orçamento Sintético'!D209</f>
        <v>CABO DE COBRE FLEXÍVEL ISOLADO, 2,5 MM², ANTI-CHAMA 450/750 V, PARA CIRCUITOS TERMINAIS - FORNECIMENTO E INSTALAÇÃO. AF_03/2023</v>
      </c>
      <c r="C923" s="271"/>
      <c r="D923" s="271"/>
      <c r="E923" s="272"/>
      <c r="I923" s="5"/>
    </row>
    <row r="924" spans="1:9" x14ac:dyDescent="0.2">
      <c r="A924" s="176"/>
      <c r="B924" s="91" t="s">
        <v>260</v>
      </c>
      <c r="C924" s="91" t="s">
        <v>8</v>
      </c>
      <c r="D924" s="91" t="s">
        <v>266</v>
      </c>
      <c r="E924" s="91" t="s">
        <v>261</v>
      </c>
      <c r="F924" s="91" t="s">
        <v>262</v>
      </c>
      <c r="G924" s="91" t="s">
        <v>263</v>
      </c>
      <c r="H924" s="91" t="s">
        <v>11</v>
      </c>
      <c r="I924" s="5"/>
    </row>
    <row r="925" spans="1:9" ht="25.5" x14ac:dyDescent="0.2">
      <c r="A925" s="176"/>
      <c r="B925" s="149" t="s">
        <v>607</v>
      </c>
      <c r="C925" s="7"/>
      <c r="D925" s="7"/>
      <c r="E925" s="7"/>
      <c r="F925" s="7"/>
      <c r="G925" s="7"/>
      <c r="H925" s="15"/>
      <c r="I925" s="5"/>
    </row>
    <row r="926" spans="1:9" x14ac:dyDescent="0.2">
      <c r="A926" s="176"/>
      <c r="B926" s="149"/>
      <c r="C926" s="7"/>
      <c r="D926" s="7"/>
      <c r="E926" s="7"/>
      <c r="F926" s="7"/>
      <c r="G926" s="7"/>
      <c r="H926" s="15"/>
      <c r="I926" s="5"/>
    </row>
    <row r="927" spans="1:9" x14ac:dyDescent="0.2">
      <c r="A927" s="176"/>
      <c r="B927" s="6" t="s">
        <v>320</v>
      </c>
      <c r="C927" s="7"/>
      <c r="D927" s="7"/>
      <c r="E927" s="7">
        <v>217.7</v>
      </c>
      <c r="F927" s="7"/>
      <c r="G927" s="7"/>
      <c r="H927" s="15">
        <f>ROUND(IF(PRODUCT(IF(C927=0,1,C927),IF(D927=0,1,D927),IF(E927=0,1,E927),IF(F927=0,1,F927),IF(G927=0,1,G927))=1,0,PRODUCT(IF(C927=0,1,C927),IF(D927=0,1,D927),IF(E927=0,1,E927),IF(F927=0,1,F927),IF(G927=0,1,G927))),2)</f>
        <v>217.7</v>
      </c>
      <c r="I927" s="5"/>
    </row>
    <row r="928" spans="1:9" x14ac:dyDescent="0.2">
      <c r="A928" s="176"/>
      <c r="B928" s="6" t="s">
        <v>322</v>
      </c>
      <c r="C928" s="7"/>
      <c r="D928" s="7"/>
      <c r="E928" s="7">
        <v>217.7</v>
      </c>
      <c r="F928" s="7"/>
      <c r="G928" s="7"/>
      <c r="H928" s="15">
        <f>ROUND(IF(PRODUCT(IF(C928=0,1,C928),IF(D928=0,1,D928),IF(E928=0,1,E928),IF(F928=0,1,F928),IF(G928=0,1,G928))=1,0,PRODUCT(IF(C928=0,1,C928),IF(D928=0,1,D928),IF(E928=0,1,E928),IF(F928=0,1,F928),IF(G928=0,1,G928))),2)</f>
        <v>217.7</v>
      </c>
      <c r="I928" s="5"/>
    </row>
    <row r="929" spans="1:9" x14ac:dyDescent="0.2">
      <c r="A929" s="176"/>
      <c r="B929" s="6" t="s">
        <v>323</v>
      </c>
      <c r="C929" s="7"/>
      <c r="D929" s="7"/>
      <c r="E929" s="7">
        <v>12.7</v>
      </c>
      <c r="F929" s="7"/>
      <c r="G929" s="7"/>
      <c r="H929" s="15">
        <f>ROUND(IF(PRODUCT(IF(C929=0,1,C929),IF(D929=0,1,D929),IF(E929=0,1,E929),IF(F929=0,1,F929),IF(G929=0,1,G929))=1,0,PRODUCT(IF(C929=0,1,C929),IF(D929=0,1,D929),IF(E929=0,1,E929),IF(F929=0,1,F929),IF(G929=0,1,G929))),2)</f>
        <v>12.7</v>
      </c>
      <c r="I929" s="5"/>
    </row>
    <row r="930" spans="1:9" x14ac:dyDescent="0.2">
      <c r="A930" s="176"/>
      <c r="B930" s="6"/>
      <c r="C930" s="7"/>
      <c r="D930" s="7"/>
      <c r="E930" s="7"/>
      <c r="F930" s="7"/>
      <c r="G930" s="7"/>
      <c r="H930" s="15">
        <f>ROUND(IF(PRODUCT(IF(C930=0,1,C930),IF(E930=0,1,E930),IF(F930=0,1,F930),IF(G930=0,1,G930))=1,0,PRODUCT(IF(C930=0,1,C930),IF(E930=0,1,E930),IF(F930=0,1,F930),IF(G930=0,1,G930))),2)</f>
        <v>0</v>
      </c>
      <c r="I930" s="5"/>
    </row>
    <row r="931" spans="1:9" x14ac:dyDescent="0.2">
      <c r="A931" s="176"/>
      <c r="C931" s="10"/>
      <c r="D931" s="10"/>
      <c r="E931" s="9"/>
      <c r="F931" s="94" t="s">
        <v>11</v>
      </c>
      <c r="G931" s="95" t="s">
        <v>264</v>
      </c>
      <c r="H931" s="11">
        <f>SUM(H927:H929)</f>
        <v>448.09999999999997</v>
      </c>
      <c r="I931" s="12" t="s">
        <v>186</v>
      </c>
    </row>
    <row r="932" spans="1:9" ht="24.75" customHeight="1" x14ac:dyDescent="0.2">
      <c r="A932" s="176" t="str">
        <f>'Orçamento Sintético'!A210</f>
        <v xml:space="preserve"> 14.2.3</v>
      </c>
      <c r="B932" s="270" t="str">
        <f>'Orçamento Sintético'!D210</f>
        <v>CABO DE COBRE FLEXÍVEL ISOLADO, 4 MM², ANTI-CHAMA 450/750 V, PARA CIRCUITOS TERMINAIS - FORNECIMENTO E INSTALAÇÃO. AF_03/2023</v>
      </c>
      <c r="C932" s="271"/>
      <c r="D932" s="271"/>
      <c r="E932" s="272"/>
      <c r="I932" s="5"/>
    </row>
    <row r="933" spans="1:9" x14ac:dyDescent="0.2">
      <c r="A933" s="176"/>
      <c r="B933" s="91" t="s">
        <v>260</v>
      </c>
      <c r="C933" s="91" t="s">
        <v>8</v>
      </c>
      <c r="D933" s="91" t="s">
        <v>266</v>
      </c>
      <c r="E933" s="91" t="s">
        <v>261</v>
      </c>
      <c r="F933" s="91" t="s">
        <v>262</v>
      </c>
      <c r="G933" s="91" t="s">
        <v>263</v>
      </c>
      <c r="H933" s="91" t="s">
        <v>11</v>
      </c>
      <c r="I933" s="5"/>
    </row>
    <row r="934" spans="1:9" ht="25.5" x14ac:dyDescent="0.2">
      <c r="A934" s="176"/>
      <c r="B934" s="149" t="s">
        <v>607</v>
      </c>
      <c r="C934" s="7"/>
      <c r="D934" s="7"/>
      <c r="E934" s="7"/>
      <c r="F934" s="7"/>
      <c r="G934" s="7"/>
      <c r="H934" s="15"/>
      <c r="I934" s="5"/>
    </row>
    <row r="935" spans="1:9" x14ac:dyDescent="0.2">
      <c r="A935" s="176"/>
      <c r="B935" s="149"/>
      <c r="C935" s="7"/>
      <c r="D935" s="7"/>
      <c r="E935" s="7"/>
      <c r="F935" s="7"/>
      <c r="G935" s="7"/>
      <c r="H935" s="15"/>
      <c r="I935" s="5"/>
    </row>
    <row r="936" spans="1:9" x14ac:dyDescent="0.2">
      <c r="A936" s="176"/>
      <c r="B936" s="6" t="s">
        <v>320</v>
      </c>
      <c r="C936" s="7"/>
      <c r="D936" s="7"/>
      <c r="E936" s="7">
        <v>251.2</v>
      </c>
      <c r="F936" s="7"/>
      <c r="G936" s="7"/>
      <c r="H936" s="15">
        <f>ROUND(IF(PRODUCT(IF(C936=0,1,C936),IF(D936=0,1,D936),IF(E936=0,1,E936),IF(F936=0,1,F936),IF(G936=0,1,G936))=1,0,PRODUCT(IF(C936=0,1,C936),IF(D936=0,1,D936),IF(E936=0,1,E936),IF(F936=0,1,F936),IF(G936=0,1,G936))),2)</f>
        <v>251.2</v>
      </c>
      <c r="I936" s="5"/>
    </row>
    <row r="937" spans="1:9" x14ac:dyDescent="0.2">
      <c r="A937" s="176"/>
      <c r="B937" s="6" t="s">
        <v>322</v>
      </c>
      <c r="C937" s="7"/>
      <c r="D937" s="7"/>
      <c r="E937" s="7">
        <v>251.2</v>
      </c>
      <c r="F937" s="7"/>
      <c r="G937" s="7"/>
      <c r="H937" s="15">
        <f>ROUND(IF(PRODUCT(IF(C937=0,1,C937),IF(D937=0,1,D937),IF(E937=0,1,E937),IF(F937=0,1,F937),IF(G937=0,1,G937))=1,0,PRODUCT(IF(C937=0,1,C937),IF(D937=0,1,D937),IF(E937=0,1,E937),IF(F937=0,1,F937),IF(G937=0,1,G937))),2)</f>
        <v>251.2</v>
      </c>
      <c r="I937" s="5"/>
    </row>
    <row r="938" spans="1:9" x14ac:dyDescent="0.2">
      <c r="A938" s="176"/>
      <c r="B938" s="6"/>
      <c r="C938" s="7"/>
      <c r="D938" s="7"/>
      <c r="E938" s="7"/>
      <c r="F938" s="7"/>
      <c r="G938" s="7"/>
      <c r="H938" s="15">
        <f>ROUND(IF(PRODUCT(IF(C938=0,1,C938),IF(E938=0,1,E938),IF(F938=0,1,F938),IF(G938=0,1,G938))=1,0,PRODUCT(IF(C938=0,1,C938),IF(E938=0,1,E938),IF(F938=0,1,F938),IF(G938=0,1,G938))),2)</f>
        <v>0</v>
      </c>
      <c r="I938" s="5"/>
    </row>
    <row r="939" spans="1:9" x14ac:dyDescent="0.2">
      <c r="A939" s="176"/>
      <c r="C939" s="10"/>
      <c r="D939" s="10"/>
      <c r="E939" s="9"/>
      <c r="F939" s="94" t="s">
        <v>11</v>
      </c>
      <c r="G939" s="95" t="s">
        <v>264</v>
      </c>
      <c r="H939" s="11">
        <f>SUM(H936:H937)</f>
        <v>502.4</v>
      </c>
      <c r="I939" s="12" t="s">
        <v>186</v>
      </c>
    </row>
    <row r="940" spans="1:9" ht="23.25" customHeight="1" x14ac:dyDescent="0.2">
      <c r="A940" s="176" t="str">
        <f>'Orçamento Sintético'!A211</f>
        <v xml:space="preserve"> 14.2.4</v>
      </c>
      <c r="B940" s="270" t="str">
        <f>'Orçamento Sintético'!D211</f>
        <v>CABO DE COBRE FLEXÍVEL ISOLADO, 10 MM², ANTI-CHAMA 450/750 V, PARA CIRCUITOS TERMINAIS - FORNECIMENTO E INSTALAÇÃO. AF_03/2023</v>
      </c>
      <c r="C940" s="271"/>
      <c r="D940" s="271"/>
      <c r="E940" s="272"/>
      <c r="I940" s="5"/>
    </row>
    <row r="941" spans="1:9" x14ac:dyDescent="0.2">
      <c r="A941" s="176"/>
      <c r="B941" s="91" t="s">
        <v>260</v>
      </c>
      <c r="C941" s="91" t="s">
        <v>8</v>
      </c>
      <c r="D941" s="91" t="s">
        <v>266</v>
      </c>
      <c r="E941" s="91" t="s">
        <v>261</v>
      </c>
      <c r="F941" s="91" t="s">
        <v>262</v>
      </c>
      <c r="G941" s="91" t="s">
        <v>263</v>
      </c>
      <c r="H941" s="91" t="s">
        <v>11</v>
      </c>
      <c r="I941" s="5"/>
    </row>
    <row r="942" spans="1:9" ht="25.5" x14ac:dyDescent="0.2">
      <c r="A942" s="176"/>
      <c r="B942" s="149" t="s">
        <v>607</v>
      </c>
      <c r="C942" s="7"/>
      <c r="D942" s="7"/>
      <c r="E942" s="7"/>
      <c r="F942" s="7"/>
      <c r="G942" s="7"/>
      <c r="H942" s="15"/>
      <c r="I942" s="5"/>
    </row>
    <row r="943" spans="1:9" x14ac:dyDescent="0.2">
      <c r="A943" s="176"/>
      <c r="B943" s="149"/>
      <c r="C943" s="7"/>
      <c r="D943" s="7"/>
      <c r="E943" s="7"/>
      <c r="F943" s="7"/>
      <c r="G943" s="7"/>
      <c r="H943" s="15"/>
      <c r="I943" s="5"/>
    </row>
    <row r="944" spans="1:9" x14ac:dyDescent="0.2">
      <c r="A944" s="176"/>
      <c r="B944" s="6" t="s">
        <v>320</v>
      </c>
      <c r="C944" s="7"/>
      <c r="D944" s="7"/>
      <c r="E944" s="7">
        <v>16.600000000000001</v>
      </c>
      <c r="F944" s="7"/>
      <c r="G944" s="7"/>
      <c r="H944" s="15">
        <f>ROUND(IF(PRODUCT(IF(C944=0,1,C944),IF(D944=0,1,D944),IF(E944=0,1,E944),IF(F944=0,1,F944),IF(G944=0,1,G944))=1,0,PRODUCT(IF(C944=0,1,C944),IF(D944=0,1,D944),IF(E944=0,1,E944),IF(F944=0,1,F944),IF(G944=0,1,G944))),2)</f>
        <v>16.600000000000001</v>
      </c>
      <c r="I944" s="5"/>
    </row>
    <row r="945" spans="1:9" x14ac:dyDescent="0.2">
      <c r="A945" s="176"/>
      <c r="B945" s="6" t="s">
        <v>322</v>
      </c>
      <c r="C945" s="7"/>
      <c r="D945" s="7"/>
      <c r="E945" s="7">
        <v>16.600000000000001</v>
      </c>
      <c r="F945" s="7"/>
      <c r="G945" s="7"/>
      <c r="H945" s="15">
        <f>ROUND(IF(PRODUCT(IF(C945=0,1,C945),IF(D945=0,1,D945),IF(E945=0,1,E945),IF(F945=0,1,F945),IF(G945=0,1,G945))=1,0,PRODUCT(IF(C945=0,1,C945),IF(D945=0,1,D945),IF(E945=0,1,E945),IF(F945=0,1,F945),IF(G945=0,1,G945))),2)</f>
        <v>16.600000000000001</v>
      </c>
      <c r="I945" s="5"/>
    </row>
    <row r="946" spans="1:9" x14ac:dyDescent="0.2">
      <c r="A946" s="176"/>
      <c r="B946" s="6" t="s">
        <v>323</v>
      </c>
      <c r="C946" s="7"/>
      <c r="D946" s="7"/>
      <c r="E946" s="7">
        <v>16.600000000000001</v>
      </c>
      <c r="F946" s="7"/>
      <c r="G946" s="7"/>
      <c r="H946" s="15">
        <f>ROUND(IF(PRODUCT(IF(C946=0,1,C946),IF(D946=0,1,D946),IF(E946=0,1,E946),IF(F946=0,1,F946),IF(G946=0,1,G946))=1,0,PRODUCT(IF(C946=0,1,C946),IF(D946=0,1,D946),IF(E946=0,1,E946),IF(F946=0,1,F946),IF(G946=0,1,G946))),2)</f>
        <v>16.600000000000001</v>
      </c>
      <c r="I946" s="5"/>
    </row>
    <row r="947" spans="1:9" x14ac:dyDescent="0.2">
      <c r="A947" s="176"/>
      <c r="B947" s="6"/>
      <c r="C947" s="7"/>
      <c r="D947" s="7"/>
      <c r="E947" s="7"/>
      <c r="F947" s="7"/>
      <c r="G947" s="7"/>
      <c r="H947" s="15">
        <f>ROUND(IF(PRODUCT(IF(C947=0,1,C947),IF(E947=0,1,E947),IF(F947=0,1,F947),IF(G947=0,1,G947))=1,0,PRODUCT(IF(C947=0,1,C947),IF(E947=0,1,E947),IF(F947=0,1,F947),IF(G947=0,1,G947))),2)</f>
        <v>0</v>
      </c>
      <c r="I947" s="5"/>
    </row>
    <row r="948" spans="1:9" x14ac:dyDescent="0.2">
      <c r="A948" s="176"/>
      <c r="C948" s="10"/>
      <c r="D948" s="10"/>
      <c r="E948" s="9"/>
      <c r="F948" s="94" t="s">
        <v>11</v>
      </c>
      <c r="G948" s="95" t="s">
        <v>264</v>
      </c>
      <c r="H948" s="11">
        <f>SUM(H944:H946)</f>
        <v>49.800000000000004</v>
      </c>
      <c r="I948" s="12" t="s">
        <v>186</v>
      </c>
    </row>
    <row r="949" spans="1:9" x14ac:dyDescent="0.2">
      <c r="A949" s="175" t="str">
        <f>'Orçamento Sintético'!A212</f>
        <v xml:space="preserve"> 14.3 </v>
      </c>
      <c r="B949" s="97" t="str">
        <f>'Orçamento Sintético'!D212</f>
        <v>DISPOSITIVO ELÉTRICO - EMBUTIDO</v>
      </c>
      <c r="C949" s="273"/>
      <c r="D949" s="274"/>
      <c r="E949" s="274"/>
      <c r="F949" s="274"/>
      <c r="G949" s="274"/>
      <c r="H949" s="274"/>
      <c r="I949" s="275"/>
    </row>
    <row r="950" spans="1:9" ht="15.6" customHeight="1" x14ac:dyDescent="0.2">
      <c r="A950" s="176" t="str">
        <f>'Orçamento Sintético'!A213</f>
        <v xml:space="preserve"> 14.3.1 </v>
      </c>
      <c r="B950" s="270" t="str">
        <f>'Orçamento Sintético'!D213</f>
        <v>INTERRUPTOR SIMPLES (1 MÓDULO), 10A/250V, INCLUINDO SUPORTE E PLACA - FORNECIMENTO E INSTALAÇÃO. AF_03/2023</v>
      </c>
      <c r="C950" s="271"/>
      <c r="D950" s="271"/>
      <c r="E950" s="272"/>
      <c r="I950" s="5"/>
    </row>
    <row r="951" spans="1:9" x14ac:dyDescent="0.2">
      <c r="A951" s="176"/>
      <c r="B951" s="91" t="s">
        <v>260</v>
      </c>
      <c r="C951" s="91" t="s">
        <v>8</v>
      </c>
      <c r="D951" s="91" t="s">
        <v>266</v>
      </c>
      <c r="E951" s="91" t="s">
        <v>261</v>
      </c>
      <c r="F951" s="91" t="s">
        <v>262</v>
      </c>
      <c r="G951" s="91" t="s">
        <v>263</v>
      </c>
      <c r="H951" s="91" t="s">
        <v>11</v>
      </c>
      <c r="I951" s="5"/>
    </row>
    <row r="952" spans="1:9" ht="25.5" x14ac:dyDescent="0.2">
      <c r="A952" s="176"/>
      <c r="B952" s="149" t="s">
        <v>607</v>
      </c>
      <c r="C952" s="7">
        <v>4</v>
      </c>
      <c r="D952" s="7"/>
      <c r="E952" s="7"/>
      <c r="F952" s="7"/>
      <c r="G952" s="7"/>
      <c r="H952" s="15">
        <f>ROUND(IF(PRODUCT(IF(C952=0,1,C952),IF(D952=0,1,D952),IF(E952=0,1,E952),IF(F952=0,1,F952),IF(G952=0,1,G952))=1,0,PRODUCT(IF(C952=0,1,C952),IF(D952=0,1,D952),IF(E952=0,1,E952),IF(F952=0,1,F952),IF(G952=0,1,G952))),2)</f>
        <v>4</v>
      </c>
      <c r="I952" s="5"/>
    </row>
    <row r="953" spans="1:9" x14ac:dyDescent="0.2">
      <c r="A953" s="176"/>
      <c r="B953" s="6"/>
      <c r="C953" s="7"/>
      <c r="D953" s="7"/>
      <c r="E953" s="7"/>
      <c r="F953" s="7"/>
      <c r="G953" s="7"/>
      <c r="H953" s="15">
        <f>ROUND(IF(PRODUCT(IF(C953=0,1,C953),IF(E953=0,1,E953),IF(F953=0,1,F953),IF(G953=0,1,G953))=1,0,PRODUCT(IF(C953=0,1,C953),IF(E953=0,1,E953),IF(F953=0,1,F953),IF(G953=0,1,G953))),2)</f>
        <v>0</v>
      </c>
      <c r="I953" s="5"/>
    </row>
    <row r="954" spans="1:9" x14ac:dyDescent="0.2">
      <c r="A954" s="176"/>
      <c r="C954" s="10"/>
      <c r="D954" s="10"/>
      <c r="E954" s="9"/>
      <c r="F954" s="94" t="s">
        <v>11</v>
      </c>
      <c r="G954" s="95" t="s">
        <v>264</v>
      </c>
      <c r="H954" s="11">
        <f>SUM(H952:H952)</f>
        <v>4</v>
      </c>
      <c r="I954" s="12" t="s">
        <v>277</v>
      </c>
    </row>
    <row r="955" spans="1:9" ht="24.75" customHeight="1" x14ac:dyDescent="0.2">
      <c r="A955" s="176" t="str">
        <f>'Orçamento Sintético'!A214</f>
        <v xml:space="preserve"> 14.3.2</v>
      </c>
      <c r="B955" s="270" t="str">
        <f>'Orçamento Sintético'!D214</f>
        <v>TOMADA BAIXA DE EMBUTIR (2 MÓDULOS), 2P+T 10 A, INCLUINDO SUPORTE E PLACA - FORNECIMENTO E INSTALAÇÃO. AF_03/2023</v>
      </c>
      <c r="C955" s="271"/>
      <c r="D955" s="271"/>
      <c r="E955" s="272"/>
      <c r="I955" s="5"/>
    </row>
    <row r="956" spans="1:9" x14ac:dyDescent="0.2">
      <c r="A956" s="176"/>
      <c r="B956" s="91" t="s">
        <v>260</v>
      </c>
      <c r="C956" s="91" t="s">
        <v>8</v>
      </c>
      <c r="D956" s="91" t="s">
        <v>266</v>
      </c>
      <c r="E956" s="91" t="s">
        <v>261</v>
      </c>
      <c r="F956" s="91" t="s">
        <v>262</v>
      </c>
      <c r="G956" s="91" t="s">
        <v>263</v>
      </c>
      <c r="H956" s="91" t="s">
        <v>11</v>
      </c>
      <c r="I956" s="5"/>
    </row>
    <row r="957" spans="1:9" ht="25.5" x14ac:dyDescent="0.2">
      <c r="A957" s="176"/>
      <c r="B957" s="149" t="s">
        <v>607</v>
      </c>
      <c r="C957" s="7">
        <v>2</v>
      </c>
      <c r="D957" s="7"/>
      <c r="E957" s="7"/>
      <c r="F957" s="7"/>
      <c r="G957" s="7"/>
      <c r="H957" s="15">
        <f>ROUND(IF(PRODUCT(IF(C957=0,1,C957),IF(D957=0,1,D957),IF(E957=0,1,E957),IF(F957=0,1,F957),IF(G957=0,1,G957))=1,0,PRODUCT(IF(C957=0,1,C957),IF(D957=0,1,D957),IF(E957=0,1,E957),IF(F957=0,1,F957),IF(G957=0,1,G957))),2)</f>
        <v>2</v>
      </c>
      <c r="I957" s="5"/>
    </row>
    <row r="958" spans="1:9" x14ac:dyDescent="0.2">
      <c r="A958" s="176"/>
      <c r="B958" s="6"/>
      <c r="C958" s="7"/>
      <c r="D958" s="7"/>
      <c r="E958" s="7"/>
      <c r="F958" s="7"/>
      <c r="G958" s="7"/>
      <c r="H958" s="15">
        <f>ROUND(IF(PRODUCT(IF(C958=0,1,C958),IF(E958=0,1,E958),IF(F958=0,1,F958),IF(G958=0,1,G958))=1,0,PRODUCT(IF(C958=0,1,C958),IF(E958=0,1,E958),IF(F958=0,1,F958),IF(G958=0,1,G958))),2)</f>
        <v>0</v>
      </c>
      <c r="I958" s="5"/>
    </row>
    <row r="959" spans="1:9" x14ac:dyDescent="0.2">
      <c r="A959" s="176"/>
      <c r="C959" s="10"/>
      <c r="D959" s="10"/>
      <c r="E959" s="9"/>
      <c r="F959" s="94" t="s">
        <v>11</v>
      </c>
      <c r="G959" s="95" t="s">
        <v>264</v>
      </c>
      <c r="H959" s="11">
        <f>SUM(H957:H957)</f>
        <v>2</v>
      </c>
      <c r="I959" s="12" t="s">
        <v>277</v>
      </c>
    </row>
    <row r="960" spans="1:9" ht="15.6" customHeight="1" x14ac:dyDescent="0.2">
      <c r="A960" s="176" t="str">
        <f>'Orçamento Sintético'!A215</f>
        <v xml:space="preserve"> 14.3.3</v>
      </c>
      <c r="B960" s="270" t="str">
        <f>'Orçamento Sintético'!D215</f>
        <v>FORNECIMENTO E IMPLANTAÇÃO DE RELÉ FOTO-ELÉTRICO EM POSTE</v>
      </c>
      <c r="C960" s="271"/>
      <c r="D960" s="271"/>
      <c r="E960" s="272"/>
      <c r="I960" s="5"/>
    </row>
    <row r="961" spans="1:9" x14ac:dyDescent="0.2">
      <c r="A961" s="176"/>
      <c r="B961" s="91" t="s">
        <v>260</v>
      </c>
      <c r="C961" s="91" t="s">
        <v>8</v>
      </c>
      <c r="D961" s="91" t="s">
        <v>266</v>
      </c>
      <c r="E961" s="91" t="s">
        <v>261</v>
      </c>
      <c r="F961" s="91" t="s">
        <v>262</v>
      </c>
      <c r="G961" s="91" t="s">
        <v>263</v>
      </c>
      <c r="H961" s="91" t="s">
        <v>11</v>
      </c>
      <c r="I961" s="5"/>
    </row>
    <row r="962" spans="1:9" ht="25.5" x14ac:dyDescent="0.2">
      <c r="A962" s="176"/>
      <c r="B962" s="149" t="s">
        <v>607</v>
      </c>
      <c r="C962" s="7">
        <v>4</v>
      </c>
      <c r="D962" s="7"/>
      <c r="E962" s="7"/>
      <c r="F962" s="7"/>
      <c r="G962" s="7"/>
      <c r="H962" s="15">
        <f>ROUND(IF(PRODUCT(IF(C962=0,1,C962),IF(D962=0,1,D962),IF(E962=0,1,E962),IF(F962=0,1,F962),IF(G962=0,1,G962))=1,0,PRODUCT(IF(C962=0,1,C962),IF(D962=0,1,D962),IF(E962=0,1,E962),IF(F962=0,1,F962),IF(G962=0,1,G962))),2)</f>
        <v>4</v>
      </c>
      <c r="I962" s="5"/>
    </row>
    <row r="963" spans="1:9" x14ac:dyDescent="0.2">
      <c r="A963" s="176"/>
      <c r="B963" s="6"/>
      <c r="C963" s="7"/>
      <c r="D963" s="7"/>
      <c r="E963" s="7"/>
      <c r="F963" s="7"/>
      <c r="G963" s="7"/>
      <c r="H963" s="15">
        <f>ROUND(IF(PRODUCT(IF(C963=0,1,C963),IF(E963=0,1,E963),IF(F963=0,1,F963),IF(G963=0,1,G963))=1,0,PRODUCT(IF(C963=0,1,C963),IF(E963=0,1,E963),IF(F963=0,1,F963),IF(G963=0,1,G963))),2)</f>
        <v>0</v>
      </c>
      <c r="I963" s="5"/>
    </row>
    <row r="964" spans="1:9" x14ac:dyDescent="0.2">
      <c r="A964" s="176"/>
      <c r="C964" s="10"/>
      <c r="D964" s="10"/>
      <c r="E964" s="9"/>
      <c r="F964" s="94" t="s">
        <v>11</v>
      </c>
      <c r="G964" s="95" t="s">
        <v>264</v>
      </c>
      <c r="H964" s="11">
        <f>SUM(H962:H962)</f>
        <v>4</v>
      </c>
      <c r="I964" s="12" t="s">
        <v>277</v>
      </c>
    </row>
    <row r="965" spans="1:9" x14ac:dyDescent="0.2">
      <c r="A965" s="175" t="str">
        <f>'Orçamento Sintético'!A216</f>
        <v xml:space="preserve"> 14.4 </v>
      </c>
      <c r="B965" s="97" t="str">
        <f>'Orçamento Sintético'!D216</f>
        <v>DISPOSITIVO DE PROTEÇÃO</v>
      </c>
      <c r="C965" s="273"/>
      <c r="D965" s="274"/>
      <c r="E965" s="274"/>
      <c r="F965" s="274"/>
      <c r="G965" s="274"/>
      <c r="H965" s="274"/>
      <c r="I965" s="275"/>
    </row>
    <row r="966" spans="1:9" ht="15" customHeight="1" x14ac:dyDescent="0.2">
      <c r="A966" s="176" t="str">
        <f>'Orçamento Sintético'!A217</f>
        <v xml:space="preserve"> 14.4.1 </v>
      </c>
      <c r="B966" s="270" t="str">
        <f>'Orçamento Sintético'!D217</f>
        <v>DISJUNTOR MONOPOLAR TIPO DIN, CORRENTE NOMINAL DE 10A - FORNECIMENTO E INSTALAÇÃO. AF_10/2020</v>
      </c>
      <c r="C966" s="271"/>
      <c r="D966" s="271"/>
      <c r="E966" s="272"/>
      <c r="I966" s="5"/>
    </row>
    <row r="967" spans="1:9" x14ac:dyDescent="0.2">
      <c r="A967" s="176"/>
      <c r="B967" s="91" t="s">
        <v>260</v>
      </c>
      <c r="C967" s="91" t="s">
        <v>8</v>
      </c>
      <c r="D967" s="91" t="s">
        <v>266</v>
      </c>
      <c r="E967" s="91" t="s">
        <v>261</v>
      </c>
      <c r="F967" s="91" t="s">
        <v>262</v>
      </c>
      <c r="G967" s="91" t="s">
        <v>263</v>
      </c>
      <c r="H967" s="91" t="s">
        <v>11</v>
      </c>
      <c r="I967" s="5"/>
    </row>
    <row r="968" spans="1:9" ht="25.5" x14ac:dyDescent="0.2">
      <c r="A968" s="176"/>
      <c r="B968" s="149" t="s">
        <v>607</v>
      </c>
      <c r="C968" s="7">
        <v>9</v>
      </c>
      <c r="D968" s="7"/>
      <c r="E968" s="7"/>
      <c r="F968" s="7"/>
      <c r="G968" s="7"/>
      <c r="H968" s="15">
        <f>ROUND(IF(PRODUCT(IF(C968=0,1,C968),IF(D968=0,1,D968),IF(E968=0,1,E968),IF(F968=0,1,F968),IF(G968=0,1,G968))=1,0,PRODUCT(IF(C968=0,1,C968),IF(D968=0,1,D968),IF(E968=0,1,E968),IF(F968=0,1,F968),IF(G968=0,1,G968))),2)</f>
        <v>9</v>
      </c>
      <c r="I968" s="5"/>
    </row>
    <row r="969" spans="1:9" x14ac:dyDescent="0.2">
      <c r="A969" s="176"/>
      <c r="B969" s="6"/>
      <c r="C969" s="7"/>
      <c r="D969" s="7"/>
      <c r="E969" s="7"/>
      <c r="F969" s="7"/>
      <c r="G969" s="7"/>
      <c r="H969" s="15">
        <f>ROUND(IF(PRODUCT(IF(C969=0,1,C969),IF(E969=0,1,E969),IF(F969=0,1,F969),IF(G969=0,1,G969))=1,0,PRODUCT(IF(C969=0,1,C969),IF(E969=0,1,E969),IF(F969=0,1,F969),IF(G969=0,1,G969))),2)</f>
        <v>0</v>
      </c>
      <c r="I969" s="5"/>
    </row>
    <row r="970" spans="1:9" x14ac:dyDescent="0.2">
      <c r="A970" s="176"/>
      <c r="C970" s="10"/>
      <c r="D970" s="10"/>
      <c r="E970" s="9"/>
      <c r="F970" s="94" t="s">
        <v>11</v>
      </c>
      <c r="G970" s="95" t="s">
        <v>264</v>
      </c>
      <c r="H970" s="11">
        <f>SUM(H968:H968)</f>
        <v>9</v>
      </c>
      <c r="I970" s="12" t="s">
        <v>277</v>
      </c>
    </row>
    <row r="971" spans="1:9" ht="15" customHeight="1" x14ac:dyDescent="0.2">
      <c r="A971" s="176" t="str">
        <f>'Orçamento Sintético'!A218</f>
        <v xml:space="preserve"> 14.4.2</v>
      </c>
      <c r="B971" s="270" t="str">
        <f>'Orçamento Sintético'!D218</f>
        <v>DISJUNTOR MONOPOLAR TIPO DIN, CORRENTE NOMINAL DE 32A - FORNECIMENTO E INSTALAÇÃO. AF_10/2020</v>
      </c>
      <c r="C971" s="271"/>
      <c r="D971" s="271"/>
      <c r="E971" s="272"/>
      <c r="I971" s="5"/>
    </row>
    <row r="972" spans="1:9" x14ac:dyDescent="0.2">
      <c r="A972" s="176"/>
      <c r="B972" s="91" t="s">
        <v>260</v>
      </c>
      <c r="C972" s="91" t="s">
        <v>8</v>
      </c>
      <c r="D972" s="91" t="s">
        <v>266</v>
      </c>
      <c r="E972" s="91" t="s">
        <v>261</v>
      </c>
      <c r="F972" s="91" t="s">
        <v>262</v>
      </c>
      <c r="G972" s="91" t="s">
        <v>263</v>
      </c>
      <c r="H972" s="91" t="s">
        <v>11</v>
      </c>
      <c r="I972" s="5"/>
    </row>
    <row r="973" spans="1:9" ht="25.5" x14ac:dyDescent="0.2">
      <c r="A973" s="176"/>
      <c r="B973" s="149" t="s">
        <v>607</v>
      </c>
      <c r="C973" s="7">
        <v>1</v>
      </c>
      <c r="D973" s="7"/>
      <c r="E973" s="7"/>
      <c r="F973" s="7"/>
      <c r="G973" s="7"/>
      <c r="H973" s="15">
        <f>PRODUCT(C973,D973,E973,F973,G973)</f>
        <v>1</v>
      </c>
      <c r="I973" s="5"/>
    </row>
    <row r="974" spans="1:9" x14ac:dyDescent="0.2">
      <c r="A974" s="176"/>
      <c r="B974" s="6"/>
      <c r="C974" s="7"/>
      <c r="D974" s="7"/>
      <c r="E974" s="7"/>
      <c r="F974" s="7"/>
      <c r="G974" s="7"/>
      <c r="H974" s="15">
        <f>ROUND(IF(PRODUCT(IF(C974=0,1,C974),IF(E974=0,1,E974),IF(F974=0,1,F974),IF(G974=0,1,G974))=1,0,PRODUCT(IF(C974=0,1,C974),IF(E974=0,1,E974),IF(F974=0,1,F974),IF(G974=0,1,G974))),2)</f>
        <v>0</v>
      </c>
      <c r="I974" s="5"/>
    </row>
    <row r="975" spans="1:9" x14ac:dyDescent="0.2">
      <c r="A975" s="176"/>
      <c r="C975" s="10"/>
      <c r="D975" s="10"/>
      <c r="E975" s="9"/>
      <c r="F975" s="94" t="s">
        <v>11</v>
      </c>
      <c r="G975" s="95" t="s">
        <v>264</v>
      </c>
      <c r="H975" s="11">
        <f>SUM(H973:H973)</f>
        <v>1</v>
      </c>
      <c r="I975" s="12" t="s">
        <v>277</v>
      </c>
    </row>
    <row r="976" spans="1:9" ht="22.15" customHeight="1" x14ac:dyDescent="0.2">
      <c r="A976" s="176" t="str">
        <f>'Orçamento Sintético'!A219</f>
        <v xml:space="preserve"> 14.4.3</v>
      </c>
      <c r="B976" s="270" t="str">
        <f>'Orçamento Sintético'!D219</f>
        <v>DISJUNTOR DE PROTEÇÃO DIFERENCIAL RESIDUAL (DR), BIPOLAR, TIPO DIN, CORRENTE NOMINAL DE 40A, ALTA SENSIBILIDADE, CORRENTE DIFERENCIAL RESIDUAL NOMINAL COM ATUAÇÃO DE 30MA</v>
      </c>
      <c r="C976" s="271"/>
      <c r="D976" s="271"/>
      <c r="E976" s="272"/>
      <c r="I976" s="5"/>
    </row>
    <row r="977" spans="1:9" x14ac:dyDescent="0.2">
      <c r="A977" s="176"/>
      <c r="B977" s="91" t="s">
        <v>260</v>
      </c>
      <c r="C977" s="91" t="s">
        <v>8</v>
      </c>
      <c r="D977" s="91" t="s">
        <v>266</v>
      </c>
      <c r="E977" s="91" t="s">
        <v>261</v>
      </c>
      <c r="F977" s="91" t="s">
        <v>262</v>
      </c>
      <c r="G977" s="91" t="s">
        <v>263</v>
      </c>
      <c r="H977" s="91" t="s">
        <v>11</v>
      </c>
      <c r="I977" s="5"/>
    </row>
    <row r="978" spans="1:9" ht="25.5" x14ac:dyDescent="0.2">
      <c r="A978" s="176"/>
      <c r="B978" s="149" t="s">
        <v>607</v>
      </c>
      <c r="C978" s="7">
        <v>1</v>
      </c>
      <c r="D978" s="7"/>
      <c r="E978" s="7"/>
      <c r="F978" s="7"/>
      <c r="G978" s="7"/>
      <c r="H978" s="15">
        <f>PRODUCT(C978,D978,E978,F978,G978)</f>
        <v>1</v>
      </c>
      <c r="I978" s="5"/>
    </row>
    <row r="979" spans="1:9" x14ac:dyDescent="0.2">
      <c r="A979" s="176"/>
      <c r="B979" s="6"/>
      <c r="C979" s="7"/>
      <c r="D979" s="7"/>
      <c r="E979" s="7"/>
      <c r="F979" s="7"/>
      <c r="G979" s="7"/>
      <c r="H979" s="15">
        <f>ROUND(IF(PRODUCT(IF(C979=0,1,C979),IF(E979=0,1,E979),IF(F979=0,1,F979),IF(G979=0,1,G979))=1,0,PRODUCT(IF(C979=0,1,C979),IF(E979=0,1,E979),IF(F979=0,1,F979),IF(G979=0,1,G979))),2)</f>
        <v>0</v>
      </c>
      <c r="I979" s="5"/>
    </row>
    <row r="980" spans="1:9" x14ac:dyDescent="0.2">
      <c r="A980" s="176"/>
      <c r="C980" s="10"/>
      <c r="D980" s="10"/>
      <c r="E980" s="9"/>
      <c r="F980" s="94" t="s">
        <v>11</v>
      </c>
      <c r="G980" s="95" t="s">
        <v>264</v>
      </c>
      <c r="H980" s="11">
        <f>SUM(H978:H978)</f>
        <v>1</v>
      </c>
      <c r="I980" s="12" t="s">
        <v>277</v>
      </c>
    </row>
    <row r="981" spans="1:9" x14ac:dyDescent="0.2">
      <c r="A981" s="175" t="str">
        <f>'Orçamento Sintético'!A220</f>
        <v xml:space="preserve"> 14.5 </v>
      </c>
      <c r="B981" s="97" t="str">
        <f>'Orçamento Sintético'!D220</f>
        <v>ELETRODUTOS</v>
      </c>
      <c r="C981" s="273"/>
      <c r="D981" s="274"/>
      <c r="E981" s="274"/>
      <c r="F981" s="274"/>
      <c r="G981" s="274"/>
      <c r="H981" s="274"/>
      <c r="I981" s="275"/>
    </row>
    <row r="982" spans="1:9" ht="22.5" customHeight="1" x14ac:dyDescent="0.2">
      <c r="A982" s="176" t="str">
        <f>'Orçamento Sintético'!A221</f>
        <v xml:space="preserve"> 14.5.1 </v>
      </c>
      <c r="B982" s="270" t="str">
        <f>'Orçamento Sintético'!D221</f>
        <v>ELETRODUTO FLEXÍVEL CORRUGADO, PVC, DN 25 MM (3/4"), PARA CIRCUITOS TERMINAIS, INSTALADO EM PAREDE - FORNECIMENTO E INSTALAÇÃO. AF_03/2023</v>
      </c>
      <c r="C982" s="271"/>
      <c r="D982" s="271"/>
      <c r="E982" s="272"/>
      <c r="I982" s="5"/>
    </row>
    <row r="983" spans="1:9" x14ac:dyDescent="0.2">
      <c r="A983" s="176"/>
      <c r="B983" s="91" t="s">
        <v>260</v>
      </c>
      <c r="C983" s="91" t="s">
        <v>8</v>
      </c>
      <c r="D983" s="91" t="s">
        <v>266</v>
      </c>
      <c r="E983" s="91" t="s">
        <v>261</v>
      </c>
      <c r="F983" s="91" t="s">
        <v>262</v>
      </c>
      <c r="G983" s="91" t="s">
        <v>263</v>
      </c>
      <c r="H983" s="91" t="s">
        <v>11</v>
      </c>
      <c r="I983" s="5"/>
    </row>
    <row r="984" spans="1:9" ht="25.5" x14ac:dyDescent="0.2">
      <c r="A984" s="176"/>
      <c r="B984" s="149" t="s">
        <v>607</v>
      </c>
      <c r="C984" s="7"/>
      <c r="D984" s="7"/>
      <c r="E984" s="7">
        <v>118.94</v>
      </c>
      <c r="F984" s="7"/>
      <c r="G984" s="7"/>
      <c r="H984" s="15">
        <f>ROUND(IF(PRODUCT(IF(C984=0,1,C984),IF(D984=0,1,D984),IF(E984=0,1,E984),IF(F984=0,1,F984),IF(G984=0,1,G984))=1,0,PRODUCT(IF(C984=0,1,C984),IF(D984=0,1,D984),IF(E984=0,1,E984),IF(F984=0,1,F984),IF(G984=0,1,G984))),2)</f>
        <v>118.94</v>
      </c>
      <c r="I984" s="5"/>
    </row>
    <row r="985" spans="1:9" x14ac:dyDescent="0.2">
      <c r="A985" s="176"/>
      <c r="B985" s="6"/>
      <c r="C985" s="7"/>
      <c r="D985" s="7"/>
      <c r="E985" s="7"/>
      <c r="F985" s="7"/>
      <c r="G985" s="7"/>
      <c r="H985" s="15">
        <f>ROUND(IF(PRODUCT(IF(C985=0,1,C985),IF(E985=0,1,E985),IF(F985=0,1,F985),IF(G985=0,1,G985))=1,0,PRODUCT(IF(C985=0,1,C985),IF(E985=0,1,E985),IF(F985=0,1,F985),IF(G985=0,1,G985))),2)</f>
        <v>0</v>
      </c>
      <c r="I985" s="5"/>
    </row>
    <row r="986" spans="1:9" x14ac:dyDescent="0.2">
      <c r="A986" s="176"/>
      <c r="C986" s="10"/>
      <c r="D986" s="10"/>
      <c r="E986" s="9"/>
      <c r="F986" s="94" t="s">
        <v>11</v>
      </c>
      <c r="G986" s="95" t="s">
        <v>264</v>
      </c>
      <c r="H986" s="11">
        <f>SUM(H984:H984)</f>
        <v>118.94</v>
      </c>
      <c r="I986" s="12" t="s">
        <v>186</v>
      </c>
    </row>
    <row r="987" spans="1:9" ht="22.5" customHeight="1" x14ac:dyDescent="0.2">
      <c r="A987" s="176" t="str">
        <f>'Orçamento Sintético'!A222</f>
        <v xml:space="preserve"> 14.5.2</v>
      </c>
      <c r="B987" s="270" t="str">
        <f>'Orçamento Sintético'!D222</f>
        <v>ELETRODUTO RÍGIDO ROSCÁVEL, PVC, DN 25 MM (3/4"), PARA CIRCUITOS TERMINAIS, INSTALADO EM LAJE - FORNECIMENTO E INSTALAÇÃO. AF_03/2023</v>
      </c>
      <c r="C987" s="271"/>
      <c r="D987" s="271"/>
      <c r="E987" s="272"/>
      <c r="I987" s="5"/>
    </row>
    <row r="988" spans="1:9" x14ac:dyDescent="0.2">
      <c r="A988" s="176"/>
      <c r="B988" s="91" t="s">
        <v>260</v>
      </c>
      <c r="C988" s="91" t="s">
        <v>8</v>
      </c>
      <c r="D988" s="91" t="s">
        <v>266</v>
      </c>
      <c r="E988" s="91" t="s">
        <v>261</v>
      </c>
      <c r="F988" s="91" t="s">
        <v>262</v>
      </c>
      <c r="G988" s="91" t="s">
        <v>263</v>
      </c>
      <c r="H988" s="91" t="s">
        <v>11</v>
      </c>
      <c r="I988" s="5"/>
    </row>
    <row r="989" spans="1:9" ht="25.5" x14ac:dyDescent="0.2">
      <c r="A989" s="176"/>
      <c r="B989" s="149" t="s">
        <v>607</v>
      </c>
      <c r="C989" s="7"/>
      <c r="D989" s="7"/>
      <c r="E989" s="7">
        <v>12.34</v>
      </c>
      <c r="F989" s="7"/>
      <c r="G989" s="7"/>
      <c r="H989" s="15">
        <f>ROUND(IF(PRODUCT(IF(C989=0,1,C989),IF(D989=0,1,D989),IF(E989=0,1,E989),IF(F989=0,1,F989),IF(G989=0,1,G989))=1,0,PRODUCT(IF(C989=0,1,C989),IF(D989=0,1,D989),IF(E989=0,1,E989),IF(F989=0,1,F989),IF(G989=0,1,G989))),2)</f>
        <v>12.34</v>
      </c>
      <c r="I989" s="5"/>
    </row>
    <row r="990" spans="1:9" x14ac:dyDescent="0.2">
      <c r="A990" s="176"/>
      <c r="B990" s="6"/>
      <c r="C990" s="7"/>
      <c r="D990" s="7"/>
      <c r="E990" s="7"/>
      <c r="F990" s="7"/>
      <c r="G990" s="7"/>
      <c r="H990" s="15">
        <f>ROUND(IF(PRODUCT(IF(C990=0,1,C990),IF(E990=0,1,E990),IF(F990=0,1,F990),IF(G990=0,1,G990))=1,0,PRODUCT(IF(C990=0,1,C990),IF(E990=0,1,E990),IF(F990=0,1,F990),IF(G990=0,1,G990))),2)</f>
        <v>0</v>
      </c>
      <c r="I990" s="5"/>
    </row>
    <row r="991" spans="1:9" x14ac:dyDescent="0.2">
      <c r="A991" s="176"/>
      <c r="C991" s="10"/>
      <c r="D991" s="10"/>
      <c r="E991" s="9"/>
      <c r="F991" s="94" t="s">
        <v>11</v>
      </c>
      <c r="G991" s="95" t="s">
        <v>264</v>
      </c>
      <c r="H991" s="11">
        <f>SUM(H989:H989)</f>
        <v>12.34</v>
      </c>
      <c r="I991" s="12" t="s">
        <v>186</v>
      </c>
    </row>
    <row r="992" spans="1:9" ht="26.25" customHeight="1" x14ac:dyDescent="0.2">
      <c r="A992" s="176" t="str">
        <f>'Orçamento Sintético'!A223</f>
        <v xml:space="preserve"> 14.5.3</v>
      </c>
      <c r="B992" s="270" t="str">
        <f>'Orçamento Sintético'!D223</f>
        <v>ELETRODUTO RÍGIDO ROSCÁVEL, PVC, DN 32 MM (1"), PARA CIRCUITOS TERMINAIS, INSTALADO EM LAJE - FORNECIMENTO E INSTALAÇÃO. AF_03/2023</v>
      </c>
      <c r="C992" s="271"/>
      <c r="D992" s="271"/>
      <c r="E992" s="272"/>
      <c r="I992" s="5"/>
    </row>
    <row r="993" spans="1:9" x14ac:dyDescent="0.2">
      <c r="A993" s="176"/>
      <c r="B993" s="91" t="s">
        <v>260</v>
      </c>
      <c r="C993" s="91" t="s">
        <v>8</v>
      </c>
      <c r="D993" s="91" t="s">
        <v>266</v>
      </c>
      <c r="E993" s="91" t="s">
        <v>261</v>
      </c>
      <c r="F993" s="91" t="s">
        <v>262</v>
      </c>
      <c r="G993" s="91" t="s">
        <v>263</v>
      </c>
      <c r="H993" s="91" t="s">
        <v>11</v>
      </c>
      <c r="I993" s="5"/>
    </row>
    <row r="994" spans="1:9" ht="25.5" x14ac:dyDescent="0.2">
      <c r="A994" s="176"/>
      <c r="B994" s="149" t="s">
        <v>607</v>
      </c>
      <c r="C994" s="7"/>
      <c r="D994" s="7"/>
      <c r="E994" s="7">
        <v>283.55</v>
      </c>
      <c r="F994" s="7"/>
      <c r="G994" s="7"/>
      <c r="H994" s="15">
        <f>ROUND(IF(PRODUCT(IF(C994=0,1,C994),IF(D994=0,1,D994),IF(E994=0,1,E994),IF(F994=0,1,F994),IF(G994=0,1,G994))=1,0,PRODUCT(IF(C994=0,1,C994),IF(D994=0,1,D994),IF(E994=0,1,E994),IF(F994=0,1,F994),IF(G994=0,1,G994))),2)</f>
        <v>283.55</v>
      </c>
      <c r="I994" s="5"/>
    </row>
    <row r="995" spans="1:9" x14ac:dyDescent="0.2">
      <c r="A995" s="176"/>
      <c r="B995" s="6"/>
      <c r="C995" s="7"/>
      <c r="D995" s="7"/>
      <c r="E995" s="7"/>
      <c r="F995" s="7"/>
      <c r="G995" s="7"/>
      <c r="H995" s="15">
        <f>ROUND(IF(PRODUCT(IF(C995=0,1,C995),IF(E995=0,1,E995),IF(F995=0,1,F995),IF(G995=0,1,G995))=1,0,PRODUCT(IF(C995=0,1,C995),IF(E995=0,1,E995),IF(F995=0,1,F995),IF(G995=0,1,G995))),2)</f>
        <v>0</v>
      </c>
      <c r="I995" s="5"/>
    </row>
    <row r="996" spans="1:9" x14ac:dyDescent="0.2">
      <c r="A996" s="176"/>
      <c r="C996" s="10"/>
      <c r="D996" s="10"/>
      <c r="E996" s="9"/>
      <c r="F996" s="94" t="s">
        <v>11</v>
      </c>
      <c r="G996" s="95" t="s">
        <v>264</v>
      </c>
      <c r="H996" s="11">
        <f>SUM(H994:H994)</f>
        <v>283.55</v>
      </c>
      <c r="I996" s="12" t="s">
        <v>186</v>
      </c>
    </row>
    <row r="997" spans="1:9" x14ac:dyDescent="0.2">
      <c r="A997" s="175" t="str">
        <f>'Orçamento Sintético'!A224</f>
        <v xml:space="preserve"> 14.6 </v>
      </c>
      <c r="B997" s="97" t="str">
        <f>'Orçamento Sintético'!D224</f>
        <v>QUADROS E ENTRADAS</v>
      </c>
      <c r="C997" s="273"/>
      <c r="D997" s="274"/>
      <c r="E997" s="274"/>
      <c r="F997" s="274"/>
      <c r="G997" s="274"/>
      <c r="H997" s="274"/>
      <c r="I997" s="275"/>
    </row>
    <row r="998" spans="1:9" ht="15" customHeight="1" x14ac:dyDescent="0.2">
      <c r="A998" s="176" t="str">
        <f>'Orçamento Sintético'!A225</f>
        <v xml:space="preserve"> 14.6.1 </v>
      </c>
      <c r="B998" s="270" t="str">
        <f>'Orçamento Sintético'!D225</f>
        <v>ENTRADA DE ENERGIA ELÉTRICA TRIFÁSICA DEMANDA ENTRE 0 E 15,2 KW - REV 01</v>
      </c>
      <c r="C998" s="271"/>
      <c r="D998" s="271"/>
      <c r="E998" s="272"/>
      <c r="I998" s="5"/>
    </row>
    <row r="999" spans="1:9" x14ac:dyDescent="0.2">
      <c r="A999" s="176"/>
      <c r="B999" s="91" t="s">
        <v>260</v>
      </c>
      <c r="C999" s="91" t="s">
        <v>8</v>
      </c>
      <c r="D999" s="91" t="s">
        <v>266</v>
      </c>
      <c r="E999" s="91" t="s">
        <v>261</v>
      </c>
      <c r="F999" s="91" t="s">
        <v>262</v>
      </c>
      <c r="G999" s="91" t="s">
        <v>263</v>
      </c>
      <c r="H999" s="91" t="s">
        <v>11</v>
      </c>
      <c r="I999" s="5"/>
    </row>
    <row r="1000" spans="1:9" ht="25.5" x14ac:dyDescent="0.2">
      <c r="A1000" s="176"/>
      <c r="B1000" s="149" t="s">
        <v>607</v>
      </c>
      <c r="C1000" s="7">
        <v>1</v>
      </c>
      <c r="D1000" s="7"/>
      <c r="E1000" s="7"/>
      <c r="F1000" s="7"/>
      <c r="G1000" s="7"/>
      <c r="H1000" s="15">
        <f>PRODUCT(C1000,D1000,E1000,F1000,G1000)</f>
        <v>1</v>
      </c>
      <c r="I1000" s="5"/>
    </row>
    <row r="1001" spans="1:9" x14ac:dyDescent="0.2">
      <c r="A1001" s="176"/>
      <c r="B1001" s="6"/>
      <c r="C1001" s="7"/>
      <c r="D1001" s="7"/>
      <c r="E1001" s="7"/>
      <c r="F1001" s="7"/>
      <c r="G1001" s="7"/>
      <c r="H1001" s="15">
        <f>ROUND(IF(PRODUCT(IF(C1001=0,1,C1001),IF(E1001=0,1,E1001),IF(F1001=0,1,F1001),IF(G1001=0,1,G1001))=1,0,PRODUCT(IF(C1001=0,1,C1001),IF(E1001=0,1,E1001),IF(F1001=0,1,F1001),IF(G1001=0,1,G1001))),2)</f>
        <v>0</v>
      </c>
      <c r="I1001" s="5"/>
    </row>
    <row r="1002" spans="1:9" x14ac:dyDescent="0.2">
      <c r="A1002" s="176"/>
      <c r="C1002" s="10"/>
      <c r="D1002" s="10"/>
      <c r="E1002" s="9"/>
      <c r="F1002" s="94" t="s">
        <v>11</v>
      </c>
      <c r="G1002" s="95" t="s">
        <v>264</v>
      </c>
      <c r="H1002" s="11">
        <f>SUM(H1000:H1000)</f>
        <v>1</v>
      </c>
      <c r="I1002" s="12" t="s">
        <v>277</v>
      </c>
    </row>
    <row r="1003" spans="1:9" ht="26.25" customHeight="1" x14ac:dyDescent="0.2">
      <c r="A1003" s="176" t="str">
        <f>'Orçamento Sintético'!A226</f>
        <v xml:space="preserve"> 14.6.2 </v>
      </c>
      <c r="B1003" s="270" t="str">
        <f>'Orçamento Sintético'!D226</f>
        <v>QUADRO DE DISTRIBUIÇÃO DE EMBUTIR, EM CHAPA DE AÇO, PARA ATÉ 16 DISJUNTORES, COM BARRAMENTO, PADRÃO DIN, EXCLUSIVE DISJUNTORES</v>
      </c>
      <c r="C1003" s="271"/>
      <c r="D1003" s="271"/>
      <c r="E1003" s="272"/>
      <c r="I1003" s="5"/>
    </row>
    <row r="1004" spans="1:9" x14ac:dyDescent="0.2">
      <c r="A1004" s="176"/>
      <c r="B1004" s="91" t="s">
        <v>260</v>
      </c>
      <c r="C1004" s="91" t="s">
        <v>8</v>
      </c>
      <c r="D1004" s="91" t="s">
        <v>266</v>
      </c>
      <c r="E1004" s="91" t="s">
        <v>261</v>
      </c>
      <c r="F1004" s="91" t="s">
        <v>262</v>
      </c>
      <c r="G1004" s="91" t="s">
        <v>263</v>
      </c>
      <c r="H1004" s="91" t="s">
        <v>11</v>
      </c>
      <c r="I1004" s="5"/>
    </row>
    <row r="1005" spans="1:9" ht="25.5" x14ac:dyDescent="0.2">
      <c r="A1005" s="176"/>
      <c r="B1005" s="149" t="s">
        <v>607</v>
      </c>
      <c r="C1005" s="7">
        <v>1</v>
      </c>
      <c r="D1005" s="7"/>
      <c r="E1005" s="7"/>
      <c r="F1005" s="7"/>
      <c r="G1005" s="7"/>
      <c r="H1005" s="15">
        <f>PRODUCT(C1005,D1005,E1005,F1005,G1005)</f>
        <v>1</v>
      </c>
      <c r="I1005" s="5"/>
    </row>
    <row r="1006" spans="1:9" x14ac:dyDescent="0.2">
      <c r="A1006" s="176"/>
      <c r="B1006" s="6"/>
      <c r="C1006" s="7"/>
      <c r="D1006" s="7"/>
      <c r="E1006" s="7"/>
      <c r="F1006" s="7"/>
      <c r="G1006" s="7"/>
      <c r="H1006" s="15">
        <f>ROUND(IF(PRODUCT(IF(C1006=0,1,C1006),IF(E1006=0,1,E1006),IF(F1006=0,1,F1006),IF(G1006=0,1,G1006))=1,0,PRODUCT(IF(C1006=0,1,C1006),IF(E1006=0,1,E1006),IF(F1006=0,1,F1006),IF(G1006=0,1,G1006))),2)</f>
        <v>0</v>
      </c>
      <c r="I1006" s="5"/>
    </row>
    <row r="1007" spans="1:9" x14ac:dyDescent="0.2">
      <c r="A1007" s="176"/>
      <c r="C1007" s="10"/>
      <c r="D1007" s="10"/>
      <c r="E1007" s="9"/>
      <c r="F1007" s="94" t="s">
        <v>11</v>
      </c>
      <c r="G1007" s="95" t="s">
        <v>264</v>
      </c>
      <c r="H1007" s="11">
        <f>SUM(H1005:H1005)</f>
        <v>1</v>
      </c>
      <c r="I1007" s="12" t="s">
        <v>277</v>
      </c>
    </row>
    <row r="1008" spans="1:9" x14ac:dyDescent="0.2">
      <c r="A1008" s="175" t="str">
        <f>'Orçamento Sintético'!A227</f>
        <v xml:space="preserve"> 14.7 </v>
      </c>
      <c r="B1008" s="173" t="str">
        <f>'Orçamento Sintético'!D227</f>
        <v>ILUMINAÇÃO</v>
      </c>
      <c r="C1008" s="283"/>
      <c r="D1008" s="284"/>
      <c r="E1008" s="284"/>
      <c r="F1008" s="284"/>
      <c r="G1008" s="284"/>
      <c r="H1008" s="284"/>
      <c r="I1008" s="285"/>
    </row>
    <row r="1009" spans="1:9" ht="14.25" customHeight="1" x14ac:dyDescent="0.2">
      <c r="A1009" s="176" t="str">
        <f>'Orçamento Sintético'!A228</f>
        <v xml:space="preserve"> 14.7.1 </v>
      </c>
      <c r="B1009" s="279" t="str">
        <f>'Orçamento Sintético'!D228</f>
        <v>LUMINÁRIA PLAFON 25W LED QUADRADO DE EMBUTIR - BRANCO FRIO</v>
      </c>
      <c r="C1009" s="280"/>
      <c r="D1009" s="280"/>
      <c r="E1009" s="281"/>
      <c r="F1009" s="162"/>
      <c r="G1009" s="162"/>
      <c r="H1009" s="162"/>
      <c r="I1009" s="163"/>
    </row>
    <row r="1010" spans="1:9" x14ac:dyDescent="0.2">
      <c r="A1010" s="176"/>
      <c r="B1010" s="164" t="s">
        <v>260</v>
      </c>
      <c r="C1010" s="164" t="s">
        <v>8</v>
      </c>
      <c r="D1010" s="164" t="s">
        <v>266</v>
      </c>
      <c r="E1010" s="164" t="s">
        <v>261</v>
      </c>
      <c r="F1010" s="164" t="s">
        <v>262</v>
      </c>
      <c r="G1010" s="164" t="s">
        <v>263</v>
      </c>
      <c r="H1010" s="164" t="s">
        <v>11</v>
      </c>
      <c r="I1010" s="163"/>
    </row>
    <row r="1011" spans="1:9" ht="25.5" x14ac:dyDescent="0.2">
      <c r="A1011" s="176"/>
      <c r="B1011" s="165" t="s">
        <v>675</v>
      </c>
      <c r="C1011" s="7">
        <v>10</v>
      </c>
      <c r="D1011" s="161"/>
      <c r="E1011" s="161"/>
      <c r="F1011" s="161"/>
      <c r="G1011" s="161"/>
      <c r="H1011" s="8">
        <f>ROUND(IF(PRODUCT(IF(C1011=0,1,C1011),IF(D1011=0,1,D1011),IF(E1011=0,1,E1011),IF(F1011=0,1,F1011),IF(G1011=0,1,G1011))=1,0,PRODUCT(IF(C1011=0,1,C1011),IF(D1011=0,1,D1011),IF(E1011=0,1,E1011),IF(F1011=0,1,F1011),IF(G1011=0,1,G1011))),2)</f>
        <v>10</v>
      </c>
      <c r="I1011" s="163"/>
    </row>
    <row r="1012" spans="1:9" x14ac:dyDescent="0.2">
      <c r="A1012" s="176"/>
      <c r="B1012" s="166"/>
      <c r="C1012" s="161"/>
      <c r="D1012" s="161"/>
      <c r="E1012" s="161"/>
      <c r="F1012" s="161"/>
      <c r="G1012" s="161"/>
      <c r="H1012" s="8">
        <f>ROUND(IF(PRODUCT(IF(C1012=0,1,C1012),IF(E1012=0,1,E1012),IF(F1012=0,1,F1012),IF(G1012=0,1,G1012))=1,0,PRODUCT(IF(C1012=0,1,C1012),IF(E1012=0,1,E1012),IF(F1012=0,1,F1012),IF(G1012=0,1,G1012))),2)</f>
        <v>0</v>
      </c>
      <c r="I1012" s="163"/>
    </row>
    <row r="1013" spans="1:9" x14ac:dyDescent="0.2">
      <c r="A1013" s="176"/>
      <c r="B1013" s="162"/>
      <c r="C1013" s="167"/>
      <c r="D1013" s="167"/>
      <c r="E1013" s="168"/>
      <c r="F1013" s="169" t="s">
        <v>11</v>
      </c>
      <c r="G1013" s="170" t="s">
        <v>264</v>
      </c>
      <c r="H1013" s="171">
        <f>SUM(H1011:H1011)</f>
        <v>10</v>
      </c>
      <c r="I1013" s="172" t="s">
        <v>277</v>
      </c>
    </row>
    <row r="1014" spans="1:9" ht="15" customHeight="1" x14ac:dyDescent="0.2">
      <c r="A1014" s="176" t="str">
        <f>'Orçamento Sintético'!A229</f>
        <v xml:space="preserve"> 14.7.2</v>
      </c>
      <c r="B1014" s="279" t="str">
        <f>'Orçamento Sintético'!D229</f>
        <v>REFLETOR SLIM LED 200W DE POTÊNCIA, BRANCO FRIO, 6500K, AUTOVOLT, MARCA G-LIGHT OU SIMILAR</v>
      </c>
      <c r="C1014" s="280"/>
      <c r="D1014" s="280"/>
      <c r="E1014" s="281"/>
      <c r="F1014" s="162"/>
      <c r="G1014" s="162"/>
      <c r="H1014" s="162"/>
      <c r="I1014" s="163"/>
    </row>
    <row r="1015" spans="1:9" x14ac:dyDescent="0.2">
      <c r="A1015" s="176"/>
      <c r="B1015" s="164" t="s">
        <v>260</v>
      </c>
      <c r="C1015" s="164" t="s">
        <v>8</v>
      </c>
      <c r="D1015" s="164" t="s">
        <v>266</v>
      </c>
      <c r="E1015" s="164" t="s">
        <v>261</v>
      </c>
      <c r="F1015" s="164" t="s">
        <v>262</v>
      </c>
      <c r="G1015" s="164" t="s">
        <v>263</v>
      </c>
      <c r="H1015" s="164" t="s">
        <v>11</v>
      </c>
      <c r="I1015" s="163"/>
    </row>
    <row r="1016" spans="1:9" ht="25.5" x14ac:dyDescent="0.2">
      <c r="A1016" s="176"/>
      <c r="B1016" s="165" t="s">
        <v>675</v>
      </c>
      <c r="C1016" s="7">
        <v>20</v>
      </c>
      <c r="D1016" s="161"/>
      <c r="E1016" s="161"/>
      <c r="F1016" s="161"/>
      <c r="G1016" s="161"/>
      <c r="H1016" s="8">
        <f>ROUND(IF(PRODUCT(IF(C1016=0,1,C1016),IF(D1016=0,1,D1016),IF(E1016=0,1,E1016),IF(F1016=0,1,F1016),IF(G1016=0,1,G1016))=1,0,PRODUCT(IF(C1016=0,1,C1016),IF(D1016=0,1,D1016),IF(E1016=0,1,E1016),IF(F1016=0,1,F1016),IF(G1016=0,1,G1016))),2)</f>
        <v>20</v>
      </c>
      <c r="I1016" s="163"/>
    </row>
    <row r="1017" spans="1:9" x14ac:dyDescent="0.2">
      <c r="A1017" s="176"/>
      <c r="B1017" s="166"/>
      <c r="C1017" s="161"/>
      <c r="D1017" s="161"/>
      <c r="E1017" s="161"/>
      <c r="F1017" s="161"/>
      <c r="G1017" s="161"/>
      <c r="H1017" s="8">
        <f>ROUND(IF(PRODUCT(IF(C1017=0,1,C1017),IF(E1017=0,1,E1017),IF(F1017=0,1,F1017),IF(G1017=0,1,G1017))=1,0,PRODUCT(IF(C1017=0,1,C1017),IF(E1017=0,1,E1017),IF(F1017=0,1,F1017),IF(G1017=0,1,G1017))),2)</f>
        <v>0</v>
      </c>
      <c r="I1017" s="163"/>
    </row>
    <row r="1018" spans="1:9" x14ac:dyDescent="0.2">
      <c r="A1018" s="176"/>
      <c r="B1018" s="162"/>
      <c r="C1018" s="167"/>
      <c r="D1018" s="167"/>
      <c r="E1018" s="168"/>
      <c r="F1018" s="169" t="s">
        <v>11</v>
      </c>
      <c r="G1018" s="170" t="s">
        <v>264</v>
      </c>
      <c r="H1018" s="171">
        <f>SUM(H1016:H1016)</f>
        <v>20</v>
      </c>
      <c r="I1018" s="172" t="s">
        <v>277</v>
      </c>
    </row>
    <row r="1019" spans="1:9" ht="14.25" customHeight="1" x14ac:dyDescent="0.2">
      <c r="A1019" s="176" t="str">
        <f>'Orçamento Sintético'!A230</f>
        <v xml:space="preserve"> 14.7.3</v>
      </c>
      <c r="B1019" s="279" t="str">
        <f>'Orçamento Sintético'!D230</f>
        <v>POSTE METÁLICO DECORATIVO CÔNICO RETO FLANGEADO H=4.0m P/01 OU 02 LUMINÁRIAS DECORATIVAS</v>
      </c>
      <c r="C1019" s="280"/>
      <c r="D1019" s="280"/>
      <c r="E1019" s="281"/>
      <c r="F1019" s="162"/>
      <c r="G1019" s="162"/>
      <c r="H1019" s="162"/>
      <c r="I1019" s="163"/>
    </row>
    <row r="1020" spans="1:9" x14ac:dyDescent="0.2">
      <c r="A1020" s="176"/>
      <c r="B1020" s="164" t="s">
        <v>260</v>
      </c>
      <c r="C1020" s="164" t="s">
        <v>8</v>
      </c>
      <c r="D1020" s="164" t="s">
        <v>266</v>
      </c>
      <c r="E1020" s="164" t="s">
        <v>261</v>
      </c>
      <c r="F1020" s="164" t="s">
        <v>262</v>
      </c>
      <c r="G1020" s="164" t="s">
        <v>263</v>
      </c>
      <c r="H1020" s="164" t="s">
        <v>11</v>
      </c>
      <c r="I1020" s="163"/>
    </row>
    <row r="1021" spans="1:9" ht="25.5" x14ac:dyDescent="0.2">
      <c r="A1021" s="176"/>
      <c r="B1021" s="165" t="s">
        <v>675</v>
      </c>
      <c r="C1021" s="7">
        <v>2</v>
      </c>
      <c r="D1021" s="161"/>
      <c r="E1021" s="161"/>
      <c r="F1021" s="161"/>
      <c r="G1021" s="161"/>
      <c r="H1021" s="8">
        <f>ROUND(IF(PRODUCT(IF(C1021=0,1,C1021),IF(D1021=0,1,D1021),IF(E1021=0,1,E1021),IF(F1021=0,1,F1021),IF(G1021=0,1,G1021))=1,0,PRODUCT(IF(C1021=0,1,C1021),IF(D1021=0,1,D1021),IF(E1021=0,1,E1021),IF(F1021=0,1,F1021),IF(G1021=0,1,G1021))),2)</f>
        <v>2</v>
      </c>
      <c r="I1021" s="163"/>
    </row>
    <row r="1022" spans="1:9" x14ac:dyDescent="0.2">
      <c r="A1022" s="176"/>
      <c r="B1022" s="166"/>
      <c r="C1022" s="161"/>
      <c r="D1022" s="161"/>
      <c r="E1022" s="161"/>
      <c r="F1022" s="161"/>
      <c r="G1022" s="161"/>
      <c r="H1022" s="8">
        <f>ROUND(IF(PRODUCT(IF(C1022=0,1,C1022),IF(E1022=0,1,E1022),IF(F1022=0,1,F1022),IF(G1022=0,1,G1022))=1,0,PRODUCT(IF(C1022=0,1,C1022),IF(E1022=0,1,E1022),IF(F1022=0,1,F1022),IF(G1022=0,1,G1022))),2)</f>
        <v>0</v>
      </c>
      <c r="I1022" s="163"/>
    </row>
    <row r="1023" spans="1:9" x14ac:dyDescent="0.2">
      <c r="A1023" s="176"/>
      <c r="B1023" s="162"/>
      <c r="C1023" s="167"/>
      <c r="D1023" s="167"/>
      <c r="E1023" s="168"/>
      <c r="F1023" s="169" t="s">
        <v>11</v>
      </c>
      <c r="G1023" s="170" t="s">
        <v>264</v>
      </c>
      <c r="H1023" s="171">
        <f>SUM(H1021:H1021)</f>
        <v>2</v>
      </c>
      <c r="I1023" s="172" t="s">
        <v>277</v>
      </c>
    </row>
    <row r="1024" spans="1:9" ht="22.15" customHeight="1" x14ac:dyDescent="0.2">
      <c r="A1024" s="176" t="str">
        <f>'Orçamento Sintético'!A231</f>
        <v xml:space="preserve"> 14.7.4</v>
      </c>
      <c r="B1024" s="279" t="str">
        <f>'Orçamento Sintético'!D231</f>
        <v>LUMINÁRIA TIPO BALIZADOR PARA AMBIENTE ABERTO, CORPO EM ALUMÍNIO FUNDIDO PINTADO, DIFUSOR EM VIDRO FRISADO TEMPERADO, REF. EX02-S, DA LUMICENTER OU SIMIULAR (TIPO TARTARUGA)</v>
      </c>
      <c r="C1024" s="280"/>
      <c r="D1024" s="280"/>
      <c r="E1024" s="281"/>
      <c r="F1024" s="162"/>
      <c r="G1024" s="162"/>
      <c r="H1024" s="162"/>
      <c r="I1024" s="163"/>
    </row>
    <row r="1025" spans="1:9" x14ac:dyDescent="0.2">
      <c r="A1025" s="176"/>
      <c r="B1025" s="164" t="s">
        <v>260</v>
      </c>
      <c r="C1025" s="164" t="s">
        <v>8</v>
      </c>
      <c r="D1025" s="164" t="s">
        <v>266</v>
      </c>
      <c r="E1025" s="164" t="s">
        <v>261</v>
      </c>
      <c r="F1025" s="164" t="s">
        <v>262</v>
      </c>
      <c r="G1025" s="164" t="s">
        <v>263</v>
      </c>
      <c r="H1025" s="164" t="s">
        <v>11</v>
      </c>
      <c r="I1025" s="163"/>
    </row>
    <row r="1026" spans="1:9" ht="25.5" x14ac:dyDescent="0.2">
      <c r="A1026" s="176"/>
      <c r="B1026" s="165" t="s">
        <v>675</v>
      </c>
      <c r="C1026" s="7">
        <v>19</v>
      </c>
      <c r="D1026" s="161"/>
      <c r="E1026" s="161"/>
      <c r="F1026" s="161"/>
      <c r="G1026" s="161"/>
      <c r="H1026" s="8">
        <f>ROUND(IF(PRODUCT(IF(C1026=0,1,C1026),IF(D1026=0,1,D1026),IF(E1026=0,1,E1026),IF(F1026=0,1,F1026),IF(G1026=0,1,G1026))=1,0,PRODUCT(IF(C1026=0,1,C1026),IF(D1026=0,1,D1026),IF(E1026=0,1,E1026),IF(F1026=0,1,F1026),IF(G1026=0,1,G1026))),2)</f>
        <v>19</v>
      </c>
      <c r="I1026" s="163"/>
    </row>
    <row r="1027" spans="1:9" x14ac:dyDescent="0.2">
      <c r="A1027" s="176"/>
      <c r="B1027" s="166"/>
      <c r="C1027" s="161"/>
      <c r="D1027" s="161"/>
      <c r="E1027" s="161"/>
      <c r="F1027" s="161"/>
      <c r="G1027" s="161"/>
      <c r="H1027" s="8">
        <f>ROUND(IF(PRODUCT(IF(C1027=0,1,C1027),IF(E1027=0,1,E1027),IF(F1027=0,1,F1027),IF(G1027=0,1,G1027))=1,0,PRODUCT(IF(C1027=0,1,C1027),IF(E1027=0,1,E1027),IF(F1027=0,1,F1027),IF(G1027=0,1,G1027))),2)</f>
        <v>0</v>
      </c>
      <c r="I1027" s="163"/>
    </row>
    <row r="1028" spans="1:9" x14ac:dyDescent="0.2">
      <c r="A1028" s="176"/>
      <c r="B1028" s="162"/>
      <c r="C1028" s="167"/>
      <c r="D1028" s="167"/>
      <c r="E1028" s="168"/>
      <c r="F1028" s="169" t="s">
        <v>11</v>
      </c>
      <c r="G1028" s="170" t="s">
        <v>264</v>
      </c>
      <c r="H1028" s="171">
        <f>SUM(H1026:H1026)</f>
        <v>19</v>
      </c>
      <c r="I1028" s="172" t="s">
        <v>277</v>
      </c>
    </row>
    <row r="1029" spans="1:9" ht="13.15" customHeight="1" x14ac:dyDescent="0.2">
      <c r="A1029" s="176" t="str">
        <f>'Orçamento Sintético'!A232</f>
        <v xml:space="preserve"> 14.7.5</v>
      </c>
      <c r="B1029" s="279" t="str">
        <f>'Orçamento Sintético'!D232</f>
        <v xml:space="preserve">FITA DE LED DE EMBUTIR </v>
      </c>
      <c r="C1029" s="280"/>
      <c r="D1029" s="280"/>
      <c r="E1029" s="281"/>
      <c r="F1029" s="162"/>
      <c r="G1029" s="162"/>
      <c r="H1029" s="162"/>
      <c r="I1029" s="163"/>
    </row>
    <row r="1030" spans="1:9" x14ac:dyDescent="0.2">
      <c r="A1030" s="176"/>
      <c r="B1030" s="164" t="s">
        <v>260</v>
      </c>
      <c r="C1030" s="164" t="s">
        <v>8</v>
      </c>
      <c r="D1030" s="164" t="s">
        <v>266</v>
      </c>
      <c r="E1030" s="164" t="s">
        <v>261</v>
      </c>
      <c r="F1030" s="164" t="s">
        <v>262</v>
      </c>
      <c r="G1030" s="164" t="s">
        <v>263</v>
      </c>
      <c r="H1030" s="164" t="s">
        <v>11</v>
      </c>
      <c r="I1030" s="163"/>
    </row>
    <row r="1031" spans="1:9" ht="25.5" x14ac:dyDescent="0.2">
      <c r="A1031" s="176"/>
      <c r="B1031" s="165" t="s">
        <v>675</v>
      </c>
      <c r="C1031" s="198"/>
      <c r="D1031" s="161"/>
      <c r="E1031" s="161">
        <f>5.8+2.7</f>
        <v>8.5</v>
      </c>
      <c r="F1031" s="161"/>
      <c r="G1031" s="161"/>
      <c r="H1031" s="8">
        <f>ROUND(IF(PRODUCT(IF(C1031=0,1,C1031),IF(D1031=0,1,D1031),IF(E1031=0,1,E1031),IF(F1031=0,1,F1031),IF(G1031=0,1,G1031))=1,0,PRODUCT(IF(C1031=0,1,C1031),IF(D1031=0,1,D1031),IF(E1031=0,1,E1031),IF(F1031=0,1,F1031),IF(G1031=0,1,G1031))),2)</f>
        <v>8.5</v>
      </c>
      <c r="I1031" s="163"/>
    </row>
    <row r="1032" spans="1:9" x14ac:dyDescent="0.2">
      <c r="A1032" s="176"/>
      <c r="B1032" s="166"/>
      <c r="C1032" s="161"/>
      <c r="D1032" s="161"/>
      <c r="E1032" s="161"/>
      <c r="F1032" s="161"/>
      <c r="G1032" s="161"/>
      <c r="H1032" s="8">
        <f>ROUND(IF(PRODUCT(IF(C1032=0,1,C1032),IF(E1032=0,1,E1032),IF(F1032=0,1,F1032),IF(G1032=0,1,G1032))=1,0,PRODUCT(IF(C1032=0,1,C1032),IF(E1032=0,1,E1032),IF(F1032=0,1,F1032),IF(G1032=0,1,G1032))),2)</f>
        <v>0</v>
      </c>
      <c r="I1032" s="163"/>
    </row>
    <row r="1033" spans="1:9" x14ac:dyDescent="0.2">
      <c r="A1033" s="176"/>
      <c r="B1033" s="162"/>
      <c r="C1033" s="167"/>
      <c r="D1033" s="167"/>
      <c r="E1033" s="168"/>
      <c r="F1033" s="169" t="s">
        <v>11</v>
      </c>
      <c r="G1033" s="170" t="s">
        <v>264</v>
      </c>
      <c r="H1033" s="171">
        <f>SUM(H1031:H1031)</f>
        <v>8.5</v>
      </c>
      <c r="I1033" s="172" t="s">
        <v>186</v>
      </c>
    </row>
    <row r="1034" spans="1:9" x14ac:dyDescent="0.2">
      <c r="A1034" s="96" t="str">
        <f>'Orçamento Sintético'!A233</f>
        <v>14.8</v>
      </c>
      <c r="B1034" s="97" t="str">
        <f>'Orçamento Sintético'!D233</f>
        <v>SPDA</v>
      </c>
      <c r="C1034" s="273"/>
      <c r="D1034" s="274"/>
      <c r="E1034" s="274"/>
      <c r="F1034" s="274"/>
      <c r="G1034" s="274"/>
      <c r="H1034" s="274"/>
      <c r="I1034" s="275"/>
    </row>
    <row r="1035" spans="1:9" ht="15" customHeight="1" x14ac:dyDescent="0.2">
      <c r="A1035" s="3" t="str">
        <f>'Orçamento Sintético'!A234</f>
        <v>14.8.1</v>
      </c>
      <c r="B1035" s="270" t="str">
        <f>'Orçamento Sintético'!D234</f>
        <v>CAIXA DE INSPEÇÃO PARA ATERRAMENTO, CIRCULAR, EM POLIETILENO, DIÂMETRO INTERNO = 0,3 M. AF_12/2020</v>
      </c>
      <c r="C1035" s="271"/>
      <c r="D1035" s="271"/>
      <c r="E1035" s="272"/>
      <c r="I1035" s="5"/>
    </row>
    <row r="1036" spans="1:9" x14ac:dyDescent="0.2">
      <c r="A1036" s="3"/>
      <c r="B1036" s="91" t="s">
        <v>260</v>
      </c>
      <c r="C1036" s="91" t="s">
        <v>8</v>
      </c>
      <c r="D1036" s="91" t="s">
        <v>266</v>
      </c>
      <c r="E1036" s="91" t="s">
        <v>261</v>
      </c>
      <c r="F1036" s="91" t="s">
        <v>262</v>
      </c>
      <c r="G1036" s="91" t="s">
        <v>263</v>
      </c>
      <c r="H1036" s="91" t="s">
        <v>11</v>
      </c>
      <c r="I1036" s="5"/>
    </row>
    <row r="1037" spans="1:9" ht="25.5" x14ac:dyDescent="0.2">
      <c r="A1037" s="3"/>
      <c r="B1037" s="165" t="s">
        <v>523</v>
      </c>
      <c r="C1037" s="7">
        <v>14</v>
      </c>
      <c r="D1037" s="161"/>
      <c r="E1037" s="161"/>
      <c r="F1037" s="7"/>
      <c r="G1037" s="7"/>
      <c r="H1037" s="8">
        <f>ROUND(IF(PRODUCT(IF(C1037=0,1,C1037),IF(D1037=0,1,D1037),IF(E1037=0,1,E1037),IF(F1037=0,1,F1037),IF(G1037=0,1,G1037))=1,0,PRODUCT(IF(C1037=0,1,C1037),IF(D1037=0,1,D1037),IF(E1037=0,1,E1037),IF(F1037=0,1,F1037),IF(G1037=0,1,G1037))),2)</f>
        <v>14</v>
      </c>
      <c r="I1037" s="5"/>
    </row>
    <row r="1038" spans="1:9" x14ac:dyDescent="0.2">
      <c r="A1038" s="3"/>
      <c r="B1038" s="166"/>
      <c r="C1038" s="161"/>
      <c r="D1038" s="161"/>
      <c r="E1038" s="161"/>
      <c r="F1038" s="7"/>
      <c r="G1038" s="7"/>
      <c r="H1038" s="8">
        <f>ROUND(IF(PRODUCT(IF(C1038=0,1,C1038),IF(E1038=0,1,E1038),IF(F1038=0,1,F1038),IF(G1038=0,1,G1038))=1,0,PRODUCT(IF(C1038=0,1,C1038),IF(E1038=0,1,E1038),IF(F1038=0,1,F1038),IF(G1038=0,1,G1038))),2)</f>
        <v>0</v>
      </c>
      <c r="I1038" s="5"/>
    </row>
    <row r="1039" spans="1:9" x14ac:dyDescent="0.2">
      <c r="A1039" s="3"/>
      <c r="B1039" s="162"/>
      <c r="C1039" s="167"/>
      <c r="D1039" s="167"/>
      <c r="E1039" s="168"/>
      <c r="F1039" s="94" t="s">
        <v>11</v>
      </c>
      <c r="G1039" s="95" t="s">
        <v>264</v>
      </c>
      <c r="H1039" s="11">
        <f>SUM(H1037:H1037)</f>
        <v>14</v>
      </c>
      <c r="I1039" s="12" t="s">
        <v>277</v>
      </c>
    </row>
    <row r="1040" spans="1:9" ht="15" customHeight="1" x14ac:dyDescent="0.2">
      <c r="A1040" s="3" t="str">
        <f>'Orçamento Sintético'!A235</f>
        <v>14.8.2</v>
      </c>
      <c r="B1040" s="279" t="str">
        <f>'Orçamento Sintético'!D235</f>
        <v>HASTE DE ATERRAMENTO 3/4 PARA SPDA - FORNECIMENTO E INSTALAÇÃO. AF_12/2017</v>
      </c>
      <c r="C1040" s="280"/>
      <c r="D1040" s="280"/>
      <c r="E1040" s="281"/>
      <c r="I1040" s="5"/>
    </row>
    <row r="1041" spans="1:9" x14ac:dyDescent="0.2">
      <c r="A1041" s="3"/>
      <c r="B1041" s="164" t="s">
        <v>260</v>
      </c>
      <c r="C1041" s="164" t="s">
        <v>8</v>
      </c>
      <c r="D1041" s="164" t="s">
        <v>266</v>
      </c>
      <c r="E1041" s="164" t="s">
        <v>261</v>
      </c>
      <c r="F1041" s="91" t="s">
        <v>262</v>
      </c>
      <c r="G1041" s="91" t="s">
        <v>263</v>
      </c>
      <c r="H1041" s="91" t="s">
        <v>11</v>
      </c>
      <c r="I1041" s="5"/>
    </row>
    <row r="1042" spans="1:9" ht="25.5" x14ac:dyDescent="0.2">
      <c r="A1042" s="3"/>
      <c r="B1042" s="165" t="s">
        <v>523</v>
      </c>
      <c r="C1042" s="7">
        <v>14</v>
      </c>
      <c r="D1042" s="161"/>
      <c r="E1042" s="161"/>
      <c r="F1042" s="7"/>
      <c r="G1042" s="7"/>
      <c r="H1042" s="8">
        <f>ROUND(IF(PRODUCT(IF(C1042=0,1,C1042),IF(D1042=0,1,D1042),IF(E1042=0,1,E1042),IF(F1042=0,1,F1042),IF(G1042=0,1,G1042))=1,0,PRODUCT(IF(C1042=0,1,C1042),IF(D1042=0,1,D1042),IF(E1042=0,1,E1042),IF(F1042=0,1,F1042),IF(G1042=0,1,G1042))),2)</f>
        <v>14</v>
      </c>
      <c r="I1042" s="5"/>
    </row>
    <row r="1043" spans="1:9" x14ac:dyDescent="0.2">
      <c r="A1043" s="3"/>
      <c r="B1043" s="166"/>
      <c r="C1043" s="161"/>
      <c r="D1043" s="161"/>
      <c r="E1043" s="161"/>
      <c r="F1043" s="7"/>
      <c r="G1043" s="7"/>
      <c r="H1043" s="8">
        <f>ROUND(IF(PRODUCT(IF(C1043=0,1,C1043),IF(E1043=0,1,E1043),IF(F1043=0,1,F1043),IF(G1043=0,1,G1043))=1,0,PRODUCT(IF(C1043=0,1,C1043),IF(E1043=0,1,E1043),IF(F1043=0,1,F1043),IF(G1043=0,1,G1043))),2)</f>
        <v>0</v>
      </c>
      <c r="I1043" s="5"/>
    </row>
    <row r="1044" spans="1:9" x14ac:dyDescent="0.2">
      <c r="A1044" s="3"/>
      <c r="B1044" s="162"/>
      <c r="C1044" s="167"/>
      <c r="D1044" s="167"/>
      <c r="E1044" s="168"/>
      <c r="F1044" s="94" t="s">
        <v>11</v>
      </c>
      <c r="G1044" s="95" t="s">
        <v>264</v>
      </c>
      <c r="H1044" s="11">
        <f>SUM(H1042:H1042)</f>
        <v>14</v>
      </c>
      <c r="I1044" s="12" t="s">
        <v>277</v>
      </c>
    </row>
    <row r="1045" spans="1:9" ht="13.9" customHeight="1" x14ac:dyDescent="0.2">
      <c r="A1045" s="3" t="str">
        <f>'Orçamento Sintético'!A236</f>
        <v>14.8.3</v>
      </c>
      <c r="B1045" s="279" t="str">
        <f>'Orçamento Sintético'!D236</f>
        <v>TERMINAL OLHAL PARA CABO DE 4,00MM2 À 6,00MM2</v>
      </c>
      <c r="C1045" s="280"/>
      <c r="D1045" s="280"/>
      <c r="E1045" s="281"/>
      <c r="I1045" s="5"/>
    </row>
    <row r="1046" spans="1:9" x14ac:dyDescent="0.2">
      <c r="A1046" s="3"/>
      <c r="B1046" s="164" t="s">
        <v>260</v>
      </c>
      <c r="C1046" s="164" t="s">
        <v>8</v>
      </c>
      <c r="D1046" s="164" t="s">
        <v>266</v>
      </c>
      <c r="E1046" s="164" t="s">
        <v>261</v>
      </c>
      <c r="F1046" s="91" t="s">
        <v>262</v>
      </c>
      <c r="G1046" s="91" t="s">
        <v>263</v>
      </c>
      <c r="H1046" s="91" t="s">
        <v>11</v>
      </c>
      <c r="I1046" s="5"/>
    </row>
    <row r="1047" spans="1:9" ht="25.5" x14ac:dyDescent="0.2">
      <c r="A1047" s="3"/>
      <c r="B1047" s="165" t="s">
        <v>523</v>
      </c>
      <c r="C1047" s="7">
        <v>12</v>
      </c>
      <c r="D1047" s="161"/>
      <c r="E1047" s="161"/>
      <c r="F1047" s="7"/>
      <c r="G1047" s="7"/>
      <c r="H1047" s="8">
        <f>ROUND(IF(PRODUCT(IF(C1047=0,1,C1047),IF(D1047=0,1,D1047),IF(E1047=0,1,E1047),IF(F1047=0,1,F1047),IF(G1047=0,1,G1047))=1,0,PRODUCT(IF(C1047=0,1,C1047),IF(D1047=0,1,D1047),IF(E1047=0,1,E1047),IF(F1047=0,1,F1047),IF(G1047=0,1,G1047))),2)</f>
        <v>12</v>
      </c>
      <c r="I1047" s="5"/>
    </row>
    <row r="1048" spans="1:9" x14ac:dyDescent="0.2">
      <c r="A1048" s="3"/>
      <c r="B1048" s="166"/>
      <c r="C1048" s="161"/>
      <c r="D1048" s="161"/>
      <c r="E1048" s="161"/>
      <c r="F1048" s="7"/>
      <c r="G1048" s="7"/>
      <c r="H1048" s="8">
        <f>ROUND(IF(PRODUCT(IF(C1048=0,1,C1048),IF(E1048=0,1,E1048),IF(F1048=0,1,F1048),IF(G1048=0,1,G1048))=1,0,PRODUCT(IF(C1048=0,1,C1048),IF(E1048=0,1,E1048),IF(F1048=0,1,F1048),IF(G1048=0,1,G1048))),2)</f>
        <v>0</v>
      </c>
      <c r="I1048" s="5"/>
    </row>
    <row r="1049" spans="1:9" x14ac:dyDescent="0.2">
      <c r="A1049" s="3"/>
      <c r="B1049" s="162"/>
      <c r="C1049" s="167"/>
      <c r="D1049" s="167"/>
      <c r="E1049" s="168"/>
      <c r="F1049" s="94" t="s">
        <v>11</v>
      </c>
      <c r="G1049" s="95" t="s">
        <v>264</v>
      </c>
      <c r="H1049" s="11">
        <f>SUM(H1047:H1047)</f>
        <v>12</v>
      </c>
      <c r="I1049" s="12" t="s">
        <v>277</v>
      </c>
    </row>
    <row r="1050" spans="1:9" ht="15" customHeight="1" x14ac:dyDescent="0.2">
      <c r="A1050" s="3" t="str">
        <f>'Orçamento Sintético'!A237</f>
        <v>14.8.4</v>
      </c>
      <c r="B1050" s="279" t="str">
        <f>'Orçamento Sintético'!D237</f>
        <v>PARAFUSO CABEÇA CHATA EM ALUMÍNIO 1/4" X 7/8" - FORNECIMENTO E COLOCAÇÃO</v>
      </c>
      <c r="C1050" s="280"/>
      <c r="D1050" s="280"/>
      <c r="E1050" s="281"/>
      <c r="I1050" s="5"/>
    </row>
    <row r="1051" spans="1:9" x14ac:dyDescent="0.2">
      <c r="A1051" s="3"/>
      <c r="B1051" s="164" t="s">
        <v>260</v>
      </c>
      <c r="C1051" s="164" t="s">
        <v>8</v>
      </c>
      <c r="D1051" s="164" t="s">
        <v>266</v>
      </c>
      <c r="E1051" s="164" t="s">
        <v>261</v>
      </c>
      <c r="F1051" s="91" t="s">
        <v>262</v>
      </c>
      <c r="G1051" s="91" t="s">
        <v>263</v>
      </c>
      <c r="H1051" s="91" t="s">
        <v>11</v>
      </c>
      <c r="I1051" s="5"/>
    </row>
    <row r="1052" spans="1:9" ht="25.5" x14ac:dyDescent="0.2">
      <c r="A1052" s="3"/>
      <c r="B1052" s="165" t="s">
        <v>523</v>
      </c>
      <c r="C1052" s="7">
        <v>12</v>
      </c>
      <c r="D1052" s="161"/>
      <c r="E1052" s="161"/>
      <c r="F1052" s="7"/>
      <c r="G1052" s="7"/>
      <c r="H1052" s="8">
        <f>ROUND(IF(PRODUCT(IF(C1052=0,1,C1052),IF(D1052=0,1,D1052),IF(E1052=0,1,E1052),IF(F1052=0,1,F1052),IF(G1052=0,1,G1052))=1,0,PRODUCT(IF(C1052=0,1,C1052),IF(D1052=0,1,D1052),IF(E1052=0,1,E1052),IF(F1052=0,1,F1052),IF(G1052=0,1,G1052))),2)</f>
        <v>12</v>
      </c>
      <c r="I1052" s="5"/>
    </row>
    <row r="1053" spans="1:9" x14ac:dyDescent="0.2">
      <c r="A1053" s="3"/>
      <c r="B1053" s="166"/>
      <c r="C1053" s="161"/>
      <c r="D1053" s="161"/>
      <c r="E1053" s="161"/>
      <c r="F1053" s="7"/>
      <c r="G1053" s="7"/>
      <c r="H1053" s="8">
        <f>ROUND(IF(PRODUCT(IF(C1053=0,1,C1053),IF(E1053=0,1,E1053),IF(F1053=0,1,F1053),IF(G1053=0,1,G1053))=1,0,PRODUCT(IF(C1053=0,1,C1053),IF(E1053=0,1,E1053),IF(F1053=0,1,F1053),IF(G1053=0,1,G1053))),2)</f>
        <v>0</v>
      </c>
      <c r="I1053" s="5"/>
    </row>
    <row r="1054" spans="1:9" x14ac:dyDescent="0.2">
      <c r="A1054" s="3"/>
      <c r="B1054" s="162"/>
      <c r="C1054" s="167"/>
      <c r="D1054" s="167"/>
      <c r="E1054" s="168"/>
      <c r="F1054" s="94" t="s">
        <v>11</v>
      </c>
      <c r="G1054" s="95" t="s">
        <v>264</v>
      </c>
      <c r="H1054" s="11">
        <f>SUM(H1052:H1052)</f>
        <v>12</v>
      </c>
      <c r="I1054" s="12" t="s">
        <v>277</v>
      </c>
    </row>
    <row r="1055" spans="1:9" ht="15" customHeight="1" x14ac:dyDescent="0.2">
      <c r="A1055" s="3" t="str">
        <f>'Orçamento Sintético'!A238</f>
        <v>14.8.5</v>
      </c>
      <c r="B1055" s="270" t="str">
        <f>'Orçamento Sintético'!D238</f>
        <v>FORNECIMENTO DE CARTUCHO PARA SOLDA EXOTÉRMICA PARA CABO 50 MM²</v>
      </c>
      <c r="C1055" s="271"/>
      <c r="D1055" s="271"/>
      <c r="E1055" s="272"/>
      <c r="I1055" s="5"/>
    </row>
    <row r="1056" spans="1:9" x14ac:dyDescent="0.2">
      <c r="A1056" s="3"/>
      <c r="B1056" s="91" t="s">
        <v>260</v>
      </c>
      <c r="C1056" s="91" t="s">
        <v>8</v>
      </c>
      <c r="D1056" s="91" t="s">
        <v>266</v>
      </c>
      <c r="E1056" s="91" t="s">
        <v>261</v>
      </c>
      <c r="F1056" s="91" t="s">
        <v>262</v>
      </c>
      <c r="G1056" s="91" t="s">
        <v>263</v>
      </c>
      <c r="H1056" s="91" t="s">
        <v>11</v>
      </c>
      <c r="I1056" s="5"/>
    </row>
    <row r="1057" spans="1:9" ht="25.5" x14ac:dyDescent="0.2">
      <c r="A1057" s="3"/>
      <c r="B1057" s="165" t="s">
        <v>523</v>
      </c>
      <c r="C1057" s="7">
        <v>28</v>
      </c>
      <c r="D1057" s="161"/>
      <c r="E1057" s="161"/>
      <c r="F1057" s="7"/>
      <c r="G1057" s="7"/>
      <c r="H1057" s="8">
        <f>ROUND(IF(PRODUCT(IF(C1057=0,1,C1057),IF(D1057=0,1,D1057),IF(E1057=0,1,E1057),IF(F1057=0,1,F1057),IF(G1057=0,1,G1057))=1,0,PRODUCT(IF(C1057=0,1,C1057),IF(D1057=0,1,D1057),IF(E1057=0,1,E1057),IF(F1057=0,1,F1057),IF(G1057=0,1,G1057))),2)</f>
        <v>28</v>
      </c>
      <c r="I1057" s="5"/>
    </row>
    <row r="1058" spans="1:9" x14ac:dyDescent="0.2">
      <c r="A1058" s="3"/>
      <c r="B1058" s="166"/>
      <c r="C1058" s="161"/>
      <c r="D1058" s="161"/>
      <c r="E1058" s="161"/>
      <c r="F1058" s="7"/>
      <c r="G1058" s="7"/>
      <c r="H1058" s="8">
        <f>ROUND(IF(PRODUCT(IF(C1058=0,1,C1058),IF(E1058=0,1,E1058),IF(F1058=0,1,F1058),IF(G1058=0,1,G1058))=1,0,PRODUCT(IF(C1058=0,1,C1058),IF(E1058=0,1,E1058),IF(F1058=0,1,F1058),IF(G1058=0,1,G1058))),2)</f>
        <v>0</v>
      </c>
      <c r="I1058" s="5"/>
    </row>
    <row r="1059" spans="1:9" x14ac:dyDescent="0.2">
      <c r="A1059" s="3"/>
      <c r="B1059" s="162"/>
      <c r="C1059" s="167"/>
      <c r="D1059" s="167"/>
      <c r="E1059" s="168"/>
      <c r="F1059" s="94" t="s">
        <v>11</v>
      </c>
      <c r="G1059" s="95" t="s">
        <v>264</v>
      </c>
      <c r="H1059" s="11">
        <f>SUM(H1057:H1057)</f>
        <v>28</v>
      </c>
      <c r="I1059" s="12" t="s">
        <v>277</v>
      </c>
    </row>
    <row r="1060" spans="1:9" ht="15" customHeight="1" x14ac:dyDescent="0.2">
      <c r="A1060" s="3" t="str">
        <f>'Orçamento Sintético'!A239</f>
        <v>14.8.6</v>
      </c>
      <c r="B1060" s="279" t="str">
        <f>'Orçamento Sintético'!D239</f>
        <v>CABO DE COBRE NU 50 MM2 MEIO-DURO</v>
      </c>
      <c r="C1060" s="280"/>
      <c r="D1060" s="280"/>
      <c r="E1060" s="281"/>
      <c r="I1060" s="5"/>
    </row>
    <row r="1061" spans="1:9" x14ac:dyDescent="0.2">
      <c r="A1061" s="3"/>
      <c r="B1061" s="164" t="s">
        <v>260</v>
      </c>
      <c r="C1061" s="164" t="s">
        <v>8</v>
      </c>
      <c r="D1061" s="164" t="s">
        <v>266</v>
      </c>
      <c r="E1061" s="164" t="s">
        <v>261</v>
      </c>
      <c r="F1061" s="91" t="s">
        <v>262</v>
      </c>
      <c r="G1061" s="91" t="s">
        <v>263</v>
      </c>
      <c r="H1061" s="91" t="s">
        <v>11</v>
      </c>
      <c r="I1061" s="5"/>
    </row>
    <row r="1062" spans="1:9" ht="25.5" x14ac:dyDescent="0.2">
      <c r="A1062" s="3"/>
      <c r="B1062" s="165" t="s">
        <v>523</v>
      </c>
      <c r="C1062" s="161"/>
      <c r="D1062" s="161"/>
      <c r="E1062" s="7">
        <v>177.62</v>
      </c>
      <c r="F1062" s="7"/>
      <c r="G1062" s="7"/>
      <c r="H1062" s="8">
        <f>ROUND(IF(PRODUCT(IF(C1062=0,1,C1062),IF(D1062=0,1,D1062),IF(E1062=0,1,E1062),IF(F1062=0,1,F1062),IF(G1062=0,1,G1062))=1,0,PRODUCT(IF(C1062=0,1,C1062),IF(D1062=0,1,D1062),IF(E1062=0,1,E1062),IF(F1062=0,1,F1062),IF(G1062=0,1,G1062))),2)</f>
        <v>177.62</v>
      </c>
      <c r="I1062" s="5"/>
    </row>
    <row r="1063" spans="1:9" x14ac:dyDescent="0.2">
      <c r="A1063" s="3"/>
      <c r="B1063" s="6"/>
      <c r="C1063" s="7"/>
      <c r="D1063" s="7"/>
      <c r="E1063" s="7"/>
      <c r="F1063" s="7"/>
      <c r="G1063" s="7"/>
      <c r="H1063" s="8">
        <f>ROUND(IF(PRODUCT(IF(C1063=0,1,C1063),IF(E1063=0,1,E1063),IF(F1063=0,1,F1063),IF(G1063=0,1,G1063))=1,0,PRODUCT(IF(C1063=0,1,C1063),IF(E1063=0,1,E1063),IF(F1063=0,1,F1063),IF(G1063=0,1,G1063))),2)</f>
        <v>0</v>
      </c>
      <c r="I1063" s="5"/>
    </row>
    <row r="1064" spans="1:9" x14ac:dyDescent="0.2">
      <c r="A1064" s="3"/>
      <c r="C1064" s="10"/>
      <c r="D1064" s="10"/>
      <c r="E1064" s="9"/>
      <c r="F1064" s="94" t="s">
        <v>11</v>
      </c>
      <c r="G1064" s="95" t="s">
        <v>264</v>
      </c>
      <c r="H1064" s="11">
        <f>SUM(H1062:H1062)</f>
        <v>177.62</v>
      </c>
      <c r="I1064" s="12" t="s">
        <v>186</v>
      </c>
    </row>
    <row r="1065" spans="1:9" ht="14.45" customHeight="1" x14ac:dyDescent="0.2">
      <c r="A1065" s="89" t="str">
        <f>'Orçamento Sintético'!A240</f>
        <v>15.0</v>
      </c>
      <c r="B1065" s="90" t="str">
        <f>'Orçamento Sintético'!D240</f>
        <v>ARQUIBANCADA</v>
      </c>
      <c r="C1065" s="273"/>
      <c r="D1065" s="274"/>
      <c r="E1065" s="274"/>
      <c r="F1065" s="274"/>
      <c r="G1065" s="274"/>
      <c r="H1065" s="274"/>
      <c r="I1065" s="275"/>
    </row>
    <row r="1066" spans="1:9" x14ac:dyDescent="0.2">
      <c r="A1066" s="96" t="str">
        <f>'Orçamento Sintético'!A241</f>
        <v xml:space="preserve"> 15.1 </v>
      </c>
      <c r="B1066" s="97" t="str">
        <f>'Orçamento Sintético'!D241</f>
        <v>FUNDAÇÕES</v>
      </c>
      <c r="C1066" s="273"/>
      <c r="D1066" s="274"/>
      <c r="E1066" s="274"/>
      <c r="F1066" s="274"/>
      <c r="G1066" s="274"/>
      <c r="H1066" s="274"/>
      <c r="I1066" s="275"/>
    </row>
    <row r="1067" spans="1:9" ht="24.75" customHeight="1" x14ac:dyDescent="0.2">
      <c r="A1067" s="3" t="str">
        <f>'Orçamento Sintético'!A242</f>
        <v xml:space="preserve"> 15.1.1 </v>
      </c>
      <c r="B1067" s="270" t="str">
        <f>'Orçamento Sintético'!D242</f>
        <v>ESCAVAÇÃO MECANIZADA PARA BLOCO DE COROAMENTO OU SAPATA COM RETROESCAVADEIRA (INCLUINDO ESCAVAÇÃO PARA COLOCAÇÃO DE FÔRMAS). AF_01/2024</v>
      </c>
      <c r="C1067" s="271"/>
      <c r="D1067" s="271"/>
      <c r="E1067" s="272"/>
      <c r="I1067" s="5"/>
    </row>
    <row r="1068" spans="1:9" x14ac:dyDescent="0.2">
      <c r="A1068" s="3"/>
      <c r="B1068" s="91" t="s">
        <v>260</v>
      </c>
      <c r="C1068" s="91" t="s">
        <v>8</v>
      </c>
      <c r="D1068" s="91" t="s">
        <v>266</v>
      </c>
      <c r="E1068" s="91" t="s">
        <v>261</v>
      </c>
      <c r="F1068" s="91" t="s">
        <v>262</v>
      </c>
      <c r="G1068" s="91" t="s">
        <v>263</v>
      </c>
      <c r="H1068" s="91" t="s">
        <v>11</v>
      </c>
      <c r="I1068" s="5"/>
    </row>
    <row r="1069" spans="1:9" x14ac:dyDescent="0.2">
      <c r="A1069" s="3"/>
      <c r="B1069" s="23" t="s">
        <v>304</v>
      </c>
      <c r="C1069" s="7"/>
      <c r="D1069" s="7"/>
      <c r="E1069" s="7"/>
      <c r="F1069" s="7"/>
      <c r="G1069" s="7"/>
      <c r="H1069" s="8"/>
      <c r="I1069" s="5"/>
    </row>
    <row r="1070" spans="1:9" x14ac:dyDescent="0.2">
      <c r="A1070" s="3"/>
      <c r="B1070" s="6" t="s">
        <v>720</v>
      </c>
      <c r="C1070" s="7">
        <f>8*2</f>
        <v>16</v>
      </c>
      <c r="D1070" s="7"/>
      <c r="E1070" s="7">
        <f>1.8+0.2+0.2</f>
        <v>2.2000000000000002</v>
      </c>
      <c r="F1070" s="7">
        <f>0.8+0.2+0.2</f>
        <v>1.2</v>
      </c>
      <c r="G1070" s="7">
        <f>0.3+0.05+0.8</f>
        <v>1.1499999999999999</v>
      </c>
      <c r="H1070" s="8">
        <f>ROUND(IF(PRODUCT(IF(C1070=0,1,C1070),IF(D1070=0,1,D1070),IF(E1070=0,1,E1070),IF(F1070=0,1,F1070),IF(G1070=0,1,G1070))=1,0,PRODUCT(IF(C1070=0,1,C1070),IF(D1070=0,1,D1070),IF(E1070=0,1,E1070),IF(F1070=0,1,F1070),IF(G1070=0,1,G1070))),2)</f>
        <v>48.58</v>
      </c>
      <c r="I1070" s="5"/>
    </row>
    <row r="1071" spans="1:9" x14ac:dyDescent="0.2">
      <c r="A1071" s="3"/>
      <c r="B1071" s="6"/>
      <c r="C1071" s="7"/>
      <c r="D1071" s="7"/>
      <c r="E1071" s="7"/>
      <c r="F1071" s="7"/>
      <c r="G1071" s="7"/>
      <c r="H1071" s="8">
        <f>ROUND(IF(PRODUCT(IF(C1071=0,1,C1071),IF(E1071=0,1,E1071),IF(F1071=0,1,F1071),IF(G1071=0,1,G1071))=1,0,PRODUCT(IF(C1071=0,1,C1071),IF(E1071=0,1,E1071),IF(F1071=0,1,F1071),IF(G1071=0,1,G1071))),2)</f>
        <v>0</v>
      </c>
      <c r="I1071" s="5"/>
    </row>
    <row r="1072" spans="1:9" x14ac:dyDescent="0.2">
      <c r="A1072" s="3"/>
      <c r="C1072" s="10"/>
      <c r="D1072" s="10"/>
      <c r="E1072" s="9"/>
      <c r="F1072" s="94" t="s">
        <v>11</v>
      </c>
      <c r="G1072" s="95" t="s">
        <v>264</v>
      </c>
      <c r="H1072" s="11">
        <f>SUM(H1069:H1071)</f>
        <v>48.58</v>
      </c>
      <c r="I1072" s="12" t="s">
        <v>24</v>
      </c>
    </row>
    <row r="1073" spans="1:9" ht="14.25" customHeight="1" x14ac:dyDescent="0.2">
      <c r="A1073" s="3" t="str">
        <f>'Orçamento Sintético'!A243</f>
        <v xml:space="preserve"> 15.1.2</v>
      </c>
      <c r="B1073" s="270" t="str">
        <f>'Orçamento Sintético'!D243</f>
        <v>PREPARO DE FUNDO DE VALA COM LARGURA MENOR QUE 1,5 M (ACERTO DO SOLO NATURAL). AF_08/2020</v>
      </c>
      <c r="C1073" s="271"/>
      <c r="D1073" s="271"/>
      <c r="E1073" s="272"/>
      <c r="I1073" s="5"/>
    </row>
    <row r="1074" spans="1:9" x14ac:dyDescent="0.2">
      <c r="A1074" s="3"/>
      <c r="B1074" s="91" t="s">
        <v>260</v>
      </c>
      <c r="C1074" s="91" t="s">
        <v>8</v>
      </c>
      <c r="D1074" s="91" t="s">
        <v>266</v>
      </c>
      <c r="E1074" s="91" t="s">
        <v>261</v>
      </c>
      <c r="F1074" s="91" t="s">
        <v>262</v>
      </c>
      <c r="G1074" s="91" t="s">
        <v>263</v>
      </c>
      <c r="H1074" s="91" t="s">
        <v>11</v>
      </c>
      <c r="I1074" s="5"/>
    </row>
    <row r="1075" spans="1:9" x14ac:dyDescent="0.2">
      <c r="A1075" s="3"/>
      <c r="B1075" s="23" t="s">
        <v>304</v>
      </c>
      <c r="C1075" s="7"/>
      <c r="D1075" s="7"/>
      <c r="E1075" s="7"/>
      <c r="F1075" s="7"/>
      <c r="G1075" s="7"/>
      <c r="H1075" s="8"/>
      <c r="I1075" s="5"/>
    </row>
    <row r="1076" spans="1:9" x14ac:dyDescent="0.2">
      <c r="A1076" s="3"/>
      <c r="B1076" s="6" t="s">
        <v>720</v>
      </c>
      <c r="C1076" s="7">
        <f>8*2</f>
        <v>16</v>
      </c>
      <c r="D1076" s="7"/>
      <c r="E1076" s="7">
        <f>1.8+0.2+0.2</f>
        <v>2.2000000000000002</v>
      </c>
      <c r="F1076" s="7">
        <f>0.8+0.2+0.2</f>
        <v>1.2</v>
      </c>
      <c r="G1076" s="7"/>
      <c r="H1076" s="8">
        <f>ROUND(IF(PRODUCT(IF(C1076=0,1,C1076),IF(D1076=0,1,D1076),IF(E1076=0,1,E1076),IF(F1076=0,1,F1076),IF(G1076=0,1,G1076))=1,0,PRODUCT(IF(C1076=0,1,C1076),IF(D1076=0,1,D1076),IF(E1076=0,1,E1076),IF(F1076=0,1,F1076),IF(G1076=0,1,G1076))),2)</f>
        <v>42.24</v>
      </c>
      <c r="I1076" s="5"/>
    </row>
    <row r="1077" spans="1:9" x14ac:dyDescent="0.2">
      <c r="A1077" s="3"/>
      <c r="B1077" s="6"/>
      <c r="C1077" s="161"/>
      <c r="D1077" s="161"/>
      <c r="E1077" s="161"/>
      <c r="F1077" s="161"/>
      <c r="G1077" s="7"/>
      <c r="H1077" s="8">
        <f>ROUND(IF(PRODUCT(IF(C1077=0,1,C1077),IF(E1077=0,1,E1077),IF(F1077=0,1,F1077),IF(G1077=0,1,G1077))=1,0,PRODUCT(IF(C1077=0,1,C1077),IF(E1077=0,1,E1077),IF(F1077=0,1,F1077),IF(G1077=0,1,G1077))),2)</f>
        <v>0</v>
      </c>
      <c r="I1077" s="5"/>
    </row>
    <row r="1078" spans="1:9" x14ac:dyDescent="0.2">
      <c r="A1078" s="3"/>
      <c r="C1078" s="10"/>
      <c r="D1078" s="10"/>
      <c r="E1078" s="9"/>
      <c r="F1078" s="94" t="s">
        <v>11</v>
      </c>
      <c r="G1078" s="95" t="s">
        <v>264</v>
      </c>
      <c r="H1078" s="11">
        <f>SUM(H1075:H1077)</f>
        <v>42.24</v>
      </c>
      <c r="I1078" s="12" t="s">
        <v>17</v>
      </c>
    </row>
    <row r="1079" spans="1:9" ht="13.15" customHeight="1" x14ac:dyDescent="0.2">
      <c r="A1079" s="3" t="str">
        <f>'Orçamento Sintético'!A244</f>
        <v xml:space="preserve"> 15.1.3</v>
      </c>
      <c r="B1079" s="270" t="str">
        <f>'Orçamento Sintético'!D244</f>
        <v>LASTRO DE CONCRETO MAGRO, APLICADO EM BLOCOS DE COROAMENTO OU SAPATAS, ESPESSURA DE 5 CM. AF_01/2024</v>
      </c>
      <c r="C1079" s="271"/>
      <c r="D1079" s="271"/>
      <c r="E1079" s="272"/>
      <c r="I1079" s="5"/>
    </row>
    <row r="1080" spans="1:9" x14ac:dyDescent="0.2">
      <c r="A1080" s="3"/>
      <c r="B1080" s="91" t="s">
        <v>260</v>
      </c>
      <c r="C1080" s="91" t="s">
        <v>8</v>
      </c>
      <c r="D1080" s="91" t="s">
        <v>266</v>
      </c>
      <c r="E1080" s="91" t="s">
        <v>261</v>
      </c>
      <c r="F1080" s="91" t="s">
        <v>262</v>
      </c>
      <c r="G1080" s="91" t="s">
        <v>263</v>
      </c>
      <c r="H1080" s="91" t="s">
        <v>11</v>
      </c>
      <c r="I1080" s="5"/>
    </row>
    <row r="1081" spans="1:9" x14ac:dyDescent="0.2">
      <c r="A1081" s="3"/>
      <c r="B1081" s="6"/>
      <c r="C1081" s="7"/>
      <c r="D1081" s="7">
        <f>H1078</f>
        <v>42.24</v>
      </c>
      <c r="E1081" s="7"/>
      <c r="F1081" s="7"/>
      <c r="G1081" s="7"/>
      <c r="H1081" s="8">
        <f>ROUND(IF(PRODUCT(IF(C1081=0,1,C1081),IF(D1081=0,1,D1081),IF(E1081=0,1,E1081),IF(F1081=0,1,F1081),IF(G1081=0,1,G1081))=1,0,PRODUCT(IF(C1081=0,1,C1081),IF(D1081=0,1,D1081),IF(E1081=0,1,E1081),IF(F1081=0,1,F1081),IF(G1081=0,1,G1081))),2)</f>
        <v>42.24</v>
      </c>
      <c r="I1081" s="5"/>
    </row>
    <row r="1082" spans="1:9" x14ac:dyDescent="0.2">
      <c r="A1082" s="3"/>
      <c r="B1082" s="6"/>
      <c r="C1082" s="7"/>
      <c r="D1082" s="7"/>
      <c r="E1082" s="7"/>
      <c r="F1082" s="7"/>
      <c r="G1082" s="7"/>
      <c r="H1082" s="8">
        <f>ROUND(IF(PRODUCT(IF(C1082=0,1,C1082),IF(E1082=0,1,E1082),IF(F1082=0,1,F1082),IF(G1082=0,1,G1082))=1,0,PRODUCT(IF(C1082=0,1,C1082),IF(E1082=0,1,E1082),IF(F1082=0,1,F1082),IF(G1082=0,1,G1082))),2)</f>
        <v>0</v>
      </c>
      <c r="I1082" s="5"/>
    </row>
    <row r="1083" spans="1:9" x14ac:dyDescent="0.2">
      <c r="A1083" s="3"/>
      <c r="C1083" s="10"/>
      <c r="D1083" s="10"/>
      <c r="E1083" s="9"/>
      <c r="F1083" s="94" t="s">
        <v>11</v>
      </c>
      <c r="G1083" s="95" t="s">
        <v>264</v>
      </c>
      <c r="H1083" s="11">
        <f>SUM(H1081:H1081)</f>
        <v>42.24</v>
      </c>
      <c r="I1083" s="12" t="s">
        <v>17</v>
      </c>
    </row>
    <row r="1084" spans="1:9" ht="22.15" customHeight="1" x14ac:dyDescent="0.2">
      <c r="A1084" s="3" t="str">
        <f>'Orçamento Sintético'!A245</f>
        <v xml:space="preserve"> 15.1.4</v>
      </c>
      <c r="B1084" s="270" t="str">
        <f>'Orçamento Sintético'!D245</f>
        <v>FABRICAÇÃO, MONTAGEM E DESMONTAGEM DE FÔRMA PARA SAPATA, EM MADEIRA SERRADA, E=25 MM, 4UTILIZAÇÕES. AF_01/2024</v>
      </c>
      <c r="C1084" s="271"/>
      <c r="D1084" s="271"/>
      <c r="E1084" s="272"/>
      <c r="I1084" s="5"/>
    </row>
    <row r="1085" spans="1:9" x14ac:dyDescent="0.2">
      <c r="A1085" s="3"/>
      <c r="B1085" s="91" t="s">
        <v>260</v>
      </c>
      <c r="C1085" s="91" t="s">
        <v>8</v>
      </c>
      <c r="D1085" s="91" t="s">
        <v>266</v>
      </c>
      <c r="E1085" s="91" t="s">
        <v>261</v>
      </c>
      <c r="F1085" s="91" t="s">
        <v>262</v>
      </c>
      <c r="G1085" s="91" t="s">
        <v>263</v>
      </c>
      <c r="H1085" s="91" t="s">
        <v>11</v>
      </c>
      <c r="I1085" s="5"/>
    </row>
    <row r="1086" spans="1:9" x14ac:dyDescent="0.2">
      <c r="A1086" s="3"/>
      <c r="B1086" s="23" t="s">
        <v>304</v>
      </c>
      <c r="C1086" s="7">
        <v>2</v>
      </c>
      <c r="D1086" s="7">
        <v>12.48</v>
      </c>
      <c r="E1086" s="7"/>
      <c r="F1086" s="7"/>
      <c r="G1086" s="7"/>
      <c r="H1086" s="8">
        <f>ROUND(IF(PRODUCT(IF(C1086=0,1,C1086),IF(D1086=0,1,D1086),IF(E1086=0,1,E1086),IF(F1086=0,1,F1086),IF(G1086=0,1,G1086))=1,0,PRODUCT(IF(C1086=0,1,C1086),IF(D1086=0,1,D1086),IF(E1086=0,1,E1086),IF(F1086=0,1,F1086),IF(G1086=0,1,G1086))),2)</f>
        <v>24.96</v>
      </c>
      <c r="I1086" s="5"/>
    </row>
    <row r="1087" spans="1:9" x14ac:dyDescent="0.2">
      <c r="A1087" s="3"/>
      <c r="B1087" s="6"/>
      <c r="C1087" s="7"/>
      <c r="D1087" s="7"/>
      <c r="E1087" s="7"/>
      <c r="F1087" s="7"/>
      <c r="G1087" s="7"/>
      <c r="H1087" s="8">
        <f>ROUND(IF(PRODUCT(IF(C1087=0,1,C1087),IF(E1087=0,1,E1087),IF(F1087=0,1,F1087),IF(G1087=0,1,G1087))=1,0,PRODUCT(IF(C1087=0,1,C1087),IF(E1087=0,1,E1087),IF(F1087=0,1,F1087),IF(G1087=0,1,G1087))),2)</f>
        <v>0</v>
      </c>
      <c r="I1087" s="5"/>
    </row>
    <row r="1088" spans="1:9" x14ac:dyDescent="0.2">
      <c r="A1088" s="3"/>
      <c r="C1088" s="10"/>
      <c r="D1088" s="10"/>
      <c r="E1088" s="9"/>
      <c r="F1088" s="94" t="s">
        <v>11</v>
      </c>
      <c r="G1088" s="95" t="s">
        <v>264</v>
      </c>
      <c r="H1088" s="11">
        <f>SUM(H1086:H1086)</f>
        <v>24.96</v>
      </c>
      <c r="I1088" s="12" t="s">
        <v>17</v>
      </c>
    </row>
    <row r="1089" spans="1:10" ht="22.9" customHeight="1" x14ac:dyDescent="0.2">
      <c r="A1089" s="3" t="str">
        <f>'Orçamento Sintético'!A246</f>
        <v xml:space="preserve"> 15.1.5</v>
      </c>
      <c r="B1089" s="270" t="str">
        <f>'Orçamento Sintético'!D246</f>
        <v>ARMAÇÃO DE SAPATA ISOLADA, VIGA BALDRAME E SAPATA CORRIDA UTILIZANDO AÇO CA-50 DE 10 MM - MONTAGEM. AF_01/2024</v>
      </c>
      <c r="C1089" s="271"/>
      <c r="D1089" s="271"/>
      <c r="E1089" s="272"/>
      <c r="I1089" s="5"/>
    </row>
    <row r="1090" spans="1:10" x14ac:dyDescent="0.2">
      <c r="A1090" s="3"/>
      <c r="B1090" s="91" t="s">
        <v>260</v>
      </c>
      <c r="C1090" s="91" t="s">
        <v>8</v>
      </c>
      <c r="D1090" s="91" t="s">
        <v>676</v>
      </c>
      <c r="E1090" s="91" t="s">
        <v>261</v>
      </c>
      <c r="F1090" s="91" t="s">
        <v>262</v>
      </c>
      <c r="G1090" s="91" t="s">
        <v>263</v>
      </c>
      <c r="H1090" s="91" t="s">
        <v>11</v>
      </c>
      <c r="I1090" s="5"/>
    </row>
    <row r="1091" spans="1:10" x14ac:dyDescent="0.2">
      <c r="A1091" s="3"/>
      <c r="B1091" s="23" t="s">
        <v>304</v>
      </c>
      <c r="C1091" s="7">
        <v>2</v>
      </c>
      <c r="D1091" s="7">
        <v>282</v>
      </c>
      <c r="E1091" s="7"/>
      <c r="F1091" s="7"/>
      <c r="G1091" s="7"/>
      <c r="H1091" s="8">
        <f>ROUND(IF(PRODUCT(IF(C1091=0,1,C1091),IF(D1091=0,1,D1091),IF(E1091=0,1,E1091),IF(F1091=0,1,F1091),IF(G1091=0,1,G1091))=1,0,PRODUCT(IF(C1091=0,1,C1091),IF(D1091=0,1,D1091),IF(E1091=0,1,E1091),IF(F1091=0,1,F1091),IF(G1091=0,1,G1091))),2)</f>
        <v>564</v>
      </c>
      <c r="I1091" s="5"/>
    </row>
    <row r="1092" spans="1:10" x14ac:dyDescent="0.2">
      <c r="A1092" s="3"/>
      <c r="B1092" s="6"/>
      <c r="C1092" s="7"/>
      <c r="D1092" s="7"/>
      <c r="E1092" s="7"/>
      <c r="F1092" s="7"/>
      <c r="G1092" s="7"/>
      <c r="H1092" s="8">
        <f>ROUND(IF(PRODUCT(IF(C1092=0,1,C1092),IF(E1092=0,1,E1092),IF(F1092=0,1,F1092),IF(G1092=0,1,G1092))=1,0,PRODUCT(IF(C1092=0,1,C1092),IF(E1092=0,1,E1092),IF(F1092=0,1,F1092),IF(G1092=0,1,G1092))),2)</f>
        <v>0</v>
      </c>
      <c r="I1092" s="5"/>
    </row>
    <row r="1093" spans="1:10" x14ac:dyDescent="0.2">
      <c r="A1093" s="3"/>
      <c r="C1093" s="10"/>
      <c r="D1093" s="10"/>
      <c r="E1093" s="9"/>
      <c r="F1093" s="94" t="s">
        <v>11</v>
      </c>
      <c r="G1093" s="95" t="s">
        <v>264</v>
      </c>
      <c r="H1093" s="11">
        <f>SUM(H1091:H1091)</f>
        <v>564</v>
      </c>
      <c r="I1093" s="12" t="s">
        <v>299</v>
      </c>
    </row>
    <row r="1094" spans="1:10" ht="21.6" customHeight="1" x14ac:dyDescent="0.2">
      <c r="A1094" s="3" t="str">
        <f>'Orçamento Sintético'!A247</f>
        <v xml:space="preserve"> 15.1.6</v>
      </c>
      <c r="B1094" s="270" t="str">
        <f>'Orçamento Sintético'!D247</f>
        <v>ARMAÇÃO DE SAPATA ISOLADA, VIGA BALDRAME E SAPATA CORRIDA UTILIZANDO AÇO CA-60 DE 5 MM - MONTAGEM. AF_01/2024</v>
      </c>
      <c r="C1094" s="271"/>
      <c r="D1094" s="271"/>
      <c r="E1094" s="272"/>
      <c r="I1094" s="5"/>
    </row>
    <row r="1095" spans="1:10" x14ac:dyDescent="0.2">
      <c r="A1095" s="3"/>
      <c r="B1095" s="91" t="s">
        <v>260</v>
      </c>
      <c r="C1095" s="91" t="s">
        <v>8</v>
      </c>
      <c r="D1095" s="91" t="s">
        <v>676</v>
      </c>
      <c r="E1095" s="91" t="s">
        <v>261</v>
      </c>
      <c r="F1095" s="91" t="s">
        <v>262</v>
      </c>
      <c r="G1095" s="91" t="s">
        <v>263</v>
      </c>
      <c r="H1095" s="91" t="s">
        <v>11</v>
      </c>
      <c r="I1095" s="5"/>
    </row>
    <row r="1096" spans="1:10" x14ac:dyDescent="0.2">
      <c r="A1096" s="3"/>
      <c r="B1096" s="23" t="s">
        <v>304</v>
      </c>
      <c r="C1096" s="7">
        <v>2</v>
      </c>
      <c r="D1096" s="7">
        <v>12</v>
      </c>
      <c r="E1096" s="7"/>
      <c r="F1096" s="7"/>
      <c r="G1096" s="7"/>
      <c r="H1096" s="8">
        <f>ROUND(IF(PRODUCT(IF(C1096=0,1,C1096),IF(D1096=0,1,D1096),IF(E1096=0,1,E1096),IF(F1096=0,1,F1096),IF(G1096=0,1,G1096))=1,0,PRODUCT(IF(C1096=0,1,C1096),IF(D1096=0,1,D1096),IF(E1096=0,1,E1096),IF(F1096=0,1,F1096),IF(G1096=0,1,G1096))),2)</f>
        <v>24</v>
      </c>
      <c r="I1096" s="5"/>
    </row>
    <row r="1097" spans="1:10" x14ac:dyDescent="0.2">
      <c r="A1097" s="3"/>
      <c r="B1097" s="6"/>
      <c r="C1097" s="7"/>
      <c r="D1097" s="7"/>
      <c r="E1097" s="7"/>
      <c r="F1097" s="7"/>
      <c r="G1097" s="7"/>
      <c r="H1097" s="8">
        <f>ROUND(IF(PRODUCT(IF(C1097=0,1,C1097),IF(E1097=0,1,E1097),IF(F1097=0,1,F1097),IF(G1097=0,1,G1097))=1,0,PRODUCT(IF(C1097=0,1,C1097),IF(E1097=0,1,E1097),IF(F1097=0,1,F1097),IF(G1097=0,1,G1097))),2)</f>
        <v>0</v>
      </c>
      <c r="I1097" s="5"/>
    </row>
    <row r="1098" spans="1:10" x14ac:dyDescent="0.2">
      <c r="A1098" s="3"/>
      <c r="C1098" s="10"/>
      <c r="D1098" s="10"/>
      <c r="E1098" s="9"/>
      <c r="F1098" s="94" t="s">
        <v>11</v>
      </c>
      <c r="G1098" s="95" t="s">
        <v>264</v>
      </c>
      <c r="H1098" s="11">
        <f>SUM(H1096:H1096)</f>
        <v>24</v>
      </c>
      <c r="I1098" s="12" t="s">
        <v>299</v>
      </c>
    </row>
    <row r="1099" spans="1:10" ht="24.75" customHeight="1" x14ac:dyDescent="0.2">
      <c r="A1099" s="3" t="str">
        <f>'Orçamento Sintético'!A248</f>
        <v xml:space="preserve"> 15.1.7</v>
      </c>
      <c r="B1099" s="270" t="str">
        <f>'Orçamento Sintético'!D248</f>
        <v>CONCRETAGEM DE SAPATA, FCK 30 MPA, COM USO DE BOMBA - LANÇAMENTO, ADENSAMENTO E ACABAMENTO. AF_01/2024</v>
      </c>
      <c r="C1099" s="271"/>
      <c r="D1099" s="271"/>
      <c r="E1099" s="272"/>
      <c r="I1099" s="5"/>
    </row>
    <row r="1100" spans="1:10" x14ac:dyDescent="0.2">
      <c r="A1100" s="3"/>
      <c r="B1100" s="91" t="s">
        <v>260</v>
      </c>
      <c r="C1100" s="91" t="s">
        <v>8</v>
      </c>
      <c r="D1100" s="91" t="s">
        <v>266</v>
      </c>
      <c r="E1100" s="91" t="s">
        <v>261</v>
      </c>
      <c r="F1100" s="91" t="s">
        <v>262</v>
      </c>
      <c r="G1100" s="91" t="s">
        <v>263</v>
      </c>
      <c r="H1100" s="91" t="s">
        <v>11</v>
      </c>
      <c r="I1100" s="5"/>
    </row>
    <row r="1101" spans="1:10" x14ac:dyDescent="0.2">
      <c r="A1101" s="3"/>
      <c r="B1101" s="23" t="s">
        <v>304</v>
      </c>
      <c r="C1101" s="7"/>
      <c r="D1101" s="7"/>
      <c r="E1101" s="7"/>
      <c r="F1101" s="7"/>
      <c r="G1101" s="7"/>
      <c r="H1101" s="8"/>
      <c r="I1101" s="5"/>
    </row>
    <row r="1102" spans="1:10" x14ac:dyDescent="0.2">
      <c r="A1102" s="3"/>
      <c r="B1102" s="6" t="s">
        <v>720</v>
      </c>
      <c r="C1102" s="7">
        <f>8*2</f>
        <v>16</v>
      </c>
      <c r="D1102" s="7"/>
      <c r="E1102" s="7">
        <f>1.8</f>
        <v>1.8</v>
      </c>
      <c r="F1102" s="7">
        <f>0.8</f>
        <v>0.8</v>
      </c>
      <c r="G1102" s="7">
        <f>0.3</f>
        <v>0.3</v>
      </c>
      <c r="H1102" s="8">
        <f>ROUND(IF(PRODUCT(IF(C1102=0,1,C1102),IF(D1102=0,1,D1102),IF(E1102=0,1,E1102),IF(F1102=0,1,F1102),IF(G1102=0,1,G1102))=1,0,PRODUCT(IF(C1102=0,1,C1102),IF(D1102=0,1,D1102),IF(E1102=0,1,E1102),IF(F1102=0,1,F1102),IF(G1102=0,1,G1102))),2)</f>
        <v>6.91</v>
      </c>
      <c r="I1102" s="5"/>
      <c r="J1102" s="19"/>
    </row>
    <row r="1103" spans="1:10" x14ac:dyDescent="0.2">
      <c r="A1103" s="3"/>
      <c r="B1103" s="6"/>
      <c r="C1103" s="7"/>
      <c r="D1103" s="7"/>
      <c r="E1103" s="7"/>
      <c r="F1103" s="7"/>
      <c r="G1103" s="7"/>
      <c r="H1103" s="8">
        <f>ROUND(IF(PRODUCT(IF(C1103=0,1,C1103),IF(E1103=0,1,E1103),IF(F1103=0,1,F1103),IF(G1103=0,1,G1103))=1,0,PRODUCT(IF(C1103=0,1,C1103),IF(E1103=0,1,E1103),IF(F1103=0,1,F1103),IF(G1103=0,1,G1103))),2)</f>
        <v>0</v>
      </c>
      <c r="I1103" s="5"/>
    </row>
    <row r="1104" spans="1:10" x14ac:dyDescent="0.2">
      <c r="A1104" s="3"/>
      <c r="C1104" s="10"/>
      <c r="D1104" s="10"/>
      <c r="E1104" s="9"/>
      <c r="F1104" s="94" t="s">
        <v>11</v>
      </c>
      <c r="G1104" s="95" t="s">
        <v>264</v>
      </c>
      <c r="H1104" s="11">
        <f>SUM(H1101:H1103)</f>
        <v>6.91</v>
      </c>
      <c r="I1104" s="12" t="s">
        <v>24</v>
      </c>
    </row>
    <row r="1105" spans="1:10" ht="15.75" customHeight="1" x14ac:dyDescent="0.2">
      <c r="A1105" s="3" t="str">
        <f>'Orçamento Sintético'!A249</f>
        <v xml:space="preserve"> 15.1.8</v>
      </c>
      <c r="B1105" s="270" t="str">
        <f>'Orçamento Sintético'!D249</f>
        <v>REATERRO MANUAL DE VALAS, COM COMPACTADOR DE SOLOS DE PERCUSSÃO. AF_08/2023</v>
      </c>
      <c r="C1105" s="271"/>
      <c r="D1105" s="271"/>
      <c r="E1105" s="272"/>
      <c r="I1105" s="5"/>
    </row>
    <row r="1106" spans="1:10" x14ac:dyDescent="0.2">
      <c r="A1106" s="3"/>
      <c r="B1106" s="91" t="s">
        <v>260</v>
      </c>
      <c r="C1106" s="91" t="s">
        <v>8</v>
      </c>
      <c r="D1106" s="91" t="s">
        <v>266</v>
      </c>
      <c r="E1106" s="91" t="s">
        <v>261</v>
      </c>
      <c r="F1106" s="91" t="s">
        <v>262</v>
      </c>
      <c r="G1106" s="91" t="s">
        <v>263</v>
      </c>
      <c r="H1106" s="91" t="s">
        <v>11</v>
      </c>
      <c r="I1106" s="5"/>
    </row>
    <row r="1107" spans="1:10" x14ac:dyDescent="0.2">
      <c r="A1107" s="3"/>
      <c r="B1107" s="6" t="s">
        <v>279</v>
      </c>
      <c r="C1107" s="15">
        <f>H1072</f>
        <v>48.58</v>
      </c>
      <c r="D1107" s="15"/>
      <c r="E1107" s="15"/>
      <c r="F1107" s="15"/>
      <c r="G1107" s="7"/>
      <c r="H1107" s="8">
        <f>ROUND(IF(PRODUCT(IF(C1107=0,1,C1107),IF(D1107=0,1,D1107),IF(E1107=0,1,E1107),IF(F1107=0,1,F1107),IF(G1107=0,1,G1107))=1,0,PRODUCT(IF(C1107=0,1,C1107),IF(D1107=0,1,D1107),IF(E1107=0,1,E1107),IF(F1107=0,1,F1107),IF(G1107=0,1,G1107))),2)</f>
        <v>48.58</v>
      </c>
      <c r="I1107" s="5"/>
    </row>
    <row r="1108" spans="1:10" x14ac:dyDescent="0.2">
      <c r="A1108" s="3"/>
      <c r="B1108" s="16" t="s">
        <v>280</v>
      </c>
      <c r="C1108" s="17">
        <f>H1083*0.05</f>
        <v>2.1120000000000001</v>
      </c>
      <c r="D1108" s="15"/>
      <c r="E1108" s="15"/>
      <c r="F1108" s="15"/>
      <c r="G1108" s="7"/>
      <c r="H1108" s="17">
        <f t="shared" ref="H1108:H1110" si="16">-ROUND(IF(PRODUCT(IF(C1108=0,1,C1108),IF(D1108=0,1,D1108),IF(E1108=0,1,E1108),IF(F1108=0,1,F1108),IF(G1108=0,1,G1108))=1,0,PRODUCT(IF(C1108=0,1,C1108),IF(D1108=0,1,D1108),IF(E1108=0,1,E1108),IF(F1108=0,1,F1108),IF(G1108=0,1,G1108))),2)</f>
        <v>-2.11</v>
      </c>
      <c r="I1108" s="5"/>
      <c r="J1108" s="19"/>
    </row>
    <row r="1109" spans="1:10" x14ac:dyDescent="0.2">
      <c r="A1109" s="3"/>
      <c r="B1109" s="16" t="s">
        <v>281</v>
      </c>
      <c r="C1109" s="17">
        <f>H1104</f>
        <v>6.91</v>
      </c>
      <c r="D1109" s="15"/>
      <c r="E1109" s="15"/>
      <c r="F1109" s="15"/>
      <c r="G1109" s="7"/>
      <c r="H1109" s="17">
        <f t="shared" si="16"/>
        <v>-6.91</v>
      </c>
      <c r="I1109" s="5"/>
    </row>
    <row r="1110" spans="1:10" ht="28.15" customHeight="1" x14ac:dyDescent="0.2">
      <c r="A1110" s="3"/>
      <c r="B1110" s="18" t="s">
        <v>305</v>
      </c>
      <c r="C1110" s="17">
        <f>2*32</f>
        <v>64</v>
      </c>
      <c r="D1110" s="17"/>
      <c r="E1110" s="17">
        <v>0.3</v>
      </c>
      <c r="F1110" s="17">
        <v>0.12</v>
      </c>
      <c r="G1110" s="17">
        <v>0.8</v>
      </c>
      <c r="H1110" s="17">
        <f t="shared" si="16"/>
        <v>-1.84</v>
      </c>
      <c r="I1110" s="5"/>
    </row>
    <row r="1111" spans="1:10" x14ac:dyDescent="0.2">
      <c r="A1111" s="3"/>
      <c r="B1111" s="6"/>
      <c r="C1111" s="7"/>
      <c r="D1111" s="7"/>
      <c r="E1111" s="7"/>
      <c r="F1111" s="7"/>
      <c r="G1111" s="7"/>
      <c r="H1111" s="8">
        <f>ROUND(IF(PRODUCT(IF(C1111=0,1,C1111),IF(E1111=0,1,E1111),IF(F1111=0,1,F1111),IF(G1111=0,1,G1111))=1,0,PRODUCT(IF(C1111=0,1,C1111),IF(E1111=0,1,E1111),IF(F1111=0,1,F1111),IF(G1111=0,1,G1111))),2)</f>
        <v>0</v>
      </c>
      <c r="I1111" s="5"/>
    </row>
    <row r="1112" spans="1:10" x14ac:dyDescent="0.2">
      <c r="A1112" s="3"/>
      <c r="C1112" s="10"/>
      <c r="D1112" s="10"/>
      <c r="E1112" s="9"/>
      <c r="F1112" s="94" t="s">
        <v>11</v>
      </c>
      <c r="G1112" s="95" t="s">
        <v>264</v>
      </c>
      <c r="H1112" s="11">
        <f>SUM(H1107:H1110)</f>
        <v>37.72</v>
      </c>
      <c r="I1112" s="12" t="s">
        <v>24</v>
      </c>
    </row>
    <row r="1113" spans="1:10" x14ac:dyDescent="0.2">
      <c r="A1113" s="96" t="str">
        <f>'Orçamento Sintético'!A250</f>
        <v xml:space="preserve"> 15.2 </v>
      </c>
      <c r="B1113" s="97" t="str">
        <f>'Orçamento Sintético'!D250</f>
        <v>VIGAS BALDRAMES</v>
      </c>
      <c r="C1113" s="273"/>
      <c r="D1113" s="274"/>
      <c r="E1113" s="274"/>
      <c r="F1113" s="274"/>
      <c r="G1113" s="274"/>
      <c r="H1113" s="274"/>
      <c r="I1113" s="275"/>
    </row>
    <row r="1114" spans="1:10" ht="25.5" customHeight="1" x14ac:dyDescent="0.2">
      <c r="A1114" s="3" t="str">
        <f>'Orçamento Sintético'!A251</f>
        <v xml:space="preserve"> 15.2.1 </v>
      </c>
      <c r="B1114" s="270" t="str">
        <f>'Orçamento Sintético'!D251</f>
        <v>ESCAVAÇÃO MECANIZADA PARA VIGA BALDRAME OU SAPATA CORRIDA COM MINI-ESCAVADEIRA (INCLUINDO ESCAVAÇÃO PARA COLOCAÇÃO DE FÔRMAS). AF_01/2024</v>
      </c>
      <c r="C1114" s="271"/>
      <c r="D1114" s="271"/>
      <c r="E1114" s="272"/>
      <c r="I1114" s="5"/>
    </row>
    <row r="1115" spans="1:10" x14ac:dyDescent="0.2">
      <c r="A1115" s="3"/>
      <c r="B1115" s="91" t="s">
        <v>260</v>
      </c>
      <c r="C1115" s="91" t="s">
        <v>8</v>
      </c>
      <c r="D1115" s="91" t="s">
        <v>266</v>
      </c>
      <c r="E1115" s="91" t="s">
        <v>261</v>
      </c>
      <c r="F1115" s="91" t="s">
        <v>262</v>
      </c>
      <c r="G1115" s="91" t="s">
        <v>263</v>
      </c>
      <c r="H1115" s="91" t="s">
        <v>11</v>
      </c>
      <c r="I1115" s="5"/>
    </row>
    <row r="1116" spans="1:10" x14ac:dyDescent="0.2">
      <c r="A1116" s="3"/>
      <c r="B1116" s="23" t="s">
        <v>304</v>
      </c>
      <c r="C1116" s="7"/>
      <c r="D1116" s="7"/>
      <c r="E1116" s="7"/>
      <c r="F1116" s="7"/>
      <c r="G1116" s="7"/>
      <c r="H1116" s="8"/>
      <c r="I1116" s="5"/>
    </row>
    <row r="1117" spans="1:10" x14ac:dyDescent="0.2">
      <c r="A1117" s="3"/>
      <c r="B1117" s="6" t="s">
        <v>306</v>
      </c>
      <c r="C1117" s="161">
        <v>2</v>
      </c>
      <c r="D1117" s="161"/>
      <c r="E1117" s="161">
        <f>((1.9+4.7+4.7+4.4+4.7+4.7)*4)+((0.28+0.28+0.16)*8)</f>
        <v>106.16000000000001</v>
      </c>
      <c r="F1117" s="161">
        <f>0.12+0.2+0.2</f>
        <v>0.52</v>
      </c>
      <c r="G1117" s="161">
        <f>0.05</f>
        <v>0.05</v>
      </c>
      <c r="H1117" s="8">
        <f>ROUND(IF(PRODUCT(IF(C1117=0,1,C1117),IF(D1117=0,1,D1117),IF(E1117=0,1,E1117),IF(F1117=0,1,F1117),IF(G1117=0,1,G1117))=1,0,PRODUCT(IF(C1117=0,1,C1117),IF(D1117=0,1,D1117),IF(E1117=0,1,E1117),IF(F1117=0,1,F1117),IF(G1117=0,1,G1117))),2)</f>
        <v>5.52</v>
      </c>
      <c r="I1117" s="5"/>
    </row>
    <row r="1118" spans="1:10" x14ac:dyDescent="0.2">
      <c r="A1118" s="3"/>
      <c r="B1118" s="6"/>
      <c r="C1118" s="7"/>
      <c r="D1118" s="7"/>
      <c r="E1118" s="7"/>
      <c r="F1118" s="7"/>
      <c r="G1118" s="7"/>
      <c r="H1118" s="8">
        <f>ROUND(IF(PRODUCT(IF(C1118=0,1,C1118),IF(E1118=0,1,E1118),IF(F1118=0,1,F1118),IF(G1118=0,1,G1118))=1,0,PRODUCT(IF(C1118=0,1,C1118),IF(E1118=0,1,E1118),IF(F1118=0,1,F1118),IF(G1118=0,1,G1118))),2)</f>
        <v>0</v>
      </c>
      <c r="I1118" s="5"/>
    </row>
    <row r="1119" spans="1:10" x14ac:dyDescent="0.2">
      <c r="A1119" s="3"/>
      <c r="C1119" s="10"/>
      <c r="D1119" s="10"/>
      <c r="E1119" s="9"/>
      <c r="F1119" s="94" t="s">
        <v>11</v>
      </c>
      <c r="G1119" s="95" t="s">
        <v>264</v>
      </c>
      <c r="H1119" s="11">
        <f>SUM(H1116:H1118)</f>
        <v>5.52</v>
      </c>
      <c r="I1119" s="12" t="s">
        <v>24</v>
      </c>
    </row>
    <row r="1120" spans="1:10" ht="13.5" customHeight="1" x14ac:dyDescent="0.2">
      <c r="A1120" s="3" t="str">
        <f>'Orçamento Sintético'!A252</f>
        <v xml:space="preserve"> 15.2.2</v>
      </c>
      <c r="B1120" s="270" t="str">
        <f>'Orçamento Sintético'!D252</f>
        <v>PREPARO DE FUNDO DE VALA COM LARGURA MENOR QUE 1,5 M (ACERTO DO SOLO NATURAL). AF_08/2020</v>
      </c>
      <c r="C1120" s="271"/>
      <c r="D1120" s="271"/>
      <c r="E1120" s="272"/>
      <c r="I1120" s="5"/>
    </row>
    <row r="1121" spans="1:9" x14ac:dyDescent="0.2">
      <c r="A1121" s="3"/>
      <c r="B1121" s="91" t="s">
        <v>260</v>
      </c>
      <c r="C1121" s="91" t="s">
        <v>8</v>
      </c>
      <c r="D1121" s="91" t="s">
        <v>266</v>
      </c>
      <c r="E1121" s="91" t="s">
        <v>261</v>
      </c>
      <c r="F1121" s="91" t="s">
        <v>262</v>
      </c>
      <c r="G1121" s="91" t="s">
        <v>263</v>
      </c>
      <c r="H1121" s="91" t="s">
        <v>11</v>
      </c>
      <c r="I1121" s="5"/>
    </row>
    <row r="1122" spans="1:9" x14ac:dyDescent="0.2">
      <c r="A1122" s="3"/>
      <c r="B1122" s="23" t="s">
        <v>304</v>
      </c>
      <c r="C1122" s="7"/>
      <c r="D1122" s="7"/>
      <c r="E1122" s="7"/>
      <c r="F1122" s="7"/>
      <c r="G1122" s="7"/>
      <c r="H1122" s="8"/>
      <c r="I1122" s="5"/>
    </row>
    <row r="1123" spans="1:9" x14ac:dyDescent="0.2">
      <c r="A1123" s="3"/>
      <c r="B1123" s="6" t="s">
        <v>306</v>
      </c>
      <c r="C1123" s="161">
        <v>2</v>
      </c>
      <c r="D1123" s="161"/>
      <c r="E1123" s="161">
        <f>((1.9+4.7+4.7+4.4+4.7+4.7)*4)+((0.28+0.28+0.16)*8)</f>
        <v>106.16000000000001</v>
      </c>
      <c r="F1123" s="161">
        <f>0.12+0.2+0.2</f>
        <v>0.52</v>
      </c>
      <c r="G1123" s="7"/>
      <c r="H1123" s="8">
        <f>ROUND(IF(PRODUCT(IF(C1123=0,1,C1123),IF(D1123=0,1,D1123),IF(E1123=0,1,E1123),IF(F1123=0,1,F1123),IF(G1123=0,1,G1123))=1,0,PRODUCT(IF(C1123=0,1,C1123),IF(D1123=0,1,D1123),IF(E1123=0,1,E1123),IF(F1123=0,1,F1123),IF(G1123=0,1,G1123))),2)</f>
        <v>110.41</v>
      </c>
      <c r="I1123" s="5"/>
    </row>
    <row r="1124" spans="1:9" x14ac:dyDescent="0.2">
      <c r="A1124" s="3"/>
      <c r="B1124" s="6"/>
      <c r="C1124" s="7"/>
      <c r="D1124" s="7"/>
      <c r="E1124" s="7"/>
      <c r="F1124" s="7"/>
      <c r="G1124" s="7"/>
      <c r="H1124" s="8">
        <f>ROUND(IF(PRODUCT(IF(C1124=0,1,C1124),IF(E1124=0,1,E1124),IF(F1124=0,1,F1124),IF(G1124=0,1,G1124))=1,0,PRODUCT(IF(C1124=0,1,C1124),IF(E1124=0,1,E1124),IF(F1124=0,1,F1124),IF(G1124=0,1,G1124))),2)</f>
        <v>0</v>
      </c>
      <c r="I1124" s="5"/>
    </row>
    <row r="1125" spans="1:9" x14ac:dyDescent="0.2">
      <c r="A1125" s="3"/>
      <c r="C1125" s="10"/>
      <c r="D1125" s="10"/>
      <c r="E1125" s="9"/>
      <c r="F1125" s="94" t="s">
        <v>11</v>
      </c>
      <c r="G1125" s="95" t="s">
        <v>264</v>
      </c>
      <c r="H1125" s="11">
        <f>SUM(H1122:H1123)</f>
        <v>110.41</v>
      </c>
      <c r="I1125" s="12" t="s">
        <v>17</v>
      </c>
    </row>
    <row r="1126" spans="1:9" ht="15.75" customHeight="1" x14ac:dyDescent="0.2">
      <c r="A1126" s="3" t="str">
        <f>'Orçamento Sintético'!A253</f>
        <v xml:space="preserve"> 15.2.3</v>
      </c>
      <c r="B1126" s="270" t="str">
        <f>'Orçamento Sintético'!D253</f>
        <v>LASTRO DE CONCRETO MAGRO, APLICADO EM PISOS, LAJES SOBRE SOLO OU RADIERS, ESPESSURA DE 5 CM. AF_01/2024</v>
      </c>
      <c r="C1126" s="271"/>
      <c r="D1126" s="271"/>
      <c r="E1126" s="272"/>
      <c r="I1126" s="5"/>
    </row>
    <row r="1127" spans="1:9" x14ac:dyDescent="0.2">
      <c r="A1127" s="3"/>
      <c r="B1127" s="91" t="s">
        <v>260</v>
      </c>
      <c r="C1127" s="91" t="s">
        <v>8</v>
      </c>
      <c r="D1127" s="91" t="s">
        <v>266</v>
      </c>
      <c r="E1127" s="91" t="s">
        <v>261</v>
      </c>
      <c r="F1127" s="91" t="s">
        <v>262</v>
      </c>
      <c r="G1127" s="91" t="s">
        <v>263</v>
      </c>
      <c r="H1127" s="91" t="s">
        <v>11</v>
      </c>
      <c r="I1127" s="5"/>
    </row>
    <row r="1128" spans="1:9" x14ac:dyDescent="0.2">
      <c r="A1128" s="3"/>
      <c r="B1128" s="6"/>
      <c r="C1128" s="7"/>
      <c r="D1128" s="7">
        <f>H1125</f>
        <v>110.41</v>
      </c>
      <c r="E1128" s="7"/>
      <c r="F1128" s="7"/>
      <c r="G1128" s="7"/>
      <c r="H1128" s="8">
        <f>ROUND(IF(PRODUCT(IF(C1128=0,1,C1128),IF(D1128=0,1,D1128),IF(E1128=0,1,E1128),IF(F1128=0,1,F1128),IF(G1128=0,1,G1128))=1,0,PRODUCT(IF(C1128=0,1,C1128),IF(D1128=0,1,D1128),IF(E1128=0,1,E1128),IF(F1128=0,1,F1128),IF(G1128=0,1,G1128))),2)</f>
        <v>110.41</v>
      </c>
      <c r="I1128" s="5"/>
    </row>
    <row r="1129" spans="1:9" x14ac:dyDescent="0.2">
      <c r="A1129" s="3"/>
      <c r="B1129" s="6"/>
      <c r="C1129" s="7"/>
      <c r="D1129" s="7"/>
      <c r="E1129" s="7"/>
      <c r="F1129" s="7"/>
      <c r="G1129" s="7"/>
      <c r="H1129" s="8">
        <f>ROUND(IF(PRODUCT(IF(C1129=0,1,C1129),IF(E1129=0,1,E1129),IF(F1129=0,1,F1129),IF(G1129=0,1,G1129))=1,0,PRODUCT(IF(C1129=0,1,C1129),IF(E1129=0,1,E1129),IF(F1129=0,1,F1129),IF(G1129=0,1,G1129))),2)</f>
        <v>0</v>
      </c>
      <c r="I1129" s="5"/>
    </row>
    <row r="1130" spans="1:9" x14ac:dyDescent="0.2">
      <c r="A1130" s="3"/>
      <c r="C1130" s="10"/>
      <c r="D1130" s="10"/>
      <c r="E1130" s="9"/>
      <c r="F1130" s="94" t="s">
        <v>11</v>
      </c>
      <c r="G1130" s="95" t="s">
        <v>264</v>
      </c>
      <c r="H1130" s="11">
        <f>SUM(H1128:H1129)</f>
        <v>110.41</v>
      </c>
      <c r="I1130" s="12" t="s">
        <v>17</v>
      </c>
    </row>
    <row r="1131" spans="1:9" ht="22.15" customHeight="1" x14ac:dyDescent="0.2">
      <c r="A1131" s="3" t="str">
        <f>'Orçamento Sintético'!A254</f>
        <v xml:space="preserve"> 15.2.4</v>
      </c>
      <c r="B1131" s="270" t="str">
        <f>'Orçamento Sintético'!D254</f>
        <v>FABRICAÇÃO, MONTAGEM E DESMONTAGEM DE FÔRMA PARA VIGA BALDRAME, EM MADEIRA SERRADA, E=25 MM, 4 UTILIZAÇÕES. AF_06/2017</v>
      </c>
      <c r="C1131" s="271"/>
      <c r="D1131" s="271"/>
      <c r="E1131" s="272"/>
      <c r="I1131" s="5"/>
    </row>
    <row r="1132" spans="1:9" x14ac:dyDescent="0.2">
      <c r="A1132" s="3"/>
      <c r="B1132" s="91" t="s">
        <v>260</v>
      </c>
      <c r="C1132" s="91" t="s">
        <v>8</v>
      </c>
      <c r="D1132" s="91" t="s">
        <v>266</v>
      </c>
      <c r="E1132" s="91" t="s">
        <v>261</v>
      </c>
      <c r="F1132" s="91" t="s">
        <v>262</v>
      </c>
      <c r="G1132" s="91" t="s">
        <v>263</v>
      </c>
      <c r="H1132" s="91" t="s">
        <v>11</v>
      </c>
      <c r="I1132" s="5"/>
    </row>
    <row r="1133" spans="1:9" x14ac:dyDescent="0.2">
      <c r="A1133" s="3"/>
      <c r="B1133" s="23" t="s">
        <v>304</v>
      </c>
      <c r="C1133" s="7">
        <v>2</v>
      </c>
      <c r="D1133" s="7">
        <v>78.5</v>
      </c>
      <c r="E1133" s="7"/>
      <c r="F1133" s="7"/>
      <c r="G1133" s="7"/>
      <c r="H1133" s="8">
        <f>ROUND(IF(PRODUCT(IF(C1133=0,1,C1133),IF(D1133=0,1,D1133),IF(E1133=0,1,E1133),IF(F1133=0,1,F1133),IF(G1133=0,1,G1133))=1,0,PRODUCT(IF(C1133=0,1,C1133),IF(D1133=0,1,D1133),IF(E1133=0,1,E1133),IF(F1133=0,1,F1133),IF(G1133=0,1,G1133))),2)</f>
        <v>157</v>
      </c>
      <c r="I1133" s="5"/>
    </row>
    <row r="1134" spans="1:9" x14ac:dyDescent="0.2">
      <c r="A1134" s="3"/>
      <c r="B1134" s="6"/>
      <c r="C1134" s="7"/>
      <c r="D1134" s="7"/>
      <c r="E1134" s="7"/>
      <c r="F1134" s="7"/>
      <c r="G1134" s="7"/>
      <c r="H1134" s="8">
        <f>ROUND(IF(PRODUCT(IF(C1134=0,1,C1134),IF(E1134=0,1,E1134),IF(F1134=0,1,F1134),IF(G1134=0,1,G1134))=1,0,PRODUCT(IF(C1134=0,1,C1134),IF(E1134=0,1,E1134),IF(F1134=0,1,F1134),IF(G1134=0,1,G1134))),2)</f>
        <v>0</v>
      </c>
      <c r="I1134" s="5"/>
    </row>
    <row r="1135" spans="1:9" x14ac:dyDescent="0.2">
      <c r="A1135" s="3"/>
      <c r="C1135" s="10"/>
      <c r="D1135" s="10"/>
      <c r="E1135" s="9"/>
      <c r="F1135" s="94" t="s">
        <v>11</v>
      </c>
      <c r="G1135" s="95" t="s">
        <v>264</v>
      </c>
      <c r="H1135" s="11">
        <f>SUM(H1133:H1133)</f>
        <v>157</v>
      </c>
      <c r="I1135" s="12" t="s">
        <v>17</v>
      </c>
    </row>
    <row r="1136" spans="1:9" ht="22.9" customHeight="1" x14ac:dyDescent="0.2">
      <c r="A1136" s="3" t="str">
        <f>'Orçamento Sintético'!A255</f>
        <v xml:space="preserve"> 15.2.5</v>
      </c>
      <c r="B1136" s="270" t="str">
        <f>'Orçamento Sintético'!D255</f>
        <v>ARMAÇÃO DE SAPATA ISOLADA, VIGA BALDRAME E SAPATA CORRIDA UTILIZANDO AÇO CA-60 DE 5 MM - MONTAGEM. AF_01/2024</v>
      </c>
      <c r="C1136" s="271"/>
      <c r="D1136" s="271"/>
      <c r="E1136" s="272"/>
      <c r="I1136" s="5"/>
    </row>
    <row r="1137" spans="1:9" x14ac:dyDescent="0.2">
      <c r="A1137" s="3"/>
      <c r="B1137" s="91" t="s">
        <v>260</v>
      </c>
      <c r="C1137" s="91" t="s">
        <v>8</v>
      </c>
      <c r="D1137" s="91" t="s">
        <v>676</v>
      </c>
      <c r="E1137" s="91" t="s">
        <v>261</v>
      </c>
      <c r="F1137" s="91" t="s">
        <v>262</v>
      </c>
      <c r="G1137" s="91" t="s">
        <v>263</v>
      </c>
      <c r="H1137" s="91" t="s">
        <v>11</v>
      </c>
      <c r="I1137" s="5"/>
    </row>
    <row r="1138" spans="1:9" x14ac:dyDescent="0.2">
      <c r="A1138" s="3"/>
      <c r="B1138" s="23" t="s">
        <v>304</v>
      </c>
      <c r="C1138" s="7">
        <v>2</v>
      </c>
      <c r="D1138" s="7">
        <v>88</v>
      </c>
      <c r="E1138" s="7"/>
      <c r="F1138" s="7"/>
      <c r="G1138" s="7"/>
      <c r="H1138" s="8">
        <f>ROUND(IF(PRODUCT(IF(C1138=0,1,C1138),IF(D1138=0,1,D1138),IF(E1138=0,1,E1138),IF(F1138=0,1,F1138),IF(G1138=0,1,G1138))=1,0,PRODUCT(IF(C1138=0,1,C1138),IF(D1138=0,1,D1138),IF(E1138=0,1,E1138),IF(F1138=0,1,F1138),IF(G1138=0,1,G1138))),2)</f>
        <v>176</v>
      </c>
      <c r="I1138" s="5"/>
    </row>
    <row r="1139" spans="1:9" x14ac:dyDescent="0.2">
      <c r="A1139" s="3"/>
      <c r="B1139" s="6"/>
      <c r="C1139" s="7"/>
      <c r="D1139" s="7"/>
      <c r="E1139" s="7"/>
      <c r="F1139" s="7"/>
      <c r="G1139" s="7"/>
      <c r="H1139" s="8">
        <f>ROUND(IF(PRODUCT(IF(C1139=0,1,C1139),IF(E1139=0,1,E1139),IF(F1139=0,1,F1139),IF(G1139=0,1,G1139))=1,0,PRODUCT(IF(C1139=0,1,C1139),IF(E1139=0,1,E1139),IF(F1139=0,1,F1139),IF(G1139=0,1,G1139))),2)</f>
        <v>0</v>
      </c>
      <c r="I1139" s="5"/>
    </row>
    <row r="1140" spans="1:9" x14ac:dyDescent="0.2">
      <c r="A1140" s="3"/>
      <c r="C1140" s="10"/>
      <c r="D1140" s="10"/>
      <c r="E1140" s="9"/>
      <c r="F1140" s="94" t="s">
        <v>11</v>
      </c>
      <c r="G1140" s="95" t="s">
        <v>264</v>
      </c>
      <c r="H1140" s="11">
        <f>SUM(H1138:H1138)</f>
        <v>176</v>
      </c>
      <c r="I1140" s="12" t="s">
        <v>299</v>
      </c>
    </row>
    <row r="1141" spans="1:9" ht="21.6" customHeight="1" x14ac:dyDescent="0.2">
      <c r="A1141" s="3" t="str">
        <f>'Orçamento Sintético'!A256</f>
        <v xml:space="preserve"> 15.2.6</v>
      </c>
      <c r="B1141" s="270" t="str">
        <f>'Orçamento Sintético'!D256</f>
        <v>ARMAÇÃO DE SAPATA ISOLADA, VIGA BALDRAME E SAPATA CORRIDA UTILIZANDO AÇO CA-50 DE 8 MM - MONTAGEM. AF_01/2024</v>
      </c>
      <c r="C1141" s="271"/>
      <c r="D1141" s="271"/>
      <c r="E1141" s="272"/>
      <c r="I1141" s="5"/>
    </row>
    <row r="1142" spans="1:9" x14ac:dyDescent="0.2">
      <c r="A1142" s="3"/>
      <c r="B1142" s="91" t="s">
        <v>260</v>
      </c>
      <c r="C1142" s="91" t="s">
        <v>8</v>
      </c>
      <c r="D1142" s="91" t="s">
        <v>676</v>
      </c>
      <c r="E1142" s="91" t="s">
        <v>261</v>
      </c>
      <c r="F1142" s="91" t="s">
        <v>262</v>
      </c>
      <c r="G1142" s="91" t="s">
        <v>263</v>
      </c>
      <c r="H1142" s="91" t="s">
        <v>11</v>
      </c>
      <c r="I1142" s="5"/>
    </row>
    <row r="1143" spans="1:9" x14ac:dyDescent="0.2">
      <c r="A1143" s="3"/>
      <c r="B1143" s="23" t="s">
        <v>304</v>
      </c>
      <c r="C1143" s="7">
        <v>2</v>
      </c>
      <c r="D1143" s="7">
        <v>216</v>
      </c>
      <c r="E1143" s="7"/>
      <c r="F1143" s="7"/>
      <c r="G1143" s="7"/>
      <c r="H1143" s="8">
        <f>ROUND(IF(PRODUCT(IF(C1143=0,1,C1143),IF(D1143=0,1,D1143),IF(E1143=0,1,E1143),IF(F1143=0,1,F1143),IF(G1143=0,1,G1143))=1,0,PRODUCT(IF(C1143=0,1,C1143),IF(D1143=0,1,D1143),IF(E1143=0,1,E1143),IF(F1143=0,1,F1143),IF(G1143=0,1,G1143))),2)</f>
        <v>432</v>
      </c>
      <c r="I1143" s="5"/>
    </row>
    <row r="1144" spans="1:9" x14ac:dyDescent="0.2">
      <c r="A1144" s="3"/>
      <c r="B1144" s="6"/>
      <c r="C1144" s="7"/>
      <c r="D1144" s="7"/>
      <c r="E1144" s="7"/>
      <c r="F1144" s="7"/>
      <c r="G1144" s="7"/>
      <c r="H1144" s="8">
        <f>ROUND(IF(PRODUCT(IF(C1144=0,1,C1144),IF(E1144=0,1,E1144),IF(F1144=0,1,F1144),IF(G1144=0,1,G1144))=1,0,PRODUCT(IF(C1144=0,1,C1144),IF(E1144=0,1,E1144),IF(F1144=0,1,F1144),IF(G1144=0,1,G1144))),2)</f>
        <v>0</v>
      </c>
      <c r="I1144" s="5"/>
    </row>
    <row r="1145" spans="1:9" x14ac:dyDescent="0.2">
      <c r="A1145" s="3"/>
      <c r="C1145" s="10"/>
      <c r="D1145" s="10"/>
      <c r="E1145" s="9"/>
      <c r="F1145" s="94" t="s">
        <v>11</v>
      </c>
      <c r="G1145" s="95" t="s">
        <v>264</v>
      </c>
      <c r="H1145" s="11">
        <f>SUM(H1143:H1143)</f>
        <v>432</v>
      </c>
      <c r="I1145" s="12" t="s">
        <v>299</v>
      </c>
    </row>
    <row r="1146" spans="1:9" ht="23.25" customHeight="1" x14ac:dyDescent="0.2">
      <c r="A1146" s="3" t="str">
        <f>'Orçamento Sintético'!A257</f>
        <v xml:space="preserve"> 15.2.7</v>
      </c>
      <c r="B1146" s="270" t="str">
        <f>'Orçamento Sintético'!D257</f>
        <v>CONCRETAGEM DE BLOCO DE COROAMENTO OU VIGA BALDRAME, FCK 30 MPA, COM USO DE BOMBA - LANÇAMENTO, ADENSAMENTO E ACABAMENTO. AF_01/2024</v>
      </c>
      <c r="C1146" s="271"/>
      <c r="D1146" s="271"/>
      <c r="E1146" s="272"/>
      <c r="I1146" s="5"/>
    </row>
    <row r="1147" spans="1:9" x14ac:dyDescent="0.2">
      <c r="A1147" s="3"/>
      <c r="B1147" s="91" t="s">
        <v>260</v>
      </c>
      <c r="C1147" s="91" t="s">
        <v>8</v>
      </c>
      <c r="D1147" s="91" t="s">
        <v>677</v>
      </c>
      <c r="E1147" s="91" t="s">
        <v>261</v>
      </c>
      <c r="F1147" s="91" t="s">
        <v>262</v>
      </c>
      <c r="G1147" s="91" t="s">
        <v>263</v>
      </c>
      <c r="H1147" s="91" t="s">
        <v>11</v>
      </c>
      <c r="I1147" s="5"/>
    </row>
    <row r="1148" spans="1:9" x14ac:dyDescent="0.2">
      <c r="A1148" s="3"/>
      <c r="B1148" s="23" t="s">
        <v>304</v>
      </c>
      <c r="C1148" s="7"/>
      <c r="D1148" s="7"/>
      <c r="E1148" s="7"/>
      <c r="F1148" s="7"/>
      <c r="G1148" s="7"/>
      <c r="H1148" s="8"/>
      <c r="I1148" s="5"/>
    </row>
    <row r="1149" spans="1:9" x14ac:dyDescent="0.2">
      <c r="A1149" s="3"/>
      <c r="B1149" s="6" t="s">
        <v>566</v>
      </c>
      <c r="C1149" s="7">
        <v>2</v>
      </c>
      <c r="D1149" s="7">
        <v>5.74</v>
      </c>
      <c r="E1149" s="7"/>
      <c r="F1149" s="7"/>
      <c r="G1149" s="7"/>
      <c r="H1149" s="8">
        <f>ROUND(IF(PRODUCT(IF(C1149=0,1,C1149),IF(D1149=0,1,D1149),IF(E1149=0,1,E1149),IF(F1149=0,1,F1149),IF(G1149=0,1,G1149))=1,0,PRODUCT(IF(C1149=0,1,C1149),IF(D1149=0,1,D1149),IF(E1149=0,1,E1149),IF(F1149=0,1,F1149),IF(G1149=0,1,G1149))),2)</f>
        <v>11.48</v>
      </c>
      <c r="I1149" s="5"/>
    </row>
    <row r="1150" spans="1:9" x14ac:dyDescent="0.2">
      <c r="A1150" s="3"/>
      <c r="B1150" s="6"/>
      <c r="C1150" s="161"/>
      <c r="D1150" s="161"/>
      <c r="E1150" s="161"/>
      <c r="F1150" s="161"/>
      <c r="G1150" s="161"/>
      <c r="H1150" s="8"/>
      <c r="I1150" s="5"/>
    </row>
    <row r="1151" spans="1:9" x14ac:dyDescent="0.2">
      <c r="A1151" s="3"/>
      <c r="C1151" s="10"/>
      <c r="D1151" s="10"/>
      <c r="E1151" s="9"/>
      <c r="F1151" s="94" t="s">
        <v>11</v>
      </c>
      <c r="G1151" s="95" t="s">
        <v>264</v>
      </c>
      <c r="H1151" s="11">
        <f>SUM(H1148:H1150)</f>
        <v>11.48</v>
      </c>
      <c r="I1151" s="12" t="s">
        <v>24</v>
      </c>
    </row>
    <row r="1152" spans="1:9" x14ac:dyDescent="0.2">
      <c r="A1152" s="96" t="str">
        <f>'Orçamento Sintético'!A258</f>
        <v xml:space="preserve"> 15.3 </v>
      </c>
      <c r="B1152" s="97" t="str">
        <f>'Orçamento Sintético'!D258</f>
        <v>PILARES</v>
      </c>
      <c r="C1152" s="273"/>
      <c r="D1152" s="274"/>
      <c r="E1152" s="274"/>
      <c r="F1152" s="274"/>
      <c r="G1152" s="274"/>
      <c r="H1152" s="274"/>
      <c r="I1152" s="275"/>
    </row>
    <row r="1153" spans="1:9" ht="22.15" customHeight="1" x14ac:dyDescent="0.2">
      <c r="A1153" s="3" t="str">
        <f>'Orçamento Sintético'!A259</f>
        <v>15.3.1</v>
      </c>
      <c r="B1153" s="270" t="str">
        <f>'Orçamento Sintético'!D259</f>
        <v>MONTAGEM E DESMONTAGEM DE FÔRMA DE PILARES RETANGULARES E ESTRUTURAS SIMILARES, PÉ-DIREITO SIMPLES, EM CHAPA DE MADEIRA COMPENSADA PLASTIFICADA, 18 UTILIZAÇÕES. AF_09/2020</v>
      </c>
      <c r="C1153" s="271"/>
      <c r="D1153" s="271"/>
      <c r="E1153" s="272"/>
      <c r="I1153" s="5"/>
    </row>
    <row r="1154" spans="1:9" x14ac:dyDescent="0.2">
      <c r="A1154" s="3"/>
      <c r="B1154" s="91" t="s">
        <v>260</v>
      </c>
      <c r="C1154" s="91" t="s">
        <v>8</v>
      </c>
      <c r="D1154" s="91" t="s">
        <v>266</v>
      </c>
      <c r="E1154" s="91" t="s">
        <v>261</v>
      </c>
      <c r="F1154" s="91" t="s">
        <v>262</v>
      </c>
      <c r="G1154" s="91" t="s">
        <v>263</v>
      </c>
      <c r="H1154" s="91" t="s">
        <v>11</v>
      </c>
      <c r="I1154" s="5"/>
    </row>
    <row r="1155" spans="1:9" x14ac:dyDescent="0.2">
      <c r="A1155" s="3"/>
      <c r="B1155" s="23" t="s">
        <v>304</v>
      </c>
      <c r="C1155" s="198"/>
      <c r="D1155" s="198"/>
      <c r="E1155" s="7"/>
      <c r="F1155" s="7"/>
      <c r="G1155" s="7"/>
      <c r="H1155" s="8">
        <f>ROUND(IF(PRODUCT(IF(C1155=0,1,C1155),IF(D1155=0,1,D1155),IF(E1155=0,1,E1155),IF(F1155=0,1,F1155),IF(G1155=0,1,G1155))=1,0,PRODUCT(IF(C1155=0,1,C1155),IF(D1155=0,1,D1155),IF(E1155=0,1,E1155),IF(F1155=0,1,F1155),IF(G1155=0,1,G1155))),2)</f>
        <v>0</v>
      </c>
      <c r="I1155" s="5"/>
    </row>
    <row r="1156" spans="1:9" x14ac:dyDescent="0.2">
      <c r="A1156" s="3"/>
      <c r="B1156" s="6" t="s">
        <v>566</v>
      </c>
      <c r="C1156" s="7">
        <v>2</v>
      </c>
      <c r="D1156" s="7">
        <v>38.08</v>
      </c>
      <c r="E1156" s="198"/>
      <c r="F1156" s="161"/>
      <c r="G1156" s="161"/>
      <c r="H1156" s="8">
        <f>ROUND(IF(PRODUCT(IF(C1156=0,1,C1156),IF(D1156=0,1,D1156),IF(E1156=0,1,E1156),IF(F1156=0,1,F1156),IF(G1156=0,1,G1156))=1,0,PRODUCT(IF(C1156=0,1,C1156),IF(D1156=0,1,D1156),IF(E1156=0,1,E1156),IF(F1156=0,1,F1156),IF(G1156=0,1,G1156))),2)</f>
        <v>76.16</v>
      </c>
      <c r="I1156" s="5"/>
    </row>
    <row r="1157" spans="1:9" x14ac:dyDescent="0.2">
      <c r="A1157" s="3"/>
      <c r="B1157" s="6"/>
      <c r="C1157" s="7"/>
      <c r="D1157" s="7"/>
      <c r="E1157" s="7"/>
      <c r="F1157" s="7"/>
      <c r="G1157" s="7"/>
      <c r="H1157" s="8">
        <f>ROUND(IF(PRODUCT(IF(C1157=0,1,C1157),IF(E1157=0,1,E1157),IF(F1157=0,1,F1157),IF(G1157=0,1,G1157))=1,0,PRODUCT(IF(C1157=0,1,C1157),IF(E1157=0,1,E1157),IF(F1157=0,1,F1157),IF(G1157=0,1,G1157))),2)</f>
        <v>0</v>
      </c>
      <c r="I1157" s="5"/>
    </row>
    <row r="1158" spans="1:9" x14ac:dyDescent="0.2">
      <c r="A1158" s="3"/>
      <c r="C1158" s="10"/>
      <c r="D1158" s="10"/>
      <c r="E1158" s="9"/>
      <c r="F1158" s="94" t="s">
        <v>11</v>
      </c>
      <c r="G1158" s="95" t="s">
        <v>264</v>
      </c>
      <c r="H1158" s="11">
        <f>SUM(H1155:H1156)</f>
        <v>76.16</v>
      </c>
      <c r="I1158" s="12" t="s">
        <v>17</v>
      </c>
    </row>
    <row r="1159" spans="1:9" ht="22.9" customHeight="1" x14ac:dyDescent="0.2">
      <c r="A1159" s="3" t="str">
        <f>'Orçamento Sintético'!A260</f>
        <v>15.3.2</v>
      </c>
      <c r="B1159" s="270" t="str">
        <f>'Orçamento Sintético'!D260</f>
        <v>ARMAÇÃO DE PILAR OU VIGA DE ESTRUTURA CONVENCIONAL DE CONCRETO ARMADO UTILIZANDO AÇO CA-60 DE 5,0 MM - MONTAGEM. AF_06/2022</v>
      </c>
      <c r="C1159" s="271"/>
      <c r="D1159" s="271"/>
      <c r="E1159" s="272"/>
      <c r="I1159" s="5"/>
    </row>
    <row r="1160" spans="1:9" x14ac:dyDescent="0.2">
      <c r="A1160" s="3"/>
      <c r="B1160" s="91" t="s">
        <v>260</v>
      </c>
      <c r="C1160" s="91" t="s">
        <v>8</v>
      </c>
      <c r="D1160" s="91" t="s">
        <v>676</v>
      </c>
      <c r="E1160" s="91" t="s">
        <v>261</v>
      </c>
      <c r="F1160" s="91" t="s">
        <v>262</v>
      </c>
      <c r="G1160" s="91" t="s">
        <v>263</v>
      </c>
      <c r="H1160" s="91" t="s">
        <v>11</v>
      </c>
      <c r="I1160" s="5"/>
    </row>
    <row r="1161" spans="1:9" x14ac:dyDescent="0.2">
      <c r="A1161" s="3"/>
      <c r="B1161" s="23" t="s">
        <v>304</v>
      </c>
      <c r="C1161" s="198"/>
      <c r="D1161" s="198"/>
      <c r="E1161" s="7"/>
      <c r="F1161" s="7"/>
      <c r="G1161" s="7"/>
      <c r="H1161" s="8">
        <f>ROUND(IF(PRODUCT(IF(C1161=0,1,C1161),IF(D1161=0,1,D1161),IF(E1161=0,1,E1161),IF(F1161=0,1,F1161),IF(G1161=0,1,G1161))=1,0,PRODUCT(IF(C1161=0,1,C1161),IF(D1161=0,1,D1161),IF(E1161=0,1,E1161),IF(F1161=0,1,F1161),IF(G1161=0,1,G1161))),2)</f>
        <v>0</v>
      </c>
      <c r="I1161" s="5"/>
    </row>
    <row r="1162" spans="1:9" x14ac:dyDescent="0.2">
      <c r="A1162" s="3"/>
      <c r="B1162" s="6" t="s">
        <v>566</v>
      </c>
      <c r="C1162" s="7">
        <v>2</v>
      </c>
      <c r="D1162" s="7">
        <v>82</v>
      </c>
      <c r="E1162" s="198"/>
      <c r="F1162" s="161"/>
      <c r="G1162" s="161"/>
      <c r="H1162" s="8">
        <f>ROUND(IF(PRODUCT(IF(C1162=0,1,C1162),IF(D1162=0,1,D1162),IF(E1162=0,1,E1162),IF(F1162=0,1,F1162),IF(G1162=0,1,G1162))=1,0,PRODUCT(IF(C1162=0,1,C1162),IF(D1162=0,1,D1162),IF(E1162=0,1,E1162),IF(F1162=0,1,F1162),IF(G1162=0,1,G1162))),2)</f>
        <v>164</v>
      </c>
      <c r="I1162" s="5"/>
    </row>
    <row r="1163" spans="1:9" x14ac:dyDescent="0.2">
      <c r="A1163" s="3"/>
      <c r="B1163" s="6"/>
      <c r="C1163" s="7"/>
      <c r="D1163" s="7"/>
      <c r="E1163" s="7"/>
      <c r="F1163" s="7"/>
      <c r="G1163" s="7"/>
      <c r="H1163" s="8">
        <f>ROUND(IF(PRODUCT(IF(C1163=0,1,C1163),IF(E1163=0,1,E1163),IF(F1163=0,1,F1163),IF(G1163=0,1,G1163))=1,0,PRODUCT(IF(C1163=0,1,C1163),IF(E1163=0,1,E1163),IF(F1163=0,1,F1163),IF(G1163=0,1,G1163))),2)</f>
        <v>0</v>
      </c>
      <c r="I1163" s="5"/>
    </row>
    <row r="1164" spans="1:9" x14ac:dyDescent="0.2">
      <c r="A1164" s="3"/>
      <c r="C1164" s="10"/>
      <c r="D1164" s="10"/>
      <c r="E1164" s="9"/>
      <c r="F1164" s="94" t="s">
        <v>11</v>
      </c>
      <c r="G1164" s="95" t="s">
        <v>264</v>
      </c>
      <c r="H1164" s="11">
        <f>SUM(H1161:H1162)</f>
        <v>164</v>
      </c>
      <c r="I1164" s="12" t="s">
        <v>299</v>
      </c>
    </row>
    <row r="1165" spans="1:9" ht="21.6" customHeight="1" x14ac:dyDescent="0.2">
      <c r="A1165" s="3" t="str">
        <f>'Orçamento Sintético'!A261</f>
        <v>15.3.3</v>
      </c>
      <c r="B1165" s="270" t="str">
        <f>'Orçamento Sintético'!D261</f>
        <v>ARMAÇÃO DE PILAR OU VIGA DE ESTRUTURA CONVENCIONAL DE CONCRETO ARMADO UTILIZANDO AÇO CA-50 DE 10,0 MM - MONTAGEM. AF_06/2022</v>
      </c>
      <c r="C1165" s="271"/>
      <c r="D1165" s="271"/>
      <c r="E1165" s="272"/>
      <c r="I1165" s="5"/>
    </row>
    <row r="1166" spans="1:9" x14ac:dyDescent="0.2">
      <c r="A1166" s="3"/>
      <c r="B1166" s="91" t="s">
        <v>260</v>
      </c>
      <c r="C1166" s="91" t="s">
        <v>8</v>
      </c>
      <c r="D1166" s="91" t="s">
        <v>676</v>
      </c>
      <c r="E1166" s="91" t="s">
        <v>261</v>
      </c>
      <c r="F1166" s="91" t="s">
        <v>262</v>
      </c>
      <c r="G1166" s="91" t="s">
        <v>263</v>
      </c>
      <c r="H1166" s="91" t="s">
        <v>11</v>
      </c>
      <c r="I1166" s="5"/>
    </row>
    <row r="1167" spans="1:9" x14ac:dyDescent="0.2">
      <c r="A1167" s="3"/>
      <c r="B1167" s="23" t="s">
        <v>304</v>
      </c>
      <c r="C1167" s="198"/>
      <c r="D1167" s="198"/>
      <c r="E1167" s="7"/>
      <c r="F1167" s="7"/>
      <c r="G1167" s="7"/>
      <c r="H1167" s="8">
        <f>ROUND(IF(PRODUCT(IF(C1167=0,1,C1167),IF(D1167=0,1,D1167),IF(E1167=0,1,E1167),IF(F1167=0,1,F1167),IF(G1167=0,1,G1167))=1,0,PRODUCT(IF(C1167=0,1,C1167),IF(D1167=0,1,D1167),IF(E1167=0,1,E1167),IF(F1167=0,1,F1167),IF(G1167=0,1,G1167))),2)</f>
        <v>0</v>
      </c>
      <c r="I1167" s="5"/>
    </row>
    <row r="1168" spans="1:9" x14ac:dyDescent="0.2">
      <c r="A1168" s="3"/>
      <c r="B1168" s="6" t="s">
        <v>566</v>
      </c>
      <c r="C1168" s="7">
        <v>2</v>
      </c>
      <c r="D1168" s="7">
        <v>271</v>
      </c>
      <c r="E1168" s="198"/>
      <c r="F1168" s="161"/>
      <c r="G1168" s="161"/>
      <c r="H1168" s="8">
        <f>ROUND(IF(PRODUCT(IF(C1168=0,1,C1168),IF(D1168=0,1,D1168),IF(E1168=0,1,E1168),IF(F1168=0,1,F1168),IF(G1168=0,1,G1168))=1,0,PRODUCT(IF(C1168=0,1,C1168),IF(D1168=0,1,D1168),IF(E1168=0,1,E1168),IF(F1168=0,1,F1168),IF(G1168=0,1,G1168))),2)</f>
        <v>542</v>
      </c>
      <c r="I1168" s="5"/>
    </row>
    <row r="1169" spans="1:9" x14ac:dyDescent="0.2">
      <c r="A1169" s="3"/>
      <c r="B1169" s="6"/>
      <c r="C1169" s="7"/>
      <c r="D1169" s="7"/>
      <c r="E1169" s="7"/>
      <c r="F1169" s="7"/>
      <c r="G1169" s="7"/>
      <c r="H1169" s="8">
        <f>ROUND(IF(PRODUCT(IF(C1169=0,1,C1169),IF(E1169=0,1,E1169),IF(F1169=0,1,F1169),IF(G1169=0,1,G1169))=1,0,PRODUCT(IF(C1169=0,1,C1169),IF(E1169=0,1,E1169),IF(F1169=0,1,F1169),IF(G1169=0,1,G1169))),2)</f>
        <v>0</v>
      </c>
      <c r="I1169" s="5"/>
    </row>
    <row r="1170" spans="1:9" x14ac:dyDescent="0.2">
      <c r="A1170" s="3"/>
      <c r="C1170" s="10"/>
      <c r="D1170" s="10"/>
      <c r="E1170" s="9"/>
      <c r="F1170" s="94" t="s">
        <v>11</v>
      </c>
      <c r="G1170" s="95" t="s">
        <v>264</v>
      </c>
      <c r="H1170" s="11">
        <f>SUM(H1167:H1168)</f>
        <v>542</v>
      </c>
      <c r="I1170" s="12" t="s">
        <v>299</v>
      </c>
    </row>
    <row r="1171" spans="1:9" ht="23.25" customHeight="1" x14ac:dyDescent="0.2">
      <c r="A1171" s="3" t="str">
        <f>'Orçamento Sintético'!A262</f>
        <v>15.3.4</v>
      </c>
      <c r="B1171" s="270" t="str">
        <f>'Orçamento Sintético'!D262</f>
        <v>CONCRETAGEM DE PILARES, FCK = 25 MPA, COM USO DE BOMBA - LANÇAMENTO, ADENSAMENTO E ACABAMENTO. AF_02/2022_PS</v>
      </c>
      <c r="C1171" s="271"/>
      <c r="D1171" s="271"/>
      <c r="E1171" s="272"/>
      <c r="I1171" s="5"/>
    </row>
    <row r="1172" spans="1:9" x14ac:dyDescent="0.2">
      <c r="A1172" s="3"/>
      <c r="B1172" s="91" t="s">
        <v>260</v>
      </c>
      <c r="C1172" s="91" t="s">
        <v>8</v>
      </c>
      <c r="D1172" s="91" t="s">
        <v>677</v>
      </c>
      <c r="E1172" s="91" t="s">
        <v>261</v>
      </c>
      <c r="F1172" s="91" t="s">
        <v>262</v>
      </c>
      <c r="G1172" s="91" t="s">
        <v>263</v>
      </c>
      <c r="H1172" s="91" t="s">
        <v>11</v>
      </c>
      <c r="I1172" s="5"/>
    </row>
    <row r="1173" spans="1:9" x14ac:dyDescent="0.2">
      <c r="A1173" s="3"/>
      <c r="B1173" s="23" t="s">
        <v>304</v>
      </c>
      <c r="C1173" s="7"/>
      <c r="D1173" s="7"/>
      <c r="E1173" s="7"/>
      <c r="F1173" s="7"/>
      <c r="G1173" s="7"/>
      <c r="H1173" s="8"/>
      <c r="I1173" s="5"/>
    </row>
    <row r="1174" spans="1:9" x14ac:dyDescent="0.2">
      <c r="A1174" s="3"/>
      <c r="B1174" s="6" t="s">
        <v>566</v>
      </c>
      <c r="C1174" s="7">
        <v>2</v>
      </c>
      <c r="D1174" s="7">
        <v>1.68</v>
      </c>
      <c r="E1174" s="7"/>
      <c r="F1174" s="7"/>
      <c r="G1174" s="7"/>
      <c r="H1174" s="8">
        <f>ROUND(IF(PRODUCT(IF(C1174=0,1,C1174),IF(D1174=0,1,D1174),IF(E1174=0,1,E1174),IF(F1174=0,1,F1174),IF(G1174=0,1,G1174))=1,0,PRODUCT(IF(C1174=0,1,C1174),IF(D1174=0,1,D1174),IF(E1174=0,1,E1174),IF(F1174=0,1,F1174),IF(G1174=0,1,G1174))),2)</f>
        <v>3.36</v>
      </c>
      <c r="I1174" s="5"/>
    </row>
    <row r="1175" spans="1:9" x14ac:dyDescent="0.2">
      <c r="A1175" s="3"/>
      <c r="B1175" s="6"/>
      <c r="C1175" s="161"/>
      <c r="D1175" s="161"/>
      <c r="E1175" s="161"/>
      <c r="F1175" s="161"/>
      <c r="G1175" s="161"/>
      <c r="H1175" s="8">
        <f>ROUND(IF(PRODUCT(IF(C1175=0,1,C1175),IF(E1175=0,1,E1175),IF(F1175=0,1,F1175),IF(G1175=0,1,G1175))=1,0,PRODUCT(IF(C1175=0,1,C1175),IF(E1175=0,1,E1175),IF(F1175=0,1,F1175),IF(G1175=0,1,G1175))),2)</f>
        <v>0</v>
      </c>
      <c r="I1175" s="5"/>
    </row>
    <row r="1176" spans="1:9" x14ac:dyDescent="0.2">
      <c r="A1176" s="3"/>
      <c r="C1176" s="10"/>
      <c r="D1176" s="10"/>
      <c r="E1176" s="9"/>
      <c r="F1176" s="94" t="s">
        <v>11</v>
      </c>
      <c r="G1176" s="95" t="s">
        <v>264</v>
      </c>
      <c r="H1176" s="11">
        <f>SUM(H1174:H1174)</f>
        <v>3.36</v>
      </c>
      <c r="I1176" s="12" t="s">
        <v>24</v>
      </c>
    </row>
    <row r="1177" spans="1:9" x14ac:dyDescent="0.2">
      <c r="A1177" s="96" t="str">
        <f>'Orçamento Sintético'!A263</f>
        <v xml:space="preserve"> 15.4 </v>
      </c>
      <c r="B1177" s="97" t="str">
        <f>'Orçamento Sintético'!D263</f>
        <v>VIGAS SUPERIORES</v>
      </c>
      <c r="C1177" s="273"/>
      <c r="D1177" s="274"/>
      <c r="E1177" s="274"/>
      <c r="F1177" s="274"/>
      <c r="G1177" s="274"/>
      <c r="H1177" s="274"/>
      <c r="I1177" s="275"/>
    </row>
    <row r="1178" spans="1:9" ht="22.15" customHeight="1" x14ac:dyDescent="0.2">
      <c r="A1178" s="3" t="str">
        <f>'Orçamento Sintético'!A264</f>
        <v>15.4.1</v>
      </c>
      <c r="B1178" s="270" t="str">
        <f>'Orçamento Sintético'!D264</f>
        <v>MONTAGEM E DESMONTAGEM DE FÔRMA DE VIGA, ESCORAMENTO COM GARFO DE MADEIRA, PÉ-DIREITO SIMPLES, EM CHAPA DE MADEIRA PLASTIFICADA, 18 UTILIZAÇÕES. AF_09/2020</v>
      </c>
      <c r="C1178" s="271"/>
      <c r="D1178" s="271"/>
      <c r="E1178" s="272"/>
      <c r="I1178" s="5"/>
    </row>
    <row r="1179" spans="1:9" x14ac:dyDescent="0.2">
      <c r="A1179" s="3"/>
      <c r="B1179" s="91" t="s">
        <v>260</v>
      </c>
      <c r="C1179" s="91" t="s">
        <v>8</v>
      </c>
      <c r="D1179" s="91" t="s">
        <v>266</v>
      </c>
      <c r="E1179" s="91" t="s">
        <v>261</v>
      </c>
      <c r="F1179" s="91" t="s">
        <v>262</v>
      </c>
      <c r="G1179" s="91" t="s">
        <v>263</v>
      </c>
      <c r="H1179" s="91" t="s">
        <v>11</v>
      </c>
      <c r="I1179" s="5"/>
    </row>
    <row r="1180" spans="1:9" x14ac:dyDescent="0.2">
      <c r="A1180" s="3"/>
      <c r="B1180" s="23" t="s">
        <v>304</v>
      </c>
      <c r="C1180" s="7">
        <v>2</v>
      </c>
      <c r="D1180" s="7">
        <f>24.94+24.63</f>
        <v>49.57</v>
      </c>
      <c r="E1180" s="7"/>
      <c r="F1180" s="7"/>
      <c r="G1180" s="7"/>
      <c r="H1180" s="8">
        <f>ROUND(IF(PRODUCT(IF(C1180=0,1,C1180),IF(D1180=0,1,D1180),IF(E1180=0,1,E1180),IF(F1180=0,1,F1180),IF(G1180=0,1,G1180))=1,0,PRODUCT(IF(C1180=0,1,C1180),IF(D1180=0,1,D1180),IF(E1180=0,1,E1180),IF(F1180=0,1,F1180),IF(G1180=0,1,G1180))),2)</f>
        <v>99.14</v>
      </c>
      <c r="I1180" s="5"/>
    </row>
    <row r="1181" spans="1:9" x14ac:dyDescent="0.2">
      <c r="A1181" s="3"/>
      <c r="B1181" s="6"/>
      <c r="C1181" s="7"/>
      <c r="D1181" s="7"/>
      <c r="E1181" s="7"/>
      <c r="F1181" s="7"/>
      <c r="G1181" s="7"/>
      <c r="H1181" s="8">
        <f>ROUND(IF(PRODUCT(IF(C1181=0,1,C1181),IF(E1181=0,1,E1181),IF(F1181=0,1,F1181),IF(G1181=0,1,G1181))=1,0,PRODUCT(IF(C1181=0,1,C1181),IF(E1181=0,1,E1181),IF(F1181=0,1,F1181),IF(G1181=0,1,G1181))),2)</f>
        <v>0</v>
      </c>
      <c r="I1181" s="5"/>
    </row>
    <row r="1182" spans="1:9" x14ac:dyDescent="0.2">
      <c r="A1182" s="3"/>
      <c r="C1182" s="10"/>
      <c r="D1182" s="10"/>
      <c r="E1182" s="9"/>
      <c r="F1182" s="94" t="s">
        <v>11</v>
      </c>
      <c r="G1182" s="95" t="s">
        <v>264</v>
      </c>
      <c r="H1182" s="11">
        <f>SUM(H1180:H1181)</f>
        <v>99.14</v>
      </c>
      <c r="I1182" s="12" t="s">
        <v>17</v>
      </c>
    </row>
    <row r="1183" spans="1:9" ht="22.9" customHeight="1" x14ac:dyDescent="0.2">
      <c r="A1183" s="3" t="str">
        <f>'Orçamento Sintético'!A265</f>
        <v>15.4.2</v>
      </c>
      <c r="B1183" s="270" t="str">
        <f>'Orçamento Sintético'!D265</f>
        <v>ARMAÇÃO DE PILAR OU VIGA DE ESTRUTURA CONVENCIONAL DE CONCRETO ARMADOUTILIZANDO AÇO CA-60 DE 5,0 MM - MONTAGEM. AF_06/2022</v>
      </c>
      <c r="C1183" s="271"/>
      <c r="D1183" s="271"/>
      <c r="E1183" s="272"/>
      <c r="I1183" s="5"/>
    </row>
    <row r="1184" spans="1:9" x14ac:dyDescent="0.2">
      <c r="A1184" s="3"/>
      <c r="B1184" s="91" t="s">
        <v>260</v>
      </c>
      <c r="C1184" s="91" t="s">
        <v>8</v>
      </c>
      <c r="D1184" s="91" t="s">
        <v>676</v>
      </c>
      <c r="E1184" s="91" t="s">
        <v>261</v>
      </c>
      <c r="F1184" s="91" t="s">
        <v>262</v>
      </c>
      <c r="G1184" s="91" t="s">
        <v>263</v>
      </c>
      <c r="H1184" s="91" t="s">
        <v>11</v>
      </c>
      <c r="I1184" s="5"/>
    </row>
    <row r="1185" spans="1:9" x14ac:dyDescent="0.2">
      <c r="A1185" s="3"/>
      <c r="B1185" s="23" t="s">
        <v>304</v>
      </c>
      <c r="C1185" s="7">
        <v>2</v>
      </c>
      <c r="D1185" s="7">
        <f>44+44</f>
        <v>88</v>
      </c>
      <c r="E1185" s="7"/>
      <c r="F1185" s="7"/>
      <c r="G1185" s="7"/>
      <c r="H1185" s="8">
        <f>ROUND(IF(PRODUCT(IF(C1185=0,1,C1185),IF(D1185=0,1,D1185),IF(E1185=0,1,E1185),IF(F1185=0,1,F1185),IF(G1185=0,1,G1185))=1,0,PRODUCT(IF(C1185=0,1,C1185),IF(D1185=0,1,D1185),IF(E1185=0,1,E1185),IF(F1185=0,1,F1185),IF(G1185=0,1,G1185))),2)</f>
        <v>176</v>
      </c>
      <c r="I1185" s="5"/>
    </row>
    <row r="1186" spans="1:9" x14ac:dyDescent="0.2">
      <c r="A1186" s="3"/>
      <c r="B1186" s="6"/>
      <c r="C1186" s="7"/>
      <c r="D1186" s="7"/>
      <c r="E1186" s="7"/>
      <c r="F1186" s="7"/>
      <c r="G1186" s="7"/>
      <c r="H1186" s="8">
        <f>ROUND(IF(PRODUCT(IF(C1186=0,1,C1186),IF(E1186=0,1,E1186),IF(F1186=0,1,F1186),IF(G1186=0,1,G1186))=1,0,PRODUCT(IF(C1186=0,1,C1186),IF(E1186=0,1,E1186),IF(F1186=0,1,F1186),IF(G1186=0,1,G1186))),2)</f>
        <v>0</v>
      </c>
      <c r="I1186" s="5"/>
    </row>
    <row r="1187" spans="1:9" x14ac:dyDescent="0.2">
      <c r="A1187" s="3"/>
      <c r="C1187" s="10"/>
      <c r="D1187" s="10"/>
      <c r="E1187" s="9"/>
      <c r="F1187" s="94" t="s">
        <v>11</v>
      </c>
      <c r="G1187" s="95" t="s">
        <v>264</v>
      </c>
      <c r="H1187" s="11">
        <f>SUM(H1185:H1186)</f>
        <v>176</v>
      </c>
      <c r="I1187" s="12" t="s">
        <v>299</v>
      </c>
    </row>
    <row r="1188" spans="1:9" ht="21.6" customHeight="1" x14ac:dyDescent="0.2">
      <c r="A1188" s="3" t="str">
        <f>'Orçamento Sintético'!A266</f>
        <v>15.4.3</v>
      </c>
      <c r="B1188" s="270" t="str">
        <f>'Orçamento Sintético'!D266</f>
        <v>ARMAÇÃO DE PILAR OU VIGA DE ESTRUTURA CONVENCIONAL DE CONCRETO ARMADO UTILIZANDO AÇO CA-50 DE 8,0 MM - MONTAGEM. AF_06/2022</v>
      </c>
      <c r="C1188" s="271"/>
      <c r="D1188" s="271"/>
      <c r="E1188" s="272"/>
      <c r="I1188" s="5"/>
    </row>
    <row r="1189" spans="1:9" x14ac:dyDescent="0.2">
      <c r="A1189" s="3"/>
      <c r="B1189" s="91" t="s">
        <v>260</v>
      </c>
      <c r="C1189" s="91" t="s">
        <v>8</v>
      </c>
      <c r="D1189" s="91" t="s">
        <v>676</v>
      </c>
      <c r="E1189" s="91" t="s">
        <v>261</v>
      </c>
      <c r="F1189" s="91" t="s">
        <v>262</v>
      </c>
      <c r="G1189" s="91" t="s">
        <v>263</v>
      </c>
      <c r="H1189" s="91" t="s">
        <v>11</v>
      </c>
      <c r="I1189" s="5"/>
    </row>
    <row r="1190" spans="1:9" x14ac:dyDescent="0.2">
      <c r="A1190" s="3"/>
      <c r="B1190" s="23" t="s">
        <v>304</v>
      </c>
      <c r="C1190" s="7">
        <v>2</v>
      </c>
      <c r="D1190" s="7">
        <f>107+107</f>
        <v>214</v>
      </c>
      <c r="E1190" s="7"/>
      <c r="F1190" s="7"/>
      <c r="G1190" s="7"/>
      <c r="H1190" s="8">
        <f>ROUND(IF(PRODUCT(IF(C1190=0,1,C1190),IF(D1190=0,1,D1190),IF(E1190=0,1,E1190),IF(F1190=0,1,F1190),IF(G1190=0,1,G1190))=1,0,PRODUCT(IF(C1190=0,1,C1190),IF(D1190=0,1,D1190),IF(E1190=0,1,E1190),IF(F1190=0,1,F1190),IF(G1190=0,1,G1190))),2)</f>
        <v>428</v>
      </c>
      <c r="I1190" s="5"/>
    </row>
    <row r="1191" spans="1:9" x14ac:dyDescent="0.2">
      <c r="A1191" s="3"/>
      <c r="B1191" s="6"/>
      <c r="C1191" s="7"/>
      <c r="D1191" s="7"/>
      <c r="E1191" s="7"/>
      <c r="F1191" s="7"/>
      <c r="G1191" s="7"/>
      <c r="H1191" s="8">
        <f>ROUND(IF(PRODUCT(IF(C1191=0,1,C1191),IF(E1191=0,1,E1191),IF(F1191=0,1,F1191),IF(G1191=0,1,G1191))=1,0,PRODUCT(IF(C1191=0,1,C1191),IF(E1191=0,1,E1191),IF(F1191=0,1,F1191),IF(G1191=0,1,G1191))),2)</f>
        <v>0</v>
      </c>
      <c r="I1191" s="5"/>
    </row>
    <row r="1192" spans="1:9" x14ac:dyDescent="0.2">
      <c r="A1192" s="3"/>
      <c r="C1192" s="10"/>
      <c r="D1192" s="10"/>
      <c r="E1192" s="9"/>
      <c r="F1192" s="94" t="s">
        <v>11</v>
      </c>
      <c r="G1192" s="95" t="s">
        <v>264</v>
      </c>
      <c r="H1192" s="11">
        <f>SUM(H1190:H1191)</f>
        <v>428</v>
      </c>
      <c r="I1192" s="12" t="s">
        <v>299</v>
      </c>
    </row>
    <row r="1193" spans="1:9" ht="24.75" customHeight="1" x14ac:dyDescent="0.2">
      <c r="A1193" s="3" t="str">
        <f>'Orçamento Sintético'!A267</f>
        <v>15.4.4</v>
      </c>
      <c r="B1193" s="270" t="str">
        <f>'Orçamento Sintético'!D267</f>
        <v>CONCRETAGEM DE VIGAS E LAJES, FCK=25 MPA, PARA LAJES PREMOLDADAS COM USO DE BOMBA - LANÇAMENTO, ADENSAMENTO E ACABAMENTO. AF_02/2022_PS</v>
      </c>
      <c r="C1193" s="271"/>
      <c r="D1193" s="271"/>
      <c r="E1193" s="272"/>
      <c r="I1193" s="5"/>
    </row>
    <row r="1194" spans="1:9" x14ac:dyDescent="0.2">
      <c r="A1194" s="3"/>
      <c r="B1194" s="91" t="s">
        <v>260</v>
      </c>
      <c r="C1194" s="91" t="s">
        <v>8</v>
      </c>
      <c r="D1194" s="91" t="s">
        <v>266</v>
      </c>
      <c r="E1194" s="91" t="s">
        <v>261</v>
      </c>
      <c r="F1194" s="91" t="s">
        <v>262</v>
      </c>
      <c r="G1194" s="91" t="s">
        <v>263</v>
      </c>
      <c r="H1194" s="91" t="s">
        <v>11</v>
      </c>
      <c r="I1194" s="5"/>
    </row>
    <row r="1195" spans="1:9" x14ac:dyDescent="0.2">
      <c r="A1195" s="3"/>
      <c r="B1195" s="23" t="s">
        <v>304</v>
      </c>
      <c r="C1195" s="7"/>
      <c r="D1195" s="7"/>
      <c r="E1195" s="7"/>
      <c r="F1195" s="7"/>
      <c r="G1195" s="7"/>
      <c r="H1195" s="8"/>
      <c r="I1195" s="5"/>
    </row>
    <row r="1196" spans="1:9" x14ac:dyDescent="0.2">
      <c r="A1196" s="3"/>
      <c r="B1196" s="6" t="s">
        <v>566</v>
      </c>
      <c r="C1196" s="7">
        <v>2</v>
      </c>
      <c r="D1196" s="7">
        <f>2.11+2.09</f>
        <v>4.1999999999999993</v>
      </c>
      <c r="E1196" s="161"/>
      <c r="F1196" s="161"/>
      <c r="G1196" s="161"/>
      <c r="H1196" s="8">
        <f>ROUND(IF(PRODUCT(IF(C1196=0,1,C1196),IF(D1196=0,1,D1196),IF(E1196=0,1,E1196),IF(F1196=0,1,F1196),IF(G1196=0,1,G1196))=1,0,PRODUCT(IF(C1196=0,1,C1196),IF(D1196=0,1,D1196),IF(E1196=0,1,E1196),IF(F1196=0,1,F1196),IF(G1196=0,1,G1196))),2)</f>
        <v>8.4</v>
      </c>
      <c r="I1196" s="5"/>
    </row>
    <row r="1197" spans="1:9" x14ac:dyDescent="0.2">
      <c r="A1197" s="3"/>
      <c r="B1197" s="6"/>
      <c r="C1197" s="7"/>
      <c r="D1197" s="7"/>
      <c r="E1197" s="7"/>
      <c r="F1197" s="7"/>
      <c r="G1197" s="7"/>
      <c r="H1197" s="8">
        <f>ROUND(IF(PRODUCT(IF(C1197=0,1,C1197),IF(E1197=0,1,E1197),IF(F1197=0,1,F1197),IF(G1197=0,1,G1197))=1,0,PRODUCT(IF(C1197=0,1,C1197),IF(E1197=0,1,E1197),IF(F1197=0,1,F1197),IF(G1197=0,1,G1197))),2)</f>
        <v>0</v>
      </c>
      <c r="I1197" s="5"/>
    </row>
    <row r="1198" spans="1:9" x14ac:dyDescent="0.2">
      <c r="A1198" s="3"/>
      <c r="C1198" s="10"/>
      <c r="D1198" s="10"/>
      <c r="E1198" s="9"/>
      <c r="F1198" s="94" t="s">
        <v>11</v>
      </c>
      <c r="G1198" s="95" t="s">
        <v>264</v>
      </c>
      <c r="H1198" s="11">
        <f>SUM(H1196:H1197)</f>
        <v>8.4</v>
      </c>
      <c r="I1198" s="12" t="s">
        <v>24</v>
      </c>
    </row>
    <row r="1199" spans="1:9" x14ac:dyDescent="0.2">
      <c r="A1199" s="96" t="str">
        <f>'Orçamento Sintético'!A268</f>
        <v xml:space="preserve"> 15.5 </v>
      </c>
      <c r="B1199" s="97" t="str">
        <f>'Orçamento Sintético'!D268</f>
        <v>LAJES</v>
      </c>
      <c r="C1199" s="273"/>
      <c r="D1199" s="274"/>
      <c r="E1199" s="274"/>
      <c r="F1199" s="274"/>
      <c r="G1199" s="274"/>
      <c r="H1199" s="274"/>
      <c r="I1199" s="275"/>
    </row>
    <row r="1200" spans="1:9" ht="24.75" customHeight="1" x14ac:dyDescent="0.2">
      <c r="A1200" s="3" t="str">
        <f>'Orçamento Sintético'!A269</f>
        <v xml:space="preserve"> 15.5.1 </v>
      </c>
      <c r="B1200" s="270" t="str">
        <f>'Orçamento Sintético'!D269</f>
        <v>LAJE PRÉ-FABRICADA TRELIÇADA PARA PISO OU COBERTURA, INTEREIXO 38CM, H=12CM, EL. ENCHIMENTO EM EPS H=8CM, INCLUSIVE ESCORAMENTO EM MADEIRA E CAPEAMENTO 4CM</v>
      </c>
      <c r="C1200" s="271"/>
      <c r="D1200" s="271"/>
      <c r="E1200" s="272"/>
      <c r="I1200" s="5"/>
    </row>
    <row r="1201" spans="1:9" x14ac:dyDescent="0.2">
      <c r="A1201" s="3"/>
      <c r="B1201" s="91" t="s">
        <v>260</v>
      </c>
      <c r="C1201" s="91" t="s">
        <v>8</v>
      </c>
      <c r="D1201" s="91" t="s">
        <v>266</v>
      </c>
      <c r="E1201" s="91" t="s">
        <v>261</v>
      </c>
      <c r="F1201" s="91" t="s">
        <v>262</v>
      </c>
      <c r="G1201" s="91" t="s">
        <v>263</v>
      </c>
      <c r="H1201" s="91" t="s">
        <v>11</v>
      </c>
      <c r="I1201" s="5"/>
    </row>
    <row r="1202" spans="1:9" x14ac:dyDescent="0.2">
      <c r="A1202" s="3"/>
      <c r="B1202" s="23" t="s">
        <v>304</v>
      </c>
      <c r="C1202" s="7"/>
      <c r="D1202" s="7"/>
      <c r="E1202" s="7"/>
      <c r="F1202" s="7"/>
      <c r="G1202" s="7"/>
      <c r="H1202" s="8"/>
      <c r="I1202" s="5"/>
    </row>
    <row r="1203" spans="1:9" x14ac:dyDescent="0.2">
      <c r="A1203" s="3"/>
      <c r="B1203" s="6" t="s">
        <v>566</v>
      </c>
      <c r="C1203" s="7">
        <v>2</v>
      </c>
      <c r="D1203" s="7">
        <v>19.14</v>
      </c>
      <c r="E1203" s="7"/>
      <c r="F1203" s="7"/>
      <c r="G1203" s="7"/>
      <c r="H1203" s="8">
        <f>ROUND(IF(PRODUCT(IF(C1203=0,1,C1203),IF(D1203=0,1,D1203),IF(E1203=0,1,E1203),IF(F1203=0,1,F1203),IF(G1203=0,1,G1203))=1,0,PRODUCT(IF(C1203=0,1,C1203),IF(D1203=0,1,D1203),IF(E1203=0,1,E1203),IF(F1203=0,1,F1203),IF(G1203=0,1,G1203))),2)</f>
        <v>38.28</v>
      </c>
      <c r="I1203" s="5"/>
    </row>
    <row r="1204" spans="1:9" x14ac:dyDescent="0.2">
      <c r="A1204" s="3"/>
      <c r="B1204" s="6"/>
      <c r="C1204" s="7"/>
      <c r="D1204" s="7"/>
      <c r="E1204" s="7"/>
      <c r="F1204" s="7"/>
      <c r="G1204" s="7"/>
      <c r="H1204" s="8">
        <f>ROUND(IF(PRODUCT(IF(C1204=0,1,C1204),IF(E1204=0,1,E1204),IF(F1204=0,1,F1204),IF(G1204=0,1,G1204))=1,0,PRODUCT(IF(C1204=0,1,C1204),IF(E1204=0,1,E1204),IF(F1204=0,1,F1204),IF(G1204=0,1,G1204))),2)</f>
        <v>0</v>
      </c>
      <c r="I1204" s="5"/>
    </row>
    <row r="1205" spans="1:9" x14ac:dyDescent="0.2">
      <c r="A1205" s="3"/>
      <c r="C1205" s="10"/>
      <c r="D1205" s="10"/>
      <c r="E1205" s="9"/>
      <c r="F1205" s="94" t="s">
        <v>11</v>
      </c>
      <c r="G1205" s="95" t="s">
        <v>264</v>
      </c>
      <c r="H1205" s="11">
        <f>SUM(H1203:H1203)</f>
        <v>38.28</v>
      </c>
      <c r="I1205" s="12" t="s">
        <v>17</v>
      </c>
    </row>
    <row r="1206" spans="1:9" x14ac:dyDescent="0.2">
      <c r="A1206" s="96" t="str">
        <f>'Orçamento Sintético'!A270</f>
        <v xml:space="preserve"> 15.6 </v>
      </c>
      <c r="B1206" s="97" t="str">
        <f>'Orçamento Sintético'!D270</f>
        <v>ALVENARIA E VEDAÇÕES</v>
      </c>
      <c r="C1206" s="273"/>
      <c r="D1206" s="274"/>
      <c r="E1206" s="274"/>
      <c r="F1206" s="274"/>
      <c r="G1206" s="274"/>
      <c r="H1206" s="274"/>
      <c r="I1206" s="275"/>
    </row>
    <row r="1207" spans="1:9" ht="23.25" customHeight="1" x14ac:dyDescent="0.2">
      <c r="A1207" s="3" t="str">
        <f>'Orçamento Sintético'!A271</f>
        <v xml:space="preserve"> 15.6.1</v>
      </c>
      <c r="B1207" s="270" t="str">
        <f>'Orçamento Sintético'!D271</f>
        <v>ALVENARIA DE VEDAÇÃO DE BLOCOS CERÂMICOS FURADOS NA HORIZONTAL DE 9X19X19 CM (ESPESSURA 9 CM) E ARGAMASSA DE ASSENTAMENTO COM PREPARO EM BETONEIRA. AF_12/2021</v>
      </c>
      <c r="C1207" s="271"/>
      <c r="D1207" s="271"/>
      <c r="E1207" s="272"/>
      <c r="I1207" s="5"/>
    </row>
    <row r="1208" spans="1:9" x14ac:dyDescent="0.2">
      <c r="A1208" s="3"/>
      <c r="B1208" s="91" t="s">
        <v>260</v>
      </c>
      <c r="C1208" s="91" t="s">
        <v>8</v>
      </c>
      <c r="D1208" s="91" t="s">
        <v>266</v>
      </c>
      <c r="E1208" s="91" t="s">
        <v>261</v>
      </c>
      <c r="F1208" s="91" t="s">
        <v>262</v>
      </c>
      <c r="G1208" s="91" t="s">
        <v>263</v>
      </c>
      <c r="H1208" s="91" t="s">
        <v>11</v>
      </c>
      <c r="I1208" s="5"/>
    </row>
    <row r="1209" spans="1:9" x14ac:dyDescent="0.2">
      <c r="A1209" s="3"/>
      <c r="B1209" s="23" t="s">
        <v>304</v>
      </c>
      <c r="C1209" s="7"/>
      <c r="D1209" s="7"/>
      <c r="E1209" s="7"/>
      <c r="F1209" s="7"/>
      <c r="G1209" s="7"/>
      <c r="H1209" s="8"/>
      <c r="I1209" s="5"/>
    </row>
    <row r="1210" spans="1:9" x14ac:dyDescent="0.2">
      <c r="A1210" s="3"/>
      <c r="B1210" s="6" t="s">
        <v>307</v>
      </c>
      <c r="C1210" s="161">
        <v>2</v>
      </c>
      <c r="D1210" s="161"/>
      <c r="E1210" s="161">
        <f>1.9+4.7+4.7+4.4+4.7+4.7+0.28+0.28+0.28+0.28</f>
        <v>26.220000000000006</v>
      </c>
      <c r="F1210" s="161"/>
      <c r="G1210" s="161">
        <v>0.1</v>
      </c>
      <c r="H1210" s="8">
        <f>ROUND(IF(PRODUCT(IF(C1210=0,1,C1210),IF(D1210=0,1,D1210),IF(E1210=0,1,E1210),IF(F1210=0,1,F1210),IF(G1210=0,1,G1210))=1,0,PRODUCT(IF(C1210=0,1,C1210),IF(D1210=0,1,D1210),IF(E1210=0,1,E1210),IF(F1210=0,1,F1210),IF(G1210=0,1,G1210))),2)</f>
        <v>5.24</v>
      </c>
      <c r="I1210" s="5"/>
    </row>
    <row r="1211" spans="1:9" x14ac:dyDescent="0.2">
      <c r="A1211" s="3"/>
      <c r="B1211" s="6" t="s">
        <v>308</v>
      </c>
      <c r="C1211" s="161">
        <v>2</v>
      </c>
      <c r="D1211" s="161"/>
      <c r="E1211" s="161">
        <f>1.9+4.7+4.7+4.4+4.7+4.7</f>
        <v>25.1</v>
      </c>
      <c r="F1211" s="161"/>
      <c r="G1211" s="161">
        <v>0.1</v>
      </c>
      <c r="H1211" s="8">
        <f>ROUND(IF(PRODUCT(IF(C1211=0,1,C1211),IF(D1211=0,1,D1211),IF(E1211=0,1,E1211),IF(F1211=0,1,F1211),IF(G1211=0,1,G1211))=1,0,PRODUCT(IF(C1211=0,1,C1211),IF(D1211=0,1,D1211),IF(E1211=0,1,E1211),IF(F1211=0,1,F1211),IF(G1211=0,1,G1211))),2)</f>
        <v>5.0199999999999996</v>
      </c>
      <c r="I1211" s="5"/>
    </row>
    <row r="1212" spans="1:9" x14ac:dyDescent="0.2">
      <c r="A1212" s="3"/>
      <c r="B1212" s="6" t="s">
        <v>309</v>
      </c>
      <c r="C1212" s="161">
        <v>2</v>
      </c>
      <c r="D1212" s="161"/>
      <c r="E1212" s="161">
        <f>0.16*4</f>
        <v>0.64</v>
      </c>
      <c r="F1212" s="161"/>
      <c r="G1212" s="161">
        <f>1.2-0.4-0.3</f>
        <v>0.49999999999999994</v>
      </c>
      <c r="H1212" s="8">
        <f>ROUND(IF(PRODUCT(IF(C1212=0,1,C1212),IF(D1212=0,1,D1212),IF(E1212=0,1,E1212),IF(F1212=0,1,F1212),IF(G1212=0,1,G1212))=1,0,PRODUCT(IF(C1212=0,1,C1212),IF(D1212=0,1,D1212),IF(E1212=0,1,E1212),IF(F1212=0,1,F1212),IF(G1212=0,1,G1212))),2)</f>
        <v>0.64</v>
      </c>
      <c r="I1212" s="5"/>
    </row>
    <row r="1213" spans="1:9" x14ac:dyDescent="0.2">
      <c r="A1213" s="3"/>
      <c r="B1213" s="6" t="s">
        <v>310</v>
      </c>
      <c r="C1213" s="161">
        <v>2</v>
      </c>
      <c r="D1213" s="161"/>
      <c r="E1213" s="161">
        <f>1.9+4.7+4.7+4.4+4.7+4.7</f>
        <v>25.1</v>
      </c>
      <c r="F1213" s="161"/>
      <c r="G1213" s="161">
        <f>1.2-0.4-0.3</f>
        <v>0.49999999999999994</v>
      </c>
      <c r="H1213" s="8">
        <f>ROUND(IF(PRODUCT(IF(C1213=0,1,C1213),IF(D1213=0,1,D1213),IF(E1213=0,1,E1213),IF(F1213=0,1,F1213),IF(G1213=0,1,G1213))=1,0,PRODUCT(IF(C1213=0,1,C1213),IF(D1213=0,1,D1213),IF(E1213=0,1,E1213),IF(F1213=0,1,F1213),IF(G1213=0,1,G1213))),2)</f>
        <v>25.1</v>
      </c>
      <c r="I1213" s="5"/>
    </row>
    <row r="1214" spans="1:9" x14ac:dyDescent="0.2">
      <c r="A1214" s="3"/>
      <c r="B1214" s="6" t="s">
        <v>311</v>
      </c>
      <c r="C1214" s="161">
        <f>2*15</f>
        <v>30</v>
      </c>
      <c r="D1214" s="161"/>
      <c r="E1214" s="161">
        <f>0.2+0.6+0.2</f>
        <v>1</v>
      </c>
      <c r="F1214" s="161"/>
      <c r="G1214" s="161">
        <v>0.2</v>
      </c>
      <c r="H1214" s="8">
        <f>ROUND(IF(PRODUCT(IF(C1214=0,1,C1214),IF(D1214=0,1,D1214),IF(E1214=0,1,E1214),IF(F1214=0,1,F1214),IF(G1214=0,1,G1214))=1,0,PRODUCT(IF(C1214=0,1,C1214),IF(D1214=0,1,D1214),IF(E1214=0,1,E1214),IF(F1214=0,1,F1214),IF(G1214=0,1,G1214))),2)</f>
        <v>6</v>
      </c>
      <c r="I1214" s="5"/>
    </row>
    <row r="1215" spans="1:9" x14ac:dyDescent="0.2">
      <c r="A1215" s="3"/>
      <c r="B1215" s="6"/>
      <c r="C1215" s="7"/>
      <c r="D1215" s="7"/>
      <c r="E1215" s="7"/>
      <c r="F1215" s="7"/>
      <c r="G1215" s="7"/>
      <c r="H1215" s="8">
        <f>ROUND(IF(PRODUCT(IF(C1215=0,1,C1215),IF(E1215=0,1,E1215),IF(F1215=0,1,F1215),IF(G1215=0,1,G1215))=1,0,PRODUCT(IF(C1215=0,1,C1215),IF(E1215=0,1,E1215),IF(F1215=0,1,F1215),IF(G1215=0,1,G1215))),2)</f>
        <v>0</v>
      </c>
      <c r="I1215" s="5"/>
    </row>
    <row r="1216" spans="1:9" x14ac:dyDescent="0.2">
      <c r="A1216" s="3"/>
      <c r="C1216" s="10"/>
      <c r="D1216" s="10"/>
      <c r="E1216" s="9"/>
      <c r="F1216" s="94" t="s">
        <v>11</v>
      </c>
      <c r="G1216" s="95" t="s">
        <v>264</v>
      </c>
      <c r="H1216" s="11">
        <f>SUM(H1210:H1214)</f>
        <v>42</v>
      </c>
      <c r="I1216" s="12" t="s">
        <v>17</v>
      </c>
    </row>
    <row r="1217" spans="1:9" ht="15" customHeight="1" x14ac:dyDescent="0.2">
      <c r="A1217" s="3" t="str">
        <f>'Orçamento Sintético'!A272</f>
        <v xml:space="preserve"> 15.6.2</v>
      </c>
      <c r="B1217" s="270" t="str">
        <f>'Orçamento Sintético'!D272</f>
        <v>ATERRO MANUAL DE VALAS COM AREIA PARA ATERRO. AF_08/2023</v>
      </c>
      <c r="C1217" s="271"/>
      <c r="D1217" s="271"/>
      <c r="E1217" s="272"/>
      <c r="I1217" s="5"/>
    </row>
    <row r="1218" spans="1:9" x14ac:dyDescent="0.2">
      <c r="A1218" s="3"/>
      <c r="B1218" s="91" t="s">
        <v>260</v>
      </c>
      <c r="C1218" s="91" t="s">
        <v>8</v>
      </c>
      <c r="D1218" s="91" t="s">
        <v>266</v>
      </c>
      <c r="E1218" s="91" t="s">
        <v>261</v>
      </c>
      <c r="F1218" s="91" t="s">
        <v>262</v>
      </c>
      <c r="G1218" s="91" t="s">
        <v>263</v>
      </c>
      <c r="H1218" s="91" t="s">
        <v>11</v>
      </c>
      <c r="I1218" s="5"/>
    </row>
    <row r="1219" spans="1:9" x14ac:dyDescent="0.2">
      <c r="A1219" s="3"/>
      <c r="B1219" s="23" t="s">
        <v>304</v>
      </c>
      <c r="C1219" s="7"/>
      <c r="D1219" s="7"/>
      <c r="E1219" s="7"/>
      <c r="F1219" s="7"/>
      <c r="G1219" s="7"/>
      <c r="H1219" s="8"/>
      <c r="I1219" s="5"/>
    </row>
    <row r="1220" spans="1:9" x14ac:dyDescent="0.2">
      <c r="A1220" s="3"/>
      <c r="B1220" s="6" t="s">
        <v>311</v>
      </c>
      <c r="C1220" s="161">
        <f>2*15</f>
        <v>30</v>
      </c>
      <c r="D1220" s="161"/>
      <c r="E1220" s="161">
        <v>0.4</v>
      </c>
      <c r="F1220" s="161">
        <v>0.1</v>
      </c>
      <c r="G1220" s="161">
        <f>0.2-0.05</f>
        <v>0.15000000000000002</v>
      </c>
      <c r="H1220" s="8">
        <f>ROUND(IF(PRODUCT(IF(C1220=0,1,C1220),IF(D1220=0,1,D1220),IF(E1220=0,1,E1220),IF(F1220=0,1,F1220),IF(G1220=0,1,G1220))=1,0,PRODUCT(IF(C1220=0,1,C1220),IF(D1220=0,1,D1220),IF(E1220=0,1,E1220),IF(F1220=0,1,F1220),IF(G1220=0,1,G1220))),2)</f>
        <v>0.18</v>
      </c>
      <c r="I1220" s="5"/>
    </row>
    <row r="1221" spans="1:9" x14ac:dyDescent="0.2">
      <c r="A1221" s="3"/>
      <c r="B1221" s="6"/>
      <c r="C1221" s="7"/>
      <c r="D1221" s="7"/>
      <c r="E1221" s="7"/>
      <c r="F1221" s="7"/>
      <c r="G1221" s="7"/>
      <c r="H1221" s="8">
        <f>ROUND(IF(PRODUCT(IF(C1221=0,1,C1221),IF(E1221=0,1,E1221),IF(F1221=0,1,F1221),IF(G1221=0,1,G1221))=1,0,PRODUCT(IF(C1221=0,1,C1221),IF(E1221=0,1,E1221),IF(F1221=0,1,F1221),IF(G1221=0,1,G1221))),2)</f>
        <v>0</v>
      </c>
      <c r="I1221" s="5"/>
    </row>
    <row r="1222" spans="1:9" x14ac:dyDescent="0.2">
      <c r="A1222" s="3"/>
      <c r="C1222" s="10"/>
      <c r="D1222" s="10"/>
      <c r="E1222" s="9"/>
      <c r="F1222" s="94" t="s">
        <v>11</v>
      </c>
      <c r="G1222" s="95" t="s">
        <v>264</v>
      </c>
      <c r="H1222" s="11">
        <f>SUM(H1220:H1220)</f>
        <v>0.18</v>
      </c>
      <c r="I1222" s="12" t="s">
        <v>24</v>
      </c>
    </row>
    <row r="1223" spans="1:9" ht="12.75" customHeight="1" x14ac:dyDescent="0.2">
      <c r="A1223" s="3" t="str">
        <f>'Orçamento Sintético'!A273</f>
        <v xml:space="preserve"> 15.6.3</v>
      </c>
      <c r="B1223" s="270" t="str">
        <f>'Orçamento Sintético'!D273</f>
        <v>LASTRO DE CONCRETO MAGRO, APLICADO EM PISOS, LAJES SOBRE SOLO OU RADIERS, ESPESSURA DE 5 CM. AF_01/2024</v>
      </c>
      <c r="C1223" s="271"/>
      <c r="D1223" s="271"/>
      <c r="E1223" s="272"/>
      <c r="I1223" s="5"/>
    </row>
    <row r="1224" spans="1:9" x14ac:dyDescent="0.2">
      <c r="A1224" s="3"/>
      <c r="B1224" s="91" t="s">
        <v>260</v>
      </c>
      <c r="C1224" s="91" t="s">
        <v>8</v>
      </c>
      <c r="D1224" s="91" t="s">
        <v>266</v>
      </c>
      <c r="E1224" s="91" t="s">
        <v>261</v>
      </c>
      <c r="F1224" s="91" t="s">
        <v>262</v>
      </c>
      <c r="G1224" s="91" t="s">
        <v>263</v>
      </c>
      <c r="H1224" s="91" t="s">
        <v>11</v>
      </c>
      <c r="I1224" s="5"/>
    </row>
    <row r="1225" spans="1:9" x14ac:dyDescent="0.2">
      <c r="A1225" s="3"/>
      <c r="B1225" s="23" t="s">
        <v>304</v>
      </c>
      <c r="C1225" s="7"/>
      <c r="D1225" s="7"/>
      <c r="E1225" s="7"/>
      <c r="F1225" s="7"/>
      <c r="G1225" s="7"/>
      <c r="H1225" s="8"/>
      <c r="I1225" s="5"/>
    </row>
    <row r="1226" spans="1:9" x14ac:dyDescent="0.2">
      <c r="A1226" s="3"/>
      <c r="B1226" s="6" t="s">
        <v>311</v>
      </c>
      <c r="C1226" s="161">
        <f>2*15</f>
        <v>30</v>
      </c>
      <c r="D1226" s="161"/>
      <c r="E1226" s="161">
        <v>0.4</v>
      </c>
      <c r="F1226" s="161">
        <v>0.1</v>
      </c>
      <c r="G1226" s="7"/>
      <c r="H1226" s="8">
        <f>ROUND(IF(PRODUCT(IF(C1226=0,1,C1226),IF(D1226=0,1,D1226),IF(E1226=0,1,E1226),IF(F1226=0,1,F1226),IF(G1226=0,1,G1226))=1,0,PRODUCT(IF(C1226=0,1,C1226),IF(D1226=0,1,D1226),IF(E1226=0,1,E1226),IF(F1226=0,1,F1226),IF(G1226=0,1,G1226))),2)</f>
        <v>1.2</v>
      </c>
      <c r="I1226" s="5"/>
    </row>
    <row r="1227" spans="1:9" x14ac:dyDescent="0.2">
      <c r="A1227" s="3"/>
      <c r="B1227" s="6"/>
      <c r="C1227" s="7"/>
      <c r="D1227" s="7"/>
      <c r="E1227" s="7"/>
      <c r="F1227" s="7"/>
      <c r="G1227" s="7"/>
      <c r="H1227" s="8">
        <f>ROUND(IF(PRODUCT(IF(C1227=0,1,C1227),IF(E1227=0,1,E1227),IF(F1227=0,1,F1227),IF(G1227=0,1,G1227))=1,0,PRODUCT(IF(C1227=0,1,C1227),IF(E1227=0,1,E1227),IF(F1227=0,1,F1227),IF(G1227=0,1,G1227))),2)</f>
        <v>0</v>
      </c>
      <c r="I1227" s="5"/>
    </row>
    <row r="1228" spans="1:9" x14ac:dyDescent="0.2">
      <c r="A1228" s="3"/>
      <c r="C1228" s="10"/>
      <c r="D1228" s="10"/>
      <c r="E1228" s="9"/>
      <c r="F1228" s="94" t="s">
        <v>11</v>
      </c>
      <c r="G1228" s="95" t="s">
        <v>264</v>
      </c>
      <c r="H1228" s="11">
        <f>SUM(H1226:H1226)</f>
        <v>1.2</v>
      </c>
      <c r="I1228" s="12" t="s">
        <v>17</v>
      </c>
    </row>
    <row r="1229" spans="1:9" x14ac:dyDescent="0.2">
      <c r="A1229" s="96" t="str">
        <f>'Orçamento Sintético'!A274</f>
        <v xml:space="preserve"> 15.7 </v>
      </c>
      <c r="B1229" s="97" t="str">
        <f>'Orçamento Sintético'!D274</f>
        <v>CHAPISCO / REBOCO</v>
      </c>
      <c r="C1229" s="273"/>
      <c r="D1229" s="274"/>
      <c r="E1229" s="274"/>
      <c r="F1229" s="274"/>
      <c r="G1229" s="274"/>
      <c r="H1229" s="274"/>
      <c r="I1229" s="275"/>
    </row>
    <row r="1230" spans="1:9" ht="24" customHeight="1" x14ac:dyDescent="0.2">
      <c r="A1230" s="3" t="str">
        <f>'Orçamento Sintético'!A275</f>
        <v xml:space="preserve"> 15.7.1 </v>
      </c>
      <c r="B1230" s="270" t="str">
        <f>'Orçamento Sintético'!D275</f>
        <v>CHAPISCO APLICADO EM ALVENARIA (COM PRESENÇA DE VÃOS) E ESTRUTURAS DE CONCRETO DE FACHADA, COM COLHER DE PEDREIRO. ARGAMASSA TRAÇO 1:3 COM PREPARO EM BETONEIRA 400L. AF_10/2022</v>
      </c>
      <c r="C1230" s="271"/>
      <c r="D1230" s="271"/>
      <c r="E1230" s="272"/>
      <c r="I1230" s="5"/>
    </row>
    <row r="1231" spans="1:9" x14ac:dyDescent="0.2">
      <c r="A1231" s="3"/>
      <c r="B1231" s="91" t="s">
        <v>260</v>
      </c>
      <c r="C1231" s="91" t="s">
        <v>8</v>
      </c>
      <c r="D1231" s="91" t="s">
        <v>266</v>
      </c>
      <c r="E1231" s="91" t="s">
        <v>261</v>
      </c>
      <c r="F1231" s="91" t="s">
        <v>262</v>
      </c>
      <c r="G1231" s="91" t="s">
        <v>263</v>
      </c>
      <c r="H1231" s="91" t="s">
        <v>11</v>
      </c>
      <c r="I1231" s="5"/>
    </row>
    <row r="1232" spans="1:9" x14ac:dyDescent="0.2">
      <c r="A1232" s="3"/>
      <c r="B1232" s="23" t="s">
        <v>304</v>
      </c>
      <c r="C1232" s="7"/>
      <c r="D1232" s="7"/>
      <c r="E1232" s="7"/>
      <c r="F1232" s="7"/>
      <c r="G1232" s="7"/>
      <c r="H1232" s="8"/>
      <c r="I1232" s="5"/>
    </row>
    <row r="1233" spans="1:9" x14ac:dyDescent="0.2">
      <c r="A1233" s="3"/>
      <c r="B1233" s="6" t="s">
        <v>312</v>
      </c>
      <c r="C1233" s="161">
        <v>2</v>
      </c>
      <c r="D1233" s="161"/>
      <c r="E1233" s="161">
        <f>12.5+15</f>
        <v>27.5</v>
      </c>
      <c r="F1233" s="161"/>
      <c r="G1233" s="161">
        <v>0.4</v>
      </c>
      <c r="H1233" s="8">
        <f t="shared" ref="H1233:H1241" si="17">ROUND(IF(PRODUCT(IF(C1233=0,1,C1233),IF(D1233=0,1,D1233),IF(E1233=0,1,E1233),IF(F1233=0,1,F1233),IF(G1233=0,1,G1233))=1,0,PRODUCT(IF(C1233=0,1,C1233),IF(D1233=0,1,D1233),IF(E1233=0,1,E1233),IF(F1233=0,1,F1233),IF(G1233=0,1,G1233))),2)</f>
        <v>22</v>
      </c>
      <c r="I1233" s="5"/>
    </row>
    <row r="1234" spans="1:9" x14ac:dyDescent="0.2">
      <c r="A1234" s="3"/>
      <c r="B1234" s="6" t="s">
        <v>313</v>
      </c>
      <c r="C1234" s="161">
        <v>2</v>
      </c>
      <c r="D1234" s="161"/>
      <c r="E1234" s="161">
        <f t="shared" ref="E1234:E1240" si="18">12.5+15</f>
        <v>27.5</v>
      </c>
      <c r="F1234" s="161">
        <v>0.4</v>
      </c>
      <c r="G1234" s="161"/>
      <c r="H1234" s="8">
        <f t="shared" si="17"/>
        <v>22</v>
      </c>
      <c r="I1234" s="5"/>
    </row>
    <row r="1235" spans="1:9" x14ac:dyDescent="0.2">
      <c r="A1235" s="3"/>
      <c r="B1235" s="6" t="s">
        <v>314</v>
      </c>
      <c r="C1235" s="161">
        <v>2</v>
      </c>
      <c r="D1235" s="161"/>
      <c r="E1235" s="161">
        <f t="shared" si="18"/>
        <v>27.5</v>
      </c>
      <c r="F1235" s="161"/>
      <c r="G1235" s="161">
        <v>0.4</v>
      </c>
      <c r="H1235" s="8">
        <f t="shared" si="17"/>
        <v>22</v>
      </c>
      <c r="I1235" s="5"/>
    </row>
    <row r="1236" spans="1:9" x14ac:dyDescent="0.2">
      <c r="A1236" s="3"/>
      <c r="B1236" s="6" t="s">
        <v>315</v>
      </c>
      <c r="C1236" s="161">
        <v>2</v>
      </c>
      <c r="D1236" s="161"/>
      <c r="E1236" s="161">
        <f t="shared" si="18"/>
        <v>27.5</v>
      </c>
      <c r="F1236" s="161">
        <v>0.4</v>
      </c>
      <c r="G1236" s="161"/>
      <c r="H1236" s="8">
        <f t="shared" si="17"/>
        <v>22</v>
      </c>
      <c r="I1236" s="5"/>
    </row>
    <row r="1237" spans="1:9" x14ac:dyDescent="0.2">
      <c r="A1237" s="3"/>
      <c r="B1237" s="6" t="s">
        <v>316</v>
      </c>
      <c r="C1237" s="161">
        <v>2</v>
      </c>
      <c r="D1237" s="161"/>
      <c r="E1237" s="161">
        <f t="shared" si="18"/>
        <v>27.5</v>
      </c>
      <c r="F1237" s="161"/>
      <c r="G1237" s="161">
        <v>0.4</v>
      </c>
      <c r="H1237" s="8">
        <f t="shared" si="17"/>
        <v>22</v>
      </c>
      <c r="I1237" s="5"/>
    </row>
    <row r="1238" spans="1:9" x14ac:dyDescent="0.2">
      <c r="A1238" s="3"/>
      <c r="B1238" s="6" t="s">
        <v>317</v>
      </c>
      <c r="C1238" s="161">
        <v>2</v>
      </c>
      <c r="D1238" s="161"/>
      <c r="E1238" s="161">
        <f t="shared" si="18"/>
        <v>27.5</v>
      </c>
      <c r="F1238" s="161">
        <v>0.4</v>
      </c>
      <c r="G1238" s="161"/>
      <c r="H1238" s="8">
        <f t="shared" si="17"/>
        <v>22</v>
      </c>
      <c r="I1238" s="5"/>
    </row>
    <row r="1239" spans="1:9" x14ac:dyDescent="0.2">
      <c r="A1239" s="3"/>
      <c r="B1239" s="6" t="s">
        <v>318</v>
      </c>
      <c r="C1239" s="161">
        <f>2*4</f>
        <v>8</v>
      </c>
      <c r="D1239" s="161">
        <f>(1.2*0.4)+(0.8*0.4)+(0.4*0.4)</f>
        <v>0.96000000000000008</v>
      </c>
      <c r="E1239" s="161"/>
      <c r="F1239" s="161"/>
      <c r="G1239" s="161"/>
      <c r="H1239" s="8">
        <f t="shared" si="17"/>
        <v>7.68</v>
      </c>
      <c r="I1239" s="5"/>
    </row>
    <row r="1240" spans="1:9" x14ac:dyDescent="0.2">
      <c r="A1240" s="3"/>
      <c r="B1240" s="6" t="s">
        <v>319</v>
      </c>
      <c r="C1240" s="161">
        <v>2</v>
      </c>
      <c r="D1240" s="161"/>
      <c r="E1240" s="161">
        <f t="shared" si="18"/>
        <v>27.5</v>
      </c>
      <c r="F1240" s="161"/>
      <c r="G1240" s="161">
        <v>1.2</v>
      </c>
      <c r="H1240" s="8">
        <f t="shared" si="17"/>
        <v>66</v>
      </c>
      <c r="I1240" s="5"/>
    </row>
    <row r="1241" spans="1:9" x14ac:dyDescent="0.2">
      <c r="A1241" s="3"/>
      <c r="B1241" s="6" t="s">
        <v>311</v>
      </c>
      <c r="C1241" s="161">
        <f>2*15</f>
        <v>30</v>
      </c>
      <c r="D1241" s="161">
        <f>(0.6*0.2)+(0.2*0.2)+(0.2*0.2)+(0.6*0.2)</f>
        <v>0.32</v>
      </c>
      <c r="E1241" s="161"/>
      <c r="F1241" s="161"/>
      <c r="G1241" s="161"/>
      <c r="H1241" s="8">
        <f t="shared" si="17"/>
        <v>9.6</v>
      </c>
      <c r="I1241" s="5"/>
    </row>
    <row r="1242" spans="1:9" x14ac:dyDescent="0.2">
      <c r="A1242" s="3"/>
      <c r="B1242" s="6"/>
      <c r="C1242" s="7"/>
      <c r="D1242" s="7"/>
      <c r="E1242" s="7"/>
      <c r="F1242" s="7"/>
      <c r="G1242" s="7"/>
      <c r="H1242" s="8">
        <f>ROUND(IF(PRODUCT(IF(C1242=0,1,C1242),IF(E1242=0,1,E1242),IF(F1242=0,1,F1242),IF(G1242=0,1,G1242))=1,0,PRODUCT(IF(C1242=0,1,C1242),IF(E1242=0,1,E1242),IF(F1242=0,1,F1242),IF(G1242=0,1,G1242))),2)</f>
        <v>0</v>
      </c>
      <c r="I1242" s="5"/>
    </row>
    <row r="1243" spans="1:9" x14ac:dyDescent="0.2">
      <c r="A1243" s="3"/>
      <c r="C1243" s="10"/>
      <c r="D1243" s="10"/>
      <c r="E1243" s="9"/>
      <c r="F1243" s="94" t="s">
        <v>11</v>
      </c>
      <c r="G1243" s="95" t="s">
        <v>264</v>
      </c>
      <c r="H1243" s="11">
        <f>SUM(H1233:H1241)</f>
        <v>215.28</v>
      </c>
      <c r="I1243" s="12" t="s">
        <v>17</v>
      </c>
    </row>
    <row r="1244" spans="1:9" ht="24.75" customHeight="1" x14ac:dyDescent="0.2">
      <c r="A1244" s="3" t="str">
        <f>'Orçamento Sintético'!A276</f>
        <v xml:space="preserve"> 15.7.2 </v>
      </c>
      <c r="B1244" s="270" t="str">
        <f>'Orçamento Sintético'!D276</f>
        <v>EMBOÇO OU MASSA ÚNICA EM ARGAMASSA TRAÇO 1:2:8, PREPARO MANUAL, APLICADA MANUALMENTE EM PANOS DE FACHADA COM PRESENÇA DE VÃOS, ESPESSURA DE 25 MM. AF_08/2022</v>
      </c>
      <c r="C1244" s="271"/>
      <c r="D1244" s="271"/>
      <c r="E1244" s="272"/>
      <c r="I1244" s="5"/>
    </row>
    <row r="1245" spans="1:9" x14ac:dyDescent="0.2">
      <c r="A1245" s="3"/>
      <c r="B1245" s="91" t="s">
        <v>260</v>
      </c>
      <c r="C1245" s="91" t="s">
        <v>8</v>
      </c>
      <c r="D1245" s="91" t="s">
        <v>266</v>
      </c>
      <c r="E1245" s="91" t="s">
        <v>261</v>
      </c>
      <c r="F1245" s="91" t="s">
        <v>262</v>
      </c>
      <c r="G1245" s="91" t="s">
        <v>263</v>
      </c>
      <c r="H1245" s="91" t="s">
        <v>11</v>
      </c>
      <c r="I1245" s="5"/>
    </row>
    <row r="1246" spans="1:9" x14ac:dyDescent="0.2">
      <c r="A1246" s="3"/>
      <c r="B1246" s="6"/>
      <c r="C1246" s="7"/>
      <c r="D1246" s="7">
        <f>H1243</f>
        <v>215.28</v>
      </c>
      <c r="E1246" s="7"/>
      <c r="F1246" s="7"/>
      <c r="G1246" s="7"/>
      <c r="H1246" s="8">
        <f>ROUND(IF(PRODUCT(IF(C1246=0,1,C1246),IF(D1246=0,1,D1246),IF(E1246=0,1,E1246),IF(F1246=0,1,F1246),IF(G1246=0,1,G1246))=1,0,PRODUCT(IF(C1246=0,1,C1246),IF(D1246=0,1,D1246),IF(E1246=0,1,E1246),IF(F1246=0,1,F1246),IF(G1246=0,1,G1246))),2)</f>
        <v>215.28</v>
      </c>
      <c r="I1246" s="5"/>
    </row>
    <row r="1247" spans="1:9" x14ac:dyDescent="0.2">
      <c r="A1247" s="3"/>
      <c r="B1247" s="6"/>
      <c r="C1247" s="7"/>
      <c r="D1247" s="7"/>
      <c r="E1247" s="7"/>
      <c r="F1247" s="7"/>
      <c r="G1247" s="7"/>
      <c r="H1247" s="8">
        <f>ROUND(IF(PRODUCT(IF(C1247=0,1,C1247),IF(E1247=0,1,E1247),IF(F1247=0,1,F1247),IF(G1247=0,1,G1247))=1,0,PRODUCT(IF(C1247=0,1,C1247),IF(E1247=0,1,E1247),IF(F1247=0,1,F1247),IF(G1247=0,1,G1247))),2)</f>
        <v>0</v>
      </c>
      <c r="I1247" s="5"/>
    </row>
    <row r="1248" spans="1:9" x14ac:dyDescent="0.2">
      <c r="A1248" s="3"/>
      <c r="C1248" s="10"/>
      <c r="D1248" s="10"/>
      <c r="E1248" s="9"/>
      <c r="F1248" s="94" t="s">
        <v>11</v>
      </c>
      <c r="G1248" s="95" t="s">
        <v>264</v>
      </c>
      <c r="H1248" s="11">
        <f>SUM(H1246:H1246)</f>
        <v>215.28</v>
      </c>
      <c r="I1248" s="12" t="s">
        <v>17</v>
      </c>
    </row>
    <row r="1249" spans="1:9" ht="15" customHeight="1" x14ac:dyDescent="0.2">
      <c r="A1249" s="96" t="str">
        <f>'Orçamento Sintético'!A277</f>
        <v>15.8</v>
      </c>
      <c r="B1249" s="97" t="str">
        <f>'Orçamento Sintético'!D277</f>
        <v>PINTURA</v>
      </c>
      <c r="C1249" s="273"/>
      <c r="D1249" s="274"/>
      <c r="E1249" s="274"/>
      <c r="F1249" s="274"/>
      <c r="G1249" s="274"/>
      <c r="H1249" s="274"/>
      <c r="I1249" s="275"/>
    </row>
    <row r="1250" spans="1:9" ht="14.25" customHeight="1" x14ac:dyDescent="0.2">
      <c r="A1250" s="3" t="str">
        <f>'Orçamento Sintético'!A278</f>
        <v>15.8.1</v>
      </c>
      <c r="B1250" s="270" t="str">
        <f>'Orçamento Sintético'!D278</f>
        <v>FUNDO SELADOR ACRÍLICO, APLICAÇÃO MANUAL EM PAREDE, UMA DEMÃO. AF_04/2023</v>
      </c>
      <c r="C1250" s="271"/>
      <c r="D1250" s="271"/>
      <c r="E1250" s="272"/>
      <c r="I1250" s="5"/>
    </row>
    <row r="1251" spans="1:9" x14ac:dyDescent="0.2">
      <c r="A1251" s="3"/>
      <c r="B1251" s="91" t="s">
        <v>260</v>
      </c>
      <c r="C1251" s="91" t="s">
        <v>8</v>
      </c>
      <c r="D1251" s="91" t="s">
        <v>266</v>
      </c>
      <c r="E1251" s="91" t="s">
        <v>261</v>
      </c>
      <c r="F1251" s="91" t="s">
        <v>262</v>
      </c>
      <c r="G1251" s="91" t="s">
        <v>263</v>
      </c>
      <c r="H1251" s="91" t="s">
        <v>11</v>
      </c>
      <c r="I1251" s="5"/>
    </row>
    <row r="1252" spans="1:9" x14ac:dyDescent="0.2">
      <c r="A1252" s="3"/>
      <c r="B1252" s="23" t="s">
        <v>304</v>
      </c>
      <c r="C1252" s="7"/>
      <c r="D1252" s="7"/>
      <c r="E1252" s="7"/>
      <c r="F1252" s="7"/>
      <c r="G1252" s="7"/>
      <c r="H1252" s="8"/>
      <c r="I1252" s="5"/>
    </row>
    <row r="1253" spans="1:9" x14ac:dyDescent="0.2">
      <c r="A1253" s="3"/>
      <c r="B1253" s="6" t="s">
        <v>312</v>
      </c>
      <c r="C1253" s="161">
        <v>2</v>
      </c>
      <c r="D1253" s="161"/>
      <c r="E1253" s="161">
        <f>12.5+15</f>
        <v>27.5</v>
      </c>
      <c r="F1253" s="161"/>
      <c r="G1253" s="161">
        <v>0.4</v>
      </c>
      <c r="H1253" s="8">
        <f t="shared" ref="H1253:H1261" si="19">ROUND(IF(PRODUCT(IF(C1253=0,1,C1253),IF(D1253=0,1,D1253),IF(E1253=0,1,E1253),IF(F1253=0,1,F1253),IF(G1253=0,1,G1253))=1,0,PRODUCT(IF(C1253=0,1,C1253),IF(D1253=0,1,D1253),IF(E1253=0,1,E1253),IF(F1253=0,1,F1253),IF(G1253=0,1,G1253))),2)</f>
        <v>22</v>
      </c>
      <c r="I1253" s="5"/>
    </row>
    <row r="1254" spans="1:9" x14ac:dyDescent="0.2">
      <c r="A1254" s="3"/>
      <c r="B1254" s="6" t="s">
        <v>313</v>
      </c>
      <c r="C1254" s="161">
        <v>2</v>
      </c>
      <c r="D1254" s="161"/>
      <c r="E1254" s="161">
        <f t="shared" ref="E1254:E1260" si="20">12.5+15</f>
        <v>27.5</v>
      </c>
      <c r="F1254" s="161">
        <v>0.4</v>
      </c>
      <c r="G1254" s="161"/>
      <c r="H1254" s="8">
        <f t="shared" si="19"/>
        <v>22</v>
      </c>
      <c r="I1254" s="5"/>
    </row>
    <row r="1255" spans="1:9" x14ac:dyDescent="0.2">
      <c r="A1255" s="3"/>
      <c r="B1255" s="6" t="s">
        <v>314</v>
      </c>
      <c r="C1255" s="161">
        <v>2</v>
      </c>
      <c r="D1255" s="161"/>
      <c r="E1255" s="161">
        <f t="shared" si="20"/>
        <v>27.5</v>
      </c>
      <c r="F1255" s="161"/>
      <c r="G1255" s="161">
        <v>0.4</v>
      </c>
      <c r="H1255" s="8">
        <f t="shared" si="19"/>
        <v>22</v>
      </c>
      <c r="I1255" s="5"/>
    </row>
    <row r="1256" spans="1:9" x14ac:dyDescent="0.2">
      <c r="A1256" s="3"/>
      <c r="B1256" s="6" t="s">
        <v>315</v>
      </c>
      <c r="C1256" s="161">
        <v>2</v>
      </c>
      <c r="D1256" s="161"/>
      <c r="E1256" s="161">
        <f t="shared" si="20"/>
        <v>27.5</v>
      </c>
      <c r="F1256" s="161">
        <v>0.4</v>
      </c>
      <c r="G1256" s="161"/>
      <c r="H1256" s="8">
        <f t="shared" si="19"/>
        <v>22</v>
      </c>
      <c r="I1256" s="5"/>
    </row>
    <row r="1257" spans="1:9" x14ac:dyDescent="0.2">
      <c r="A1257" s="3"/>
      <c r="B1257" s="6" t="s">
        <v>316</v>
      </c>
      <c r="C1257" s="161">
        <v>2</v>
      </c>
      <c r="D1257" s="161"/>
      <c r="E1257" s="161">
        <f t="shared" si="20"/>
        <v>27.5</v>
      </c>
      <c r="F1257" s="161"/>
      <c r="G1257" s="161">
        <v>0.4</v>
      </c>
      <c r="H1257" s="8">
        <f t="shared" si="19"/>
        <v>22</v>
      </c>
      <c r="I1257" s="5"/>
    </row>
    <row r="1258" spans="1:9" x14ac:dyDescent="0.2">
      <c r="A1258" s="3"/>
      <c r="B1258" s="6" t="s">
        <v>317</v>
      </c>
      <c r="C1258" s="161">
        <v>2</v>
      </c>
      <c r="D1258" s="161"/>
      <c r="E1258" s="161">
        <f t="shared" si="20"/>
        <v>27.5</v>
      </c>
      <c r="F1258" s="161">
        <v>0.4</v>
      </c>
      <c r="G1258" s="161"/>
      <c r="H1258" s="8">
        <f t="shared" si="19"/>
        <v>22</v>
      </c>
      <c r="I1258" s="5"/>
    </row>
    <row r="1259" spans="1:9" x14ac:dyDescent="0.2">
      <c r="A1259" s="3"/>
      <c r="B1259" s="6" t="s">
        <v>318</v>
      </c>
      <c r="C1259" s="161">
        <f>2*4</f>
        <v>8</v>
      </c>
      <c r="D1259" s="161">
        <f>(1.2*0.4)+(0.8*0.4)+(0.4*0.4)</f>
        <v>0.96000000000000008</v>
      </c>
      <c r="E1259" s="161"/>
      <c r="F1259" s="161"/>
      <c r="G1259" s="161"/>
      <c r="H1259" s="8">
        <f t="shared" si="19"/>
        <v>7.68</v>
      </c>
      <c r="I1259" s="5"/>
    </row>
    <row r="1260" spans="1:9" x14ac:dyDescent="0.2">
      <c r="A1260" s="3"/>
      <c r="B1260" s="6" t="s">
        <v>319</v>
      </c>
      <c r="C1260" s="161">
        <v>2</v>
      </c>
      <c r="D1260" s="161"/>
      <c r="E1260" s="161">
        <f t="shared" si="20"/>
        <v>27.5</v>
      </c>
      <c r="F1260" s="161"/>
      <c r="G1260" s="161">
        <v>1.2</v>
      </c>
      <c r="H1260" s="8">
        <f t="shared" si="19"/>
        <v>66</v>
      </c>
      <c r="I1260" s="5"/>
    </row>
    <row r="1261" spans="1:9" x14ac:dyDescent="0.2">
      <c r="A1261" s="3"/>
      <c r="B1261" s="6" t="s">
        <v>311</v>
      </c>
      <c r="C1261" s="161">
        <f>2*15</f>
        <v>30</v>
      </c>
      <c r="D1261" s="161">
        <f>(0.6*0.2)+(0.2*0.2)+(0.2*0.2)+(0.6*0.2)</f>
        <v>0.32</v>
      </c>
      <c r="E1261" s="161"/>
      <c r="F1261" s="161"/>
      <c r="G1261" s="161"/>
      <c r="H1261" s="8">
        <f t="shared" si="19"/>
        <v>9.6</v>
      </c>
      <c r="I1261" s="5"/>
    </row>
    <row r="1262" spans="1:9" x14ac:dyDescent="0.2">
      <c r="A1262" s="3"/>
      <c r="B1262" s="6"/>
      <c r="C1262" s="7"/>
      <c r="D1262" s="7"/>
      <c r="E1262" s="7"/>
      <c r="F1262" s="7"/>
      <c r="G1262" s="7"/>
      <c r="H1262" s="8">
        <f>ROUND(IF(PRODUCT(IF(C1262=0,1,C1262),IF(E1262=0,1,E1262),IF(F1262=0,1,F1262),IF(G1262=0,1,G1262))=1,0,PRODUCT(IF(C1262=0,1,C1262),IF(E1262=0,1,E1262),IF(F1262=0,1,F1262),IF(G1262=0,1,G1262))),2)</f>
        <v>0</v>
      </c>
      <c r="I1262" s="5"/>
    </row>
    <row r="1263" spans="1:9" x14ac:dyDescent="0.2">
      <c r="A1263" s="3"/>
      <c r="C1263" s="10"/>
      <c r="D1263" s="10"/>
      <c r="E1263" s="9"/>
      <c r="F1263" s="94" t="s">
        <v>11</v>
      </c>
      <c r="G1263" s="95" t="s">
        <v>264</v>
      </c>
      <c r="H1263" s="11">
        <f>SUM(H1253:H1261)</f>
        <v>215.28</v>
      </c>
      <c r="I1263" s="12" t="s">
        <v>17</v>
      </c>
    </row>
    <row r="1264" spans="1:9" ht="14.25" customHeight="1" x14ac:dyDescent="0.2">
      <c r="A1264" s="3" t="str">
        <f>'Orçamento Sintético'!A279</f>
        <v>15.8.2</v>
      </c>
      <c r="B1264" s="270" t="str">
        <f>'Orçamento Sintético'!D279</f>
        <v>APLICAÇÃO MANUAL DE MASSA ACRÍLICA EM PAREDES EXTERNAS DE CASAS, DUAS DEMÃOS. AF_03/2024</v>
      </c>
      <c r="C1264" s="271"/>
      <c r="D1264" s="271"/>
      <c r="E1264" s="272"/>
      <c r="I1264" s="5"/>
    </row>
    <row r="1265" spans="1:11" x14ac:dyDescent="0.2">
      <c r="A1265" s="3"/>
      <c r="B1265" s="91" t="s">
        <v>260</v>
      </c>
      <c r="C1265" s="91" t="s">
        <v>8</v>
      </c>
      <c r="D1265" s="91" t="s">
        <v>266</v>
      </c>
      <c r="E1265" s="91" t="s">
        <v>261</v>
      </c>
      <c r="F1265" s="91" t="s">
        <v>262</v>
      </c>
      <c r="G1265" s="91" t="s">
        <v>263</v>
      </c>
      <c r="H1265" s="91" t="s">
        <v>11</v>
      </c>
      <c r="I1265" s="5"/>
    </row>
    <row r="1266" spans="1:11" x14ac:dyDescent="0.2">
      <c r="A1266" s="3"/>
      <c r="B1266" s="6"/>
      <c r="C1266" s="7"/>
      <c r="D1266" s="7">
        <f>H1263</f>
        <v>215.28</v>
      </c>
      <c r="E1266" s="161"/>
      <c r="F1266" s="161"/>
      <c r="G1266" s="161"/>
      <c r="H1266" s="8">
        <f>ROUND(IF(PRODUCT(IF(C1266=0,1,C1266),IF(D1266=0,1,D1266),IF(E1266=0,1,E1266),IF(F1266=0,1,F1266),IF(G1266=0,1,G1266))=1,0,PRODUCT(IF(C1266=0,1,C1266),IF(D1266=0,1,D1266),IF(E1266=0,1,E1266),IF(F1266=0,1,F1266),IF(G1266=0,1,G1266))),2)</f>
        <v>215.28</v>
      </c>
      <c r="I1266" s="5"/>
      <c r="J1266" s="19"/>
      <c r="K1266" s="19"/>
    </row>
    <row r="1267" spans="1:11" x14ac:dyDescent="0.2">
      <c r="A1267" s="3"/>
      <c r="B1267" s="6"/>
      <c r="C1267" s="7"/>
      <c r="D1267" s="7"/>
      <c r="E1267" s="7"/>
      <c r="F1267" s="7"/>
      <c r="G1267" s="7"/>
      <c r="H1267" s="8">
        <f>ROUND(IF(PRODUCT(IF(C1267=0,1,C1267),IF(E1267=0,1,E1267),IF(F1267=0,1,F1267),IF(G1267=0,1,G1267))=1,0,PRODUCT(IF(C1267=0,1,C1267),IF(E1267=0,1,E1267),IF(F1267=0,1,F1267),IF(G1267=0,1,G1267))),2)</f>
        <v>0</v>
      </c>
      <c r="I1267" s="5"/>
    </row>
    <row r="1268" spans="1:11" x14ac:dyDescent="0.2">
      <c r="A1268" s="3"/>
      <c r="C1268" s="10"/>
      <c r="D1268" s="10"/>
      <c r="E1268" s="9"/>
      <c r="F1268" s="94" t="s">
        <v>11</v>
      </c>
      <c r="G1268" s="95" t="s">
        <v>264</v>
      </c>
      <c r="H1268" s="11">
        <f>SUM(H1266:H1267)</f>
        <v>215.28</v>
      </c>
      <c r="I1268" s="12" t="s">
        <v>17</v>
      </c>
    </row>
    <row r="1269" spans="1:11" ht="12.75" customHeight="1" x14ac:dyDescent="0.2">
      <c r="A1269" s="3" t="str">
        <f>'Orçamento Sintético'!A280</f>
        <v>15.8.3</v>
      </c>
      <c r="B1269" s="270" t="str">
        <f>'Orçamento Sintético'!D280</f>
        <v>APLICAÇÃO MANUAL DE TINTA LÁTEX ACRÍLICA EM PAREDE EXTERNAS DE CASAS, DUAS DEMÃOS. AF_03/2024</v>
      </c>
      <c r="C1269" s="271"/>
      <c r="D1269" s="271"/>
      <c r="E1269" s="272"/>
      <c r="I1269" s="5"/>
    </row>
    <row r="1270" spans="1:11" x14ac:dyDescent="0.2">
      <c r="A1270" s="3"/>
      <c r="B1270" s="91" t="s">
        <v>260</v>
      </c>
      <c r="C1270" s="91" t="s">
        <v>8</v>
      </c>
      <c r="D1270" s="91" t="s">
        <v>266</v>
      </c>
      <c r="E1270" s="91" t="s">
        <v>261</v>
      </c>
      <c r="F1270" s="91" t="s">
        <v>262</v>
      </c>
      <c r="G1270" s="91" t="s">
        <v>263</v>
      </c>
      <c r="H1270" s="91" t="s">
        <v>11</v>
      </c>
      <c r="I1270" s="5"/>
    </row>
    <row r="1271" spans="1:11" x14ac:dyDescent="0.2">
      <c r="A1271" s="3"/>
      <c r="B1271" s="6"/>
      <c r="C1271" s="7"/>
      <c r="D1271" s="161">
        <f>H1263</f>
        <v>215.28</v>
      </c>
      <c r="E1271" s="7"/>
      <c r="F1271" s="7"/>
      <c r="G1271" s="7"/>
      <c r="H1271" s="8">
        <f>ROUND(IF(PRODUCT(IF(C1271=0,1,C1271),IF(D1271=0,1,D1271),IF(E1271=0,1,E1271),IF(F1271=0,1,F1271),IF(G1271=0,1,G1271))=1,0,PRODUCT(IF(C1271=0,1,C1271),IF(D1271=0,1,D1271),IF(E1271=0,1,E1271),IF(F1271=0,1,F1271),IF(G1271=0,1,G1271))),2)</f>
        <v>215.28</v>
      </c>
      <c r="I1271" s="5"/>
    </row>
    <row r="1272" spans="1:11" x14ac:dyDescent="0.2">
      <c r="A1272" s="3"/>
      <c r="B1272" s="6"/>
      <c r="C1272" s="7"/>
      <c r="D1272" s="7"/>
      <c r="E1272" s="7"/>
      <c r="F1272" s="7"/>
      <c r="G1272" s="7"/>
      <c r="H1272" s="8">
        <f>ROUND(IF(PRODUCT(IF(C1272=0,1,C1272),IF(E1272=0,1,E1272),IF(F1272=0,1,F1272),IF(G1272=0,1,G1272))=1,0,PRODUCT(IF(C1272=0,1,C1272),IF(E1272=0,1,E1272),IF(F1272=0,1,F1272),IF(G1272=0,1,G1272))),2)</f>
        <v>0</v>
      </c>
      <c r="I1272" s="5"/>
    </row>
    <row r="1273" spans="1:11" x14ac:dyDescent="0.2">
      <c r="A1273" s="3"/>
      <c r="C1273" s="10"/>
      <c r="D1273" s="10"/>
      <c r="E1273" s="9"/>
      <c r="F1273" s="94" t="s">
        <v>11</v>
      </c>
      <c r="G1273" s="95" t="s">
        <v>264</v>
      </c>
      <c r="H1273" s="11">
        <f>SUM(H1271:H1271)</f>
        <v>215.28</v>
      </c>
      <c r="I1273" s="12" t="s">
        <v>17</v>
      </c>
    </row>
    <row r="1274" spans="1:11" ht="25.5" x14ac:dyDescent="0.2">
      <c r="A1274" s="89" t="str">
        <f>'Orçamento Sintético'!A281</f>
        <v>16.0</v>
      </c>
      <c r="B1274" s="90" t="str">
        <f>'Orçamento Sintético'!D281</f>
        <v>MURO DE ARRIMO / MURO EXTERNO / MURETA DO GRADIL</v>
      </c>
      <c r="C1274" s="273"/>
      <c r="D1274" s="274"/>
      <c r="E1274" s="274"/>
      <c r="F1274" s="274"/>
      <c r="G1274" s="274"/>
      <c r="H1274" s="274"/>
      <c r="I1274" s="275"/>
    </row>
    <row r="1275" spans="1:11" x14ac:dyDescent="0.2">
      <c r="A1275" s="96" t="str">
        <f>'Orçamento Sintético'!A282</f>
        <v>16.1</v>
      </c>
      <c r="B1275" s="97" t="str">
        <f>'Orçamento Sintético'!D282</f>
        <v>FUNDAÇÕES</v>
      </c>
      <c r="C1275" s="273"/>
      <c r="D1275" s="274"/>
      <c r="E1275" s="274"/>
      <c r="F1275" s="274"/>
      <c r="G1275" s="274"/>
      <c r="H1275" s="274"/>
      <c r="I1275" s="275"/>
    </row>
    <row r="1276" spans="1:11" ht="24.75" customHeight="1" x14ac:dyDescent="0.2">
      <c r="A1276" s="3" t="str">
        <f>'Orçamento Sintético'!A283</f>
        <v>16.1.1</v>
      </c>
      <c r="B1276" s="270" t="str">
        <f>'Orçamento Sintético'!D283</f>
        <v>ESCAVAÇÃO MECANIZADA PARA BLOCO DE COROAMENTO OU SAPATA COM RETROESCAVADEIRA (INCLUINDO ESCAVAÇÃO PARA COLOCAÇÃO DE FÔRMAS). AF_01/2024</v>
      </c>
      <c r="C1276" s="271"/>
      <c r="D1276" s="271"/>
      <c r="E1276" s="272"/>
      <c r="I1276" s="5"/>
    </row>
    <row r="1277" spans="1:11" x14ac:dyDescent="0.2">
      <c r="A1277" s="3"/>
      <c r="B1277" s="91" t="s">
        <v>260</v>
      </c>
      <c r="C1277" s="91" t="s">
        <v>8</v>
      </c>
      <c r="D1277" s="91" t="s">
        <v>266</v>
      </c>
      <c r="E1277" s="91" t="s">
        <v>261</v>
      </c>
      <c r="F1277" s="91" t="s">
        <v>262</v>
      </c>
      <c r="G1277" s="91" t="s">
        <v>263</v>
      </c>
      <c r="H1277" s="91" t="s">
        <v>11</v>
      </c>
      <c r="I1277" s="5"/>
    </row>
    <row r="1278" spans="1:11" x14ac:dyDescent="0.2">
      <c r="A1278" s="3"/>
      <c r="B1278" s="23" t="s">
        <v>973</v>
      </c>
      <c r="C1278" s="198"/>
      <c r="D1278" s="198"/>
      <c r="E1278" s="198"/>
      <c r="F1278" s="198"/>
      <c r="G1278" s="198"/>
      <c r="H1278" s="8"/>
      <c r="I1278" s="5"/>
    </row>
    <row r="1279" spans="1:11" x14ac:dyDescent="0.2">
      <c r="A1279" s="3"/>
      <c r="B1279" s="6" t="s">
        <v>778</v>
      </c>
      <c r="C1279" s="7">
        <v>37</v>
      </c>
      <c r="D1279" s="161"/>
      <c r="E1279" s="161">
        <f>0.5+0.2+0.2</f>
        <v>0.89999999999999991</v>
      </c>
      <c r="F1279" s="161">
        <f>0.5+0.2+0.2</f>
        <v>0.89999999999999991</v>
      </c>
      <c r="G1279" s="161">
        <f>0.3+0.05+1.2</f>
        <v>1.5499999999999998</v>
      </c>
      <c r="H1279" s="8">
        <f>ROUND(IF(PRODUCT(IF(C1279=0,1,C1279),IF(D1279=0,1,D1279),IF(E1279=0,1,E1279),IF(F1279=0,1,F1279),IF(G1279=0,1,G1279))=1,0,PRODUCT(IF(C1279=0,1,C1279),IF(D1279=0,1,D1279),IF(E1279=0,1,E1279),IF(F1279=0,1,F1279),IF(G1279=0,1,G1279))),2)</f>
        <v>46.45</v>
      </c>
      <c r="I1279" s="5"/>
    </row>
    <row r="1280" spans="1:11" x14ac:dyDescent="0.2">
      <c r="A1280" s="3"/>
      <c r="B1280" s="6"/>
      <c r="C1280" s="198"/>
      <c r="D1280" s="198"/>
      <c r="E1280" s="198"/>
      <c r="F1280" s="198"/>
      <c r="G1280" s="198"/>
      <c r="H1280" s="8"/>
      <c r="I1280" s="5"/>
    </row>
    <row r="1281" spans="1:9" x14ac:dyDescent="0.2">
      <c r="A1281" s="3"/>
      <c r="B1281" s="23" t="s">
        <v>777</v>
      </c>
      <c r="C1281" s="198"/>
      <c r="D1281" s="198"/>
      <c r="E1281" s="198"/>
      <c r="F1281" s="198"/>
      <c r="G1281" s="198"/>
      <c r="H1281" s="8"/>
      <c r="I1281" s="5"/>
    </row>
    <row r="1282" spans="1:9" x14ac:dyDescent="0.2">
      <c r="A1282" s="3"/>
      <c r="B1282" s="6" t="s">
        <v>778</v>
      </c>
      <c r="C1282" s="161">
        <v>8</v>
      </c>
      <c r="D1282" s="161"/>
      <c r="E1282" s="161">
        <f>0.5+0.2+0.2</f>
        <v>0.89999999999999991</v>
      </c>
      <c r="F1282" s="161">
        <f>0.5+0.2+0.2</f>
        <v>0.89999999999999991</v>
      </c>
      <c r="G1282" s="161">
        <f>0.3+0.05+1.2</f>
        <v>1.5499999999999998</v>
      </c>
      <c r="H1282" s="8">
        <f>ROUND(IF(PRODUCT(IF(C1282=0,1,C1282),IF(D1282=0,1,D1282),IF(E1282=0,1,E1282),IF(F1282=0,1,F1282),IF(G1282=0,1,G1282))=1,0,PRODUCT(IF(C1282=0,1,C1282),IF(D1282=0,1,D1282),IF(E1282=0,1,E1282),IF(F1282=0,1,F1282),IF(G1282=0,1,G1282))),2)</f>
        <v>10.039999999999999</v>
      </c>
      <c r="I1282" s="5"/>
    </row>
    <row r="1283" spans="1:9" x14ac:dyDescent="0.2">
      <c r="A1283" s="3"/>
      <c r="B1283" s="6"/>
      <c r="C1283" s="7"/>
      <c r="D1283" s="7"/>
      <c r="E1283" s="7"/>
      <c r="F1283" s="7"/>
      <c r="G1283" s="7"/>
      <c r="H1283" s="8">
        <f>ROUND(IF(PRODUCT(IF(C1283=0,1,C1283),IF(E1283=0,1,E1283),IF(F1283=0,1,F1283),IF(G1283=0,1,G1283))=1,0,PRODUCT(IF(C1283=0,1,C1283),IF(E1283=0,1,E1283),IF(F1283=0,1,F1283),IF(G1283=0,1,G1283))),2)</f>
        <v>0</v>
      </c>
      <c r="I1283" s="5"/>
    </row>
    <row r="1284" spans="1:9" x14ac:dyDescent="0.2">
      <c r="A1284" s="3"/>
      <c r="C1284" s="10"/>
      <c r="D1284" s="10"/>
      <c r="E1284" s="9"/>
      <c r="F1284" s="94" t="s">
        <v>11</v>
      </c>
      <c r="G1284" s="95" t="s">
        <v>264</v>
      </c>
      <c r="H1284" s="11">
        <f>SUM(H1278:H1283)</f>
        <v>56.49</v>
      </c>
      <c r="I1284" s="12" t="s">
        <v>24</v>
      </c>
    </row>
    <row r="1285" spans="1:9" ht="14.25" customHeight="1" x14ac:dyDescent="0.2">
      <c r="A1285" s="3" t="str">
        <f>'Orçamento Sintético'!A284</f>
        <v>16.1.2</v>
      </c>
      <c r="B1285" s="270" t="str">
        <f>'Orçamento Sintético'!D284</f>
        <v>PREPARO DE FUNDO DE VALA COM LARGURA MENOR QUE 1,5 M (ACERTO DO SOLO NATURAL). AF_08/2020</v>
      </c>
      <c r="C1285" s="271"/>
      <c r="D1285" s="271"/>
      <c r="E1285" s="272"/>
      <c r="I1285" s="5"/>
    </row>
    <row r="1286" spans="1:9" x14ac:dyDescent="0.2">
      <c r="A1286" s="3"/>
      <c r="B1286" s="91" t="s">
        <v>260</v>
      </c>
      <c r="C1286" s="91" t="s">
        <v>8</v>
      </c>
      <c r="D1286" s="91" t="s">
        <v>266</v>
      </c>
      <c r="E1286" s="91" t="s">
        <v>261</v>
      </c>
      <c r="F1286" s="91" t="s">
        <v>262</v>
      </c>
      <c r="G1286" s="91" t="s">
        <v>263</v>
      </c>
      <c r="H1286" s="91" t="s">
        <v>11</v>
      </c>
      <c r="I1286" s="5"/>
    </row>
    <row r="1287" spans="1:9" x14ac:dyDescent="0.2">
      <c r="A1287" s="3"/>
      <c r="B1287" s="23" t="s">
        <v>973</v>
      </c>
      <c r="C1287" s="198"/>
      <c r="D1287" s="198"/>
      <c r="E1287" s="198"/>
      <c r="F1287" s="198"/>
      <c r="G1287" s="7"/>
      <c r="H1287" s="8"/>
      <c r="I1287" s="5"/>
    </row>
    <row r="1288" spans="1:9" x14ac:dyDescent="0.2">
      <c r="A1288" s="3"/>
      <c r="B1288" s="6" t="s">
        <v>721</v>
      </c>
      <c r="C1288" s="7">
        <v>37</v>
      </c>
      <c r="D1288" s="161"/>
      <c r="E1288" s="161">
        <f>0.5+0.2+0.2</f>
        <v>0.89999999999999991</v>
      </c>
      <c r="F1288" s="161">
        <f>0.5+0.2+0.2</f>
        <v>0.89999999999999991</v>
      </c>
      <c r="G1288" s="161"/>
      <c r="H1288" s="8">
        <f>ROUND(IF(PRODUCT(IF(C1288=0,1,C1288),IF(D1288=0,1,D1288),IF(E1288=0,1,E1288),IF(F1288=0,1,F1288),IF(G1288=0,1,G1288))=1,0,PRODUCT(IF(C1288=0,1,C1288),IF(D1288=0,1,D1288),IF(E1288=0,1,E1288),IF(F1288=0,1,F1288),IF(G1288=0,1,G1288))),2)</f>
        <v>29.97</v>
      </c>
      <c r="I1288" s="5"/>
    </row>
    <row r="1289" spans="1:9" x14ac:dyDescent="0.2">
      <c r="A1289" s="3"/>
      <c r="B1289" s="6"/>
      <c r="C1289" s="198"/>
      <c r="D1289" s="198"/>
      <c r="E1289" s="198"/>
      <c r="F1289" s="198"/>
      <c r="G1289" s="198"/>
      <c r="H1289" s="8"/>
      <c r="I1289" s="5"/>
    </row>
    <row r="1290" spans="1:9" x14ac:dyDescent="0.2">
      <c r="A1290" s="3"/>
      <c r="B1290" s="23" t="s">
        <v>777</v>
      </c>
      <c r="C1290" s="198"/>
      <c r="D1290" s="198"/>
      <c r="E1290" s="198"/>
      <c r="F1290" s="198"/>
      <c r="G1290" s="198"/>
      <c r="H1290" s="8"/>
      <c r="I1290" s="5"/>
    </row>
    <row r="1291" spans="1:9" x14ac:dyDescent="0.2">
      <c r="A1291" s="3"/>
      <c r="B1291" s="6" t="s">
        <v>778</v>
      </c>
      <c r="C1291" s="161">
        <v>8</v>
      </c>
      <c r="D1291" s="161"/>
      <c r="E1291" s="161">
        <f>0.5+0.2+0.2</f>
        <v>0.89999999999999991</v>
      </c>
      <c r="F1291" s="161">
        <f>0.5+0.2+0.2</f>
        <v>0.89999999999999991</v>
      </c>
      <c r="G1291" s="161"/>
      <c r="H1291" s="8">
        <f>ROUND(IF(PRODUCT(IF(C1291=0,1,C1291),IF(D1291=0,1,D1291),IF(E1291=0,1,E1291),IF(F1291=0,1,F1291),IF(G1291=0,1,G1291))=1,0,PRODUCT(IF(C1291=0,1,C1291),IF(D1291=0,1,D1291),IF(E1291=0,1,E1291),IF(F1291=0,1,F1291),IF(G1291=0,1,G1291))),2)</f>
        <v>6.48</v>
      </c>
      <c r="I1291" s="5"/>
    </row>
    <row r="1292" spans="1:9" x14ac:dyDescent="0.2">
      <c r="A1292" s="3"/>
      <c r="B1292" s="6"/>
      <c r="C1292" s="161"/>
      <c r="D1292" s="161"/>
      <c r="E1292" s="161"/>
      <c r="F1292" s="161"/>
      <c r="G1292" s="7"/>
      <c r="H1292" s="8">
        <f>ROUND(IF(PRODUCT(IF(C1292=0,1,C1292),IF(E1292=0,1,E1292),IF(F1292=0,1,F1292),IF(G1292=0,1,G1292))=1,0,PRODUCT(IF(C1292=0,1,C1292),IF(E1292=0,1,E1292),IF(F1292=0,1,F1292),IF(G1292=0,1,G1292))),2)</f>
        <v>0</v>
      </c>
      <c r="I1292" s="5"/>
    </row>
    <row r="1293" spans="1:9" x14ac:dyDescent="0.2">
      <c r="A1293" s="3"/>
      <c r="C1293" s="10"/>
      <c r="D1293" s="10"/>
      <c r="E1293" s="9"/>
      <c r="F1293" s="94" t="s">
        <v>11</v>
      </c>
      <c r="G1293" s="95" t="s">
        <v>264</v>
      </c>
      <c r="H1293" s="11">
        <f>SUM(H1287:H1292)</f>
        <v>36.450000000000003</v>
      </c>
      <c r="I1293" s="12" t="s">
        <v>17</v>
      </c>
    </row>
    <row r="1294" spans="1:9" ht="13.15" customHeight="1" x14ac:dyDescent="0.2">
      <c r="A1294" s="3" t="str">
        <f>'Orçamento Sintético'!A285</f>
        <v>16.1.3</v>
      </c>
      <c r="B1294" s="270" t="str">
        <f>'Orçamento Sintético'!D285</f>
        <v>LASTRO DE CONCRETO MAGRO, APLICADO EM BLOCOS DE COROAMENTO OU SAPATAS, ESPESSURA DE 5 CM. AF_01/2024</v>
      </c>
      <c r="C1294" s="271"/>
      <c r="D1294" s="271"/>
      <c r="E1294" s="272"/>
      <c r="I1294" s="5"/>
    </row>
    <row r="1295" spans="1:9" x14ac:dyDescent="0.2">
      <c r="A1295" s="3"/>
      <c r="B1295" s="91" t="s">
        <v>260</v>
      </c>
      <c r="C1295" s="91" t="s">
        <v>8</v>
      </c>
      <c r="D1295" s="91" t="s">
        <v>266</v>
      </c>
      <c r="E1295" s="91" t="s">
        <v>261</v>
      </c>
      <c r="F1295" s="91" t="s">
        <v>262</v>
      </c>
      <c r="G1295" s="91" t="s">
        <v>263</v>
      </c>
      <c r="H1295" s="91" t="s">
        <v>11</v>
      </c>
      <c r="I1295" s="5"/>
    </row>
    <row r="1296" spans="1:9" x14ac:dyDescent="0.2">
      <c r="A1296" s="3"/>
      <c r="B1296" s="6"/>
      <c r="C1296" s="7"/>
      <c r="D1296" s="7">
        <f>H1293</f>
        <v>36.450000000000003</v>
      </c>
      <c r="E1296" s="7"/>
      <c r="F1296" s="7"/>
      <c r="G1296" s="7"/>
      <c r="H1296" s="8">
        <f>ROUND(IF(PRODUCT(IF(C1296=0,1,C1296),IF(D1296=0,1,D1296),IF(E1296=0,1,E1296),IF(F1296=0,1,F1296),IF(G1296=0,1,G1296))=1,0,PRODUCT(IF(C1296=0,1,C1296),IF(D1296=0,1,D1296),IF(E1296=0,1,E1296),IF(F1296=0,1,F1296),IF(G1296=0,1,G1296))),2)</f>
        <v>36.450000000000003</v>
      </c>
      <c r="I1296" s="5"/>
    </row>
    <row r="1297" spans="1:9" x14ac:dyDescent="0.2">
      <c r="A1297" s="3"/>
      <c r="B1297" s="6"/>
      <c r="C1297" s="7"/>
      <c r="D1297" s="7"/>
      <c r="E1297" s="7"/>
      <c r="F1297" s="7"/>
      <c r="G1297" s="7"/>
      <c r="H1297" s="8">
        <f>ROUND(IF(PRODUCT(IF(C1297=0,1,C1297),IF(E1297=0,1,E1297),IF(F1297=0,1,F1297),IF(G1297=0,1,G1297))=1,0,PRODUCT(IF(C1297=0,1,C1297),IF(E1297=0,1,E1297),IF(F1297=0,1,F1297),IF(G1297=0,1,G1297))),2)</f>
        <v>0</v>
      </c>
      <c r="I1297" s="5"/>
    </row>
    <row r="1298" spans="1:9" x14ac:dyDescent="0.2">
      <c r="A1298" s="3"/>
      <c r="C1298" s="10"/>
      <c r="D1298" s="10"/>
      <c r="E1298" s="9"/>
      <c r="F1298" s="94" t="s">
        <v>11</v>
      </c>
      <c r="G1298" s="95" t="s">
        <v>264</v>
      </c>
      <c r="H1298" s="11">
        <f>SUM(H1296:H1296)</f>
        <v>36.450000000000003</v>
      </c>
      <c r="I1298" s="12" t="s">
        <v>17</v>
      </c>
    </row>
    <row r="1299" spans="1:9" ht="22.15" customHeight="1" x14ac:dyDescent="0.2">
      <c r="A1299" s="3" t="str">
        <f>'Orçamento Sintético'!A286</f>
        <v>16.1.4</v>
      </c>
      <c r="B1299" s="270" t="str">
        <f>'Orçamento Sintético'!D286</f>
        <v>FABRICAÇÃO, MONTAGEM E DESMONTAGEM DE FÔRMA PARA SAPATA, EM MADEIRA SERRADA, E=25 MM, 4UTILIZAÇÕES. AF_01/2024</v>
      </c>
      <c r="C1299" s="271"/>
      <c r="D1299" s="271"/>
      <c r="E1299" s="272"/>
      <c r="I1299" s="5"/>
    </row>
    <row r="1300" spans="1:9" x14ac:dyDescent="0.2">
      <c r="A1300" s="3"/>
      <c r="B1300" s="91" t="s">
        <v>260</v>
      </c>
      <c r="C1300" s="91" t="s">
        <v>8</v>
      </c>
      <c r="D1300" s="91" t="s">
        <v>266</v>
      </c>
      <c r="E1300" s="91" t="s">
        <v>261</v>
      </c>
      <c r="F1300" s="91" t="s">
        <v>262</v>
      </c>
      <c r="G1300" s="91" t="s">
        <v>263</v>
      </c>
      <c r="H1300" s="91" t="s">
        <v>11</v>
      </c>
      <c r="I1300" s="5"/>
    </row>
    <row r="1301" spans="1:9" x14ac:dyDescent="0.2">
      <c r="A1301" s="3"/>
      <c r="B1301" s="23" t="s">
        <v>973</v>
      </c>
      <c r="C1301" s="161"/>
      <c r="D1301" s="7">
        <v>22.2</v>
      </c>
      <c r="E1301" s="161"/>
      <c r="F1301" s="161"/>
      <c r="G1301" s="7"/>
      <c r="H1301" s="8">
        <f>ROUND(IF(PRODUCT(IF(C1301=0,1,C1301),IF(D1301=0,1,D1301),IF(E1301=0,1,E1301),IF(F1301=0,1,F1301),IF(G1301=0,1,G1301))=1,0,PRODUCT(IF(C1301=0,1,C1301),IF(D1301=0,1,D1301),IF(E1301=0,1,E1301),IF(F1301=0,1,F1301),IF(G1301=0,1,G1301))),2)</f>
        <v>22.2</v>
      </c>
      <c r="I1301" s="5"/>
    </row>
    <row r="1302" spans="1:9" x14ac:dyDescent="0.2">
      <c r="A1302" s="3"/>
      <c r="B1302" s="6"/>
      <c r="C1302" s="198"/>
      <c r="D1302" s="198"/>
      <c r="E1302" s="198"/>
      <c r="F1302" s="198"/>
      <c r="G1302" s="198"/>
      <c r="H1302" s="8"/>
      <c r="I1302" s="5"/>
    </row>
    <row r="1303" spans="1:9" x14ac:dyDescent="0.2">
      <c r="A1303" s="3"/>
      <c r="B1303" s="23" t="s">
        <v>777</v>
      </c>
      <c r="C1303" s="198"/>
      <c r="D1303" s="7">
        <v>4.8</v>
      </c>
      <c r="E1303" s="198"/>
      <c r="F1303" s="198"/>
      <c r="G1303" s="198"/>
      <c r="H1303" s="8">
        <f>ROUND(IF(PRODUCT(IF(C1303=0,1,C1303),IF(D1303=0,1,D1303),IF(E1303=0,1,E1303),IF(F1303=0,1,F1303),IF(G1303=0,1,G1303))=1,0,PRODUCT(IF(C1303=0,1,C1303),IF(D1303=0,1,D1303),IF(E1303=0,1,E1303),IF(F1303=0,1,F1303),IF(G1303=0,1,G1303))),2)</f>
        <v>4.8</v>
      </c>
      <c r="I1303" s="5"/>
    </row>
    <row r="1304" spans="1:9" x14ac:dyDescent="0.2">
      <c r="A1304" s="3"/>
      <c r="B1304" s="6"/>
      <c r="C1304" s="7"/>
      <c r="D1304" s="7"/>
      <c r="E1304" s="7"/>
      <c r="F1304" s="7"/>
      <c r="G1304" s="7"/>
      <c r="H1304" s="8">
        <f>ROUND(IF(PRODUCT(IF(C1304=0,1,C1304),IF(E1304=0,1,E1304),IF(F1304=0,1,F1304),IF(G1304=0,1,G1304))=1,0,PRODUCT(IF(C1304=0,1,C1304),IF(E1304=0,1,E1304),IF(F1304=0,1,F1304),IF(G1304=0,1,G1304))),2)</f>
        <v>0</v>
      </c>
      <c r="I1304" s="5"/>
    </row>
    <row r="1305" spans="1:9" x14ac:dyDescent="0.2">
      <c r="A1305" s="3"/>
      <c r="C1305" s="10"/>
      <c r="D1305" s="10"/>
      <c r="E1305" s="9"/>
      <c r="F1305" s="94" t="s">
        <v>11</v>
      </c>
      <c r="G1305" s="95" t="s">
        <v>264</v>
      </c>
      <c r="H1305" s="11">
        <f>SUM(H1301:H1303)</f>
        <v>27</v>
      </c>
      <c r="I1305" s="12" t="s">
        <v>17</v>
      </c>
    </row>
    <row r="1306" spans="1:9" ht="22.9" customHeight="1" x14ac:dyDescent="0.2">
      <c r="A1306" s="3" t="str">
        <f>'Orçamento Sintético'!A287</f>
        <v>16.1.5</v>
      </c>
      <c r="B1306" s="270" t="str">
        <f>'Orçamento Sintético'!D287</f>
        <v>ARMAÇÃO DE SAPATA ISOLADA, VIGA BALDRAME E SAPATA CORRIDA UTILIZANDO AÇO CA-50 DE 10 MM - MONTAGEM. AF_01/2024</v>
      </c>
      <c r="C1306" s="271"/>
      <c r="D1306" s="271"/>
      <c r="E1306" s="272"/>
      <c r="I1306" s="5"/>
    </row>
    <row r="1307" spans="1:9" x14ac:dyDescent="0.2">
      <c r="A1307" s="3"/>
      <c r="B1307" s="91" t="s">
        <v>260</v>
      </c>
      <c r="C1307" s="91" t="s">
        <v>8</v>
      </c>
      <c r="D1307" s="91" t="s">
        <v>676</v>
      </c>
      <c r="E1307" s="91" t="s">
        <v>261</v>
      </c>
      <c r="F1307" s="91" t="s">
        <v>262</v>
      </c>
      <c r="G1307" s="91" t="s">
        <v>263</v>
      </c>
      <c r="H1307" s="91" t="s">
        <v>11</v>
      </c>
      <c r="I1307" s="5"/>
    </row>
    <row r="1308" spans="1:9" x14ac:dyDescent="0.2">
      <c r="A1308" s="3"/>
      <c r="B1308" s="23" t="s">
        <v>973</v>
      </c>
      <c r="C1308" s="161"/>
      <c r="D1308" s="7">
        <v>196</v>
      </c>
      <c r="E1308" s="161"/>
      <c r="F1308" s="161"/>
      <c r="G1308" s="7"/>
      <c r="H1308" s="8">
        <f>ROUND(IF(PRODUCT(IF(C1308=0,1,C1308),IF(D1308=0,1,D1308),IF(E1308=0,1,E1308),IF(F1308=0,1,F1308),IF(G1308=0,1,G1308))=1,0,PRODUCT(IF(C1308=0,1,C1308),IF(D1308=0,1,D1308),IF(E1308=0,1,E1308),IF(F1308=0,1,F1308),IF(G1308=0,1,G1308))),2)</f>
        <v>196</v>
      </c>
      <c r="I1308" s="5"/>
    </row>
    <row r="1309" spans="1:9" x14ac:dyDescent="0.2">
      <c r="A1309" s="3"/>
      <c r="B1309" s="6"/>
      <c r="C1309" s="198"/>
      <c r="D1309" s="198"/>
      <c r="E1309" s="198"/>
      <c r="F1309" s="198"/>
      <c r="G1309" s="198"/>
      <c r="H1309" s="8"/>
      <c r="I1309" s="5"/>
    </row>
    <row r="1310" spans="1:9" x14ac:dyDescent="0.2">
      <c r="A1310" s="3"/>
      <c r="B1310" s="23" t="s">
        <v>777</v>
      </c>
      <c r="C1310" s="198"/>
      <c r="D1310" s="7">
        <v>42</v>
      </c>
      <c r="E1310" s="198"/>
      <c r="F1310" s="198"/>
      <c r="G1310" s="198"/>
      <c r="H1310" s="8">
        <f>ROUND(IF(PRODUCT(IF(C1310=0,1,C1310),IF(D1310=0,1,D1310),IF(E1310=0,1,E1310),IF(F1310=0,1,F1310),IF(G1310=0,1,G1310))=1,0,PRODUCT(IF(C1310=0,1,C1310),IF(D1310=0,1,D1310),IF(E1310=0,1,E1310),IF(F1310=0,1,F1310),IF(G1310=0,1,G1310))),2)</f>
        <v>42</v>
      </c>
      <c r="I1310" s="5"/>
    </row>
    <row r="1311" spans="1:9" x14ac:dyDescent="0.2">
      <c r="A1311" s="3"/>
      <c r="B1311" s="6"/>
      <c r="C1311" s="7"/>
      <c r="D1311" s="7"/>
      <c r="E1311" s="7"/>
      <c r="F1311" s="7"/>
      <c r="G1311" s="7"/>
      <c r="H1311" s="8">
        <f>ROUND(IF(PRODUCT(IF(C1311=0,1,C1311),IF(E1311=0,1,E1311),IF(F1311=0,1,F1311),IF(G1311=0,1,G1311))=1,0,PRODUCT(IF(C1311=0,1,C1311),IF(E1311=0,1,E1311),IF(F1311=0,1,F1311),IF(G1311=0,1,G1311))),2)</f>
        <v>0</v>
      </c>
      <c r="I1311" s="5"/>
    </row>
    <row r="1312" spans="1:9" x14ac:dyDescent="0.2">
      <c r="A1312" s="3"/>
      <c r="C1312" s="10"/>
      <c r="D1312" s="10"/>
      <c r="E1312" s="9"/>
      <c r="F1312" s="94" t="s">
        <v>11</v>
      </c>
      <c r="G1312" s="95" t="s">
        <v>264</v>
      </c>
      <c r="H1312" s="11">
        <f>SUM(H1308:H1310)</f>
        <v>238</v>
      </c>
      <c r="I1312" s="12" t="s">
        <v>299</v>
      </c>
    </row>
    <row r="1313" spans="1:9" ht="21.6" customHeight="1" x14ac:dyDescent="0.2">
      <c r="A1313" s="3" t="str">
        <f>'Orçamento Sintético'!A288</f>
        <v>16.1.6</v>
      </c>
      <c r="B1313" s="270" t="str">
        <f>'Orçamento Sintético'!D288</f>
        <v>ARMAÇÃO DE SAPATA ISOLADA, VIGA BALDRAME E SAPATA CORRIDA UTILIZANDO AÇO CA-60 DE 5 MM - MONTAGEM. AF_01/2024</v>
      </c>
      <c r="C1313" s="271"/>
      <c r="D1313" s="271"/>
      <c r="E1313" s="272"/>
      <c r="I1313" s="5"/>
    </row>
    <row r="1314" spans="1:9" x14ac:dyDescent="0.2">
      <c r="A1314" s="3"/>
      <c r="B1314" s="91" t="s">
        <v>260</v>
      </c>
      <c r="C1314" s="91" t="s">
        <v>8</v>
      </c>
      <c r="D1314" s="91" t="s">
        <v>676</v>
      </c>
      <c r="E1314" s="91" t="s">
        <v>261</v>
      </c>
      <c r="F1314" s="91" t="s">
        <v>262</v>
      </c>
      <c r="G1314" s="91" t="s">
        <v>263</v>
      </c>
      <c r="H1314" s="91" t="s">
        <v>11</v>
      </c>
      <c r="I1314" s="5"/>
    </row>
    <row r="1315" spans="1:9" x14ac:dyDescent="0.2">
      <c r="A1315" s="3"/>
      <c r="B1315" s="23" t="s">
        <v>973</v>
      </c>
      <c r="C1315" s="161"/>
      <c r="D1315" s="7">
        <v>12</v>
      </c>
      <c r="E1315" s="161"/>
      <c r="F1315" s="161"/>
      <c r="G1315" s="7"/>
      <c r="H1315" s="8">
        <f>ROUND(IF(PRODUCT(IF(C1315=0,1,C1315),IF(D1315=0,1,D1315),IF(E1315=0,1,E1315),IF(F1315=0,1,F1315),IF(G1315=0,1,G1315))=1,0,PRODUCT(IF(C1315=0,1,C1315),IF(D1315=0,1,D1315),IF(E1315=0,1,E1315),IF(F1315=0,1,F1315),IF(G1315=0,1,G1315))),2)</f>
        <v>12</v>
      </c>
      <c r="I1315" s="5"/>
    </row>
    <row r="1316" spans="1:9" x14ac:dyDescent="0.2">
      <c r="A1316" s="3"/>
      <c r="B1316" s="23" t="s">
        <v>777</v>
      </c>
      <c r="C1316" s="198"/>
      <c r="D1316" s="7">
        <v>3</v>
      </c>
      <c r="E1316" s="198"/>
      <c r="F1316" s="198"/>
      <c r="G1316" s="198"/>
      <c r="H1316" s="8">
        <f>ROUND(IF(PRODUCT(IF(C1316=0,1,C1316),IF(D1316=0,1,D1316),IF(E1316=0,1,E1316),IF(F1316=0,1,F1316),IF(G1316=0,1,G1316))=1,0,PRODUCT(IF(C1316=0,1,C1316),IF(D1316=0,1,D1316),IF(E1316=0,1,E1316),IF(F1316=0,1,F1316),IF(G1316=0,1,G1316))),2)</f>
        <v>3</v>
      </c>
      <c r="I1316" s="5"/>
    </row>
    <row r="1317" spans="1:9" x14ac:dyDescent="0.2">
      <c r="A1317" s="3"/>
      <c r="B1317" s="6"/>
      <c r="C1317" s="7"/>
      <c r="D1317" s="7"/>
      <c r="E1317" s="7"/>
      <c r="F1317" s="7"/>
      <c r="G1317" s="7"/>
      <c r="H1317" s="8">
        <f>ROUND(IF(PRODUCT(IF(C1317=0,1,C1317),IF(E1317=0,1,E1317),IF(F1317=0,1,F1317),IF(G1317=0,1,G1317))=1,0,PRODUCT(IF(C1317=0,1,C1317),IF(E1317=0,1,E1317),IF(F1317=0,1,F1317),IF(G1317=0,1,G1317))),2)</f>
        <v>0</v>
      </c>
      <c r="I1317" s="5"/>
    </row>
    <row r="1318" spans="1:9" x14ac:dyDescent="0.2">
      <c r="A1318" s="3"/>
      <c r="C1318" s="10"/>
      <c r="D1318" s="10"/>
      <c r="E1318" s="9"/>
      <c r="F1318" s="94" t="s">
        <v>11</v>
      </c>
      <c r="G1318" s="95" t="s">
        <v>264</v>
      </c>
      <c r="H1318" s="11">
        <f>SUM(H1315:H1316)</f>
        <v>15</v>
      </c>
      <c r="I1318" s="12" t="s">
        <v>299</v>
      </c>
    </row>
    <row r="1319" spans="1:9" ht="24.75" customHeight="1" x14ac:dyDescent="0.2">
      <c r="A1319" s="3" t="str">
        <f>'Orçamento Sintético'!A289</f>
        <v>16.1.7</v>
      </c>
      <c r="B1319" s="270" t="str">
        <f>'Orçamento Sintético'!D289</f>
        <v>CONCRETAGEM DE SAPATA, FCK 30 MPA, COM USO DE BOMBA - LANÇAMENTO, ADENSAMENTO E ACABAMENTO. AF_01/2024</v>
      </c>
      <c r="C1319" s="271"/>
      <c r="D1319" s="271"/>
      <c r="E1319" s="272"/>
      <c r="I1319" s="5"/>
    </row>
    <row r="1320" spans="1:9" x14ac:dyDescent="0.2">
      <c r="A1320" s="3"/>
      <c r="B1320" s="91" t="s">
        <v>260</v>
      </c>
      <c r="C1320" s="91" t="s">
        <v>8</v>
      </c>
      <c r="D1320" s="91" t="s">
        <v>266</v>
      </c>
      <c r="E1320" s="91" t="s">
        <v>261</v>
      </c>
      <c r="F1320" s="91" t="s">
        <v>262</v>
      </c>
      <c r="G1320" s="91" t="s">
        <v>263</v>
      </c>
      <c r="H1320" s="91" t="s">
        <v>11</v>
      </c>
      <c r="I1320" s="5"/>
    </row>
    <row r="1321" spans="1:9" x14ac:dyDescent="0.2">
      <c r="A1321" s="3"/>
      <c r="B1321" s="23" t="s">
        <v>973</v>
      </c>
      <c r="C1321" s="198"/>
      <c r="D1321" s="198"/>
      <c r="E1321" s="198"/>
      <c r="F1321" s="198"/>
      <c r="G1321" s="7"/>
      <c r="H1321" s="8"/>
      <c r="I1321" s="5"/>
    </row>
    <row r="1322" spans="1:9" x14ac:dyDescent="0.2">
      <c r="A1322" s="3"/>
      <c r="B1322" s="6" t="s">
        <v>721</v>
      </c>
      <c r="C1322" s="7">
        <v>37</v>
      </c>
      <c r="D1322" s="7"/>
      <c r="E1322" s="7">
        <v>0.5</v>
      </c>
      <c r="F1322" s="7">
        <v>0.5</v>
      </c>
      <c r="G1322" s="7">
        <v>0.3</v>
      </c>
      <c r="H1322" s="8">
        <f>ROUND(IF(PRODUCT(IF(C1322=0,1,C1322),IF(D1322=0,1,D1322),IF(E1322=0,1,E1322),IF(F1322=0,1,F1322),IF(G1322=0,1,G1322))=1,0,PRODUCT(IF(C1322=0,1,C1322),IF(D1322=0,1,D1322),IF(E1322=0,1,E1322),IF(F1322=0,1,F1322),IF(G1322=0,1,G1322))),2)</f>
        <v>2.78</v>
      </c>
      <c r="I1322" s="5"/>
    </row>
    <row r="1323" spans="1:9" x14ac:dyDescent="0.2">
      <c r="A1323" s="3"/>
      <c r="B1323" s="6"/>
      <c r="C1323" s="198"/>
      <c r="D1323" s="198"/>
      <c r="E1323" s="198"/>
      <c r="F1323" s="198"/>
      <c r="G1323" s="198"/>
      <c r="H1323" s="8"/>
      <c r="I1323" s="5"/>
    </row>
    <row r="1324" spans="1:9" x14ac:dyDescent="0.2">
      <c r="A1324" s="3"/>
      <c r="B1324" s="23" t="s">
        <v>777</v>
      </c>
      <c r="C1324" s="198"/>
      <c r="D1324" s="198"/>
      <c r="E1324" s="198"/>
      <c r="F1324" s="198"/>
      <c r="G1324" s="198"/>
      <c r="H1324" s="8"/>
      <c r="I1324" s="5"/>
    </row>
    <row r="1325" spans="1:9" x14ac:dyDescent="0.2">
      <c r="A1325" s="3"/>
      <c r="B1325" s="6" t="s">
        <v>778</v>
      </c>
      <c r="C1325" s="161">
        <v>8</v>
      </c>
      <c r="D1325" s="161"/>
      <c r="E1325" s="161">
        <v>0.5</v>
      </c>
      <c r="F1325" s="161">
        <v>0.5</v>
      </c>
      <c r="G1325" s="161">
        <v>0.3</v>
      </c>
      <c r="H1325" s="8">
        <f>ROUND(IF(PRODUCT(IF(C1325=0,1,C1325),IF(D1325=0,1,D1325),IF(E1325=0,1,E1325),IF(F1325=0,1,F1325),IF(G1325=0,1,G1325))=1,0,PRODUCT(IF(C1325=0,1,C1325),IF(D1325=0,1,D1325),IF(E1325=0,1,E1325),IF(F1325=0,1,F1325),IF(G1325=0,1,G1325))),2)</f>
        <v>0.6</v>
      </c>
      <c r="I1325" s="5"/>
    </row>
    <row r="1326" spans="1:9" x14ac:dyDescent="0.2">
      <c r="A1326" s="3"/>
      <c r="B1326" s="6"/>
      <c r="C1326" s="7"/>
      <c r="D1326" s="7"/>
      <c r="E1326" s="7"/>
      <c r="F1326" s="7"/>
      <c r="G1326" s="7"/>
      <c r="H1326" s="8">
        <f>ROUND(IF(PRODUCT(IF(C1326=0,1,C1326),IF(E1326=0,1,E1326),IF(F1326=0,1,F1326),IF(G1326=0,1,G1326))=1,0,PRODUCT(IF(C1326=0,1,C1326),IF(E1326=0,1,E1326),IF(F1326=0,1,F1326),IF(G1326=0,1,G1326))),2)</f>
        <v>0</v>
      </c>
      <c r="I1326" s="5"/>
    </row>
    <row r="1327" spans="1:9" x14ac:dyDescent="0.2">
      <c r="A1327" s="3"/>
      <c r="C1327" s="10"/>
      <c r="D1327" s="10"/>
      <c r="E1327" s="9"/>
      <c r="F1327" s="94" t="s">
        <v>11</v>
      </c>
      <c r="G1327" s="95" t="s">
        <v>264</v>
      </c>
      <c r="H1327" s="11">
        <f>SUM(H1321:H1326)</f>
        <v>3.38</v>
      </c>
      <c r="I1327" s="12" t="s">
        <v>24</v>
      </c>
    </row>
    <row r="1328" spans="1:9" ht="15.75" customHeight="1" x14ac:dyDescent="0.2">
      <c r="A1328" s="3" t="str">
        <f>'Orçamento Sintético'!A290</f>
        <v>16.1.8</v>
      </c>
      <c r="B1328" s="270" t="str">
        <f>'Orçamento Sintético'!D290</f>
        <v>REATERRO MANUAL DE VALAS, COM COMPACTADOR DE SOLOS DE PERCUSSÃO. AF_08/2023</v>
      </c>
      <c r="C1328" s="271"/>
      <c r="D1328" s="271"/>
      <c r="E1328" s="272"/>
      <c r="I1328" s="5"/>
    </row>
    <row r="1329" spans="1:10" x14ac:dyDescent="0.2">
      <c r="A1329" s="3"/>
      <c r="B1329" s="91" t="s">
        <v>260</v>
      </c>
      <c r="C1329" s="91" t="s">
        <v>8</v>
      </c>
      <c r="D1329" s="91" t="s">
        <v>266</v>
      </c>
      <c r="E1329" s="91" t="s">
        <v>261</v>
      </c>
      <c r="F1329" s="91" t="s">
        <v>262</v>
      </c>
      <c r="G1329" s="91" t="s">
        <v>263</v>
      </c>
      <c r="H1329" s="91" t="s">
        <v>11</v>
      </c>
      <c r="I1329" s="5"/>
    </row>
    <row r="1330" spans="1:10" x14ac:dyDescent="0.2">
      <c r="A1330" s="3"/>
      <c r="B1330" s="6" t="s">
        <v>279</v>
      </c>
      <c r="C1330" s="15">
        <f>H1284</f>
        <v>56.49</v>
      </c>
      <c r="D1330" s="15"/>
      <c r="E1330" s="15"/>
      <c r="F1330" s="15"/>
      <c r="G1330" s="7"/>
      <c r="H1330" s="8">
        <f>ROUND(IF(PRODUCT(IF(C1330=0,1,C1330),IF(D1330=0,1,D1330),IF(E1330=0,1,E1330),IF(F1330=0,1,F1330),IF(G1330=0,1,G1330))=1,0,PRODUCT(IF(C1330=0,1,C1330),IF(D1330=0,1,D1330),IF(E1330=0,1,E1330),IF(F1330=0,1,F1330),IF(G1330=0,1,G1330))),2)</f>
        <v>56.49</v>
      </c>
      <c r="I1330" s="5"/>
    </row>
    <row r="1331" spans="1:10" x14ac:dyDescent="0.2">
      <c r="A1331" s="3"/>
      <c r="B1331" s="16" t="s">
        <v>280</v>
      </c>
      <c r="C1331" s="17">
        <f>H1298*0.05</f>
        <v>1.8225000000000002</v>
      </c>
      <c r="D1331" s="15"/>
      <c r="E1331" s="15"/>
      <c r="F1331" s="15"/>
      <c r="G1331" s="7"/>
      <c r="H1331" s="17">
        <f t="shared" ref="H1331:H1334" si="21">-ROUND(IF(PRODUCT(IF(C1331=0,1,C1331),IF(D1331=0,1,D1331),IF(E1331=0,1,E1331),IF(F1331=0,1,F1331),IF(G1331=0,1,G1331))=1,0,PRODUCT(IF(C1331=0,1,C1331),IF(D1331=0,1,D1331),IF(E1331=0,1,E1331),IF(F1331=0,1,F1331),IF(G1331=0,1,G1331))),2)</f>
        <v>-1.82</v>
      </c>
      <c r="I1331" s="5"/>
      <c r="J1331" s="19"/>
    </row>
    <row r="1332" spans="1:10" x14ac:dyDescent="0.2">
      <c r="A1332" s="3"/>
      <c r="B1332" s="16" t="s">
        <v>281</v>
      </c>
      <c r="C1332" s="17">
        <f>H1327</f>
        <v>3.38</v>
      </c>
      <c r="D1332" s="15"/>
      <c r="E1332" s="15"/>
      <c r="F1332" s="15"/>
      <c r="G1332" s="7"/>
      <c r="H1332" s="17">
        <f t="shared" si="21"/>
        <v>-3.38</v>
      </c>
      <c r="I1332" s="5"/>
    </row>
    <row r="1333" spans="1:10" ht="28.15" customHeight="1" x14ac:dyDescent="0.2">
      <c r="A1333" s="3"/>
      <c r="B1333" s="18" t="s">
        <v>719</v>
      </c>
      <c r="C1333" s="17">
        <v>37</v>
      </c>
      <c r="D1333" s="17"/>
      <c r="E1333" s="17">
        <v>0.25</v>
      </c>
      <c r="F1333" s="17">
        <v>0.12</v>
      </c>
      <c r="G1333" s="17">
        <v>1.2</v>
      </c>
      <c r="H1333" s="17">
        <f t="shared" si="21"/>
        <v>-1.33</v>
      </c>
      <c r="I1333" s="5"/>
    </row>
    <row r="1334" spans="1:10" ht="28.15" customHeight="1" x14ac:dyDescent="0.2">
      <c r="A1334" s="3"/>
      <c r="B1334" s="18" t="s">
        <v>779</v>
      </c>
      <c r="C1334" s="17">
        <v>8</v>
      </c>
      <c r="D1334" s="17"/>
      <c r="E1334" s="17">
        <v>0.3</v>
      </c>
      <c r="F1334" s="17">
        <v>0.15</v>
      </c>
      <c r="G1334" s="17">
        <v>1.2</v>
      </c>
      <c r="H1334" s="17">
        <f t="shared" si="21"/>
        <v>-0.43</v>
      </c>
      <c r="I1334" s="5"/>
    </row>
    <row r="1335" spans="1:10" x14ac:dyDescent="0.2">
      <c r="A1335" s="3"/>
      <c r="B1335" s="6"/>
      <c r="C1335" s="7"/>
      <c r="D1335" s="7"/>
      <c r="E1335" s="7"/>
      <c r="F1335" s="7"/>
      <c r="G1335" s="7"/>
      <c r="H1335" s="8">
        <f>ROUND(IF(PRODUCT(IF(C1335=0,1,C1335),IF(E1335=0,1,E1335),IF(F1335=0,1,F1335),IF(G1335=0,1,G1335))=1,0,PRODUCT(IF(C1335=0,1,C1335),IF(E1335=0,1,E1335),IF(F1335=0,1,F1335),IF(G1335=0,1,G1335))),2)</f>
        <v>0</v>
      </c>
      <c r="I1335" s="5"/>
    </row>
    <row r="1336" spans="1:10" x14ac:dyDescent="0.2">
      <c r="A1336" s="3"/>
      <c r="C1336" s="10"/>
      <c r="D1336" s="10"/>
      <c r="E1336" s="9"/>
      <c r="F1336" s="94" t="s">
        <v>11</v>
      </c>
      <c r="G1336" s="95" t="s">
        <v>264</v>
      </c>
      <c r="H1336" s="11">
        <f>SUM(H1330:H1334)</f>
        <v>49.53</v>
      </c>
      <c r="I1336" s="12" t="s">
        <v>24</v>
      </c>
    </row>
    <row r="1337" spans="1:10" x14ac:dyDescent="0.2">
      <c r="A1337" s="96" t="str">
        <f>'Orçamento Sintético'!A291</f>
        <v>16.2</v>
      </c>
      <c r="B1337" s="97" t="str">
        <f>'Orçamento Sintético'!D291</f>
        <v>VIGAS BALDRAMES</v>
      </c>
      <c r="C1337" s="273"/>
      <c r="D1337" s="274"/>
      <c r="E1337" s="274"/>
      <c r="F1337" s="274"/>
      <c r="G1337" s="274"/>
      <c r="H1337" s="274"/>
      <c r="I1337" s="275"/>
    </row>
    <row r="1338" spans="1:10" ht="25.5" customHeight="1" x14ac:dyDescent="0.2">
      <c r="A1338" s="3" t="str">
        <f>'Orçamento Sintético'!A292</f>
        <v>16.2.1</v>
      </c>
      <c r="B1338" s="270" t="str">
        <f>'Orçamento Sintético'!D292</f>
        <v>ESCAVAÇÃO MECANIZADA PARA VIGA BALDRAME OU SAPATA CORRIDA COM MINI-ESCAVADEIRA (INCLUINDO ESCAVAÇÃO PARA COLOCAÇÃO DE FÔRMAS). AF_01/2024</v>
      </c>
      <c r="C1338" s="271"/>
      <c r="D1338" s="271"/>
      <c r="E1338" s="272"/>
      <c r="I1338" s="5"/>
    </row>
    <row r="1339" spans="1:10" x14ac:dyDescent="0.2">
      <c r="A1339" s="3"/>
      <c r="B1339" s="91" t="s">
        <v>260</v>
      </c>
      <c r="C1339" s="91" t="s">
        <v>8</v>
      </c>
      <c r="D1339" s="91" t="s">
        <v>266</v>
      </c>
      <c r="E1339" s="91" t="s">
        <v>261</v>
      </c>
      <c r="F1339" s="91" t="s">
        <v>262</v>
      </c>
      <c r="G1339" s="91" t="s">
        <v>263</v>
      </c>
      <c r="H1339" s="91" t="s">
        <v>11</v>
      </c>
      <c r="I1339" s="5"/>
    </row>
    <row r="1340" spans="1:10" x14ac:dyDescent="0.2">
      <c r="A1340" s="3"/>
      <c r="B1340" s="23" t="s">
        <v>973</v>
      </c>
      <c r="C1340" s="161"/>
      <c r="D1340" s="161"/>
      <c r="E1340" s="161"/>
      <c r="F1340" s="161"/>
      <c r="G1340" s="161"/>
      <c r="H1340" s="8"/>
      <c r="I1340" s="5"/>
    </row>
    <row r="1341" spans="1:10" x14ac:dyDescent="0.2">
      <c r="A1341" s="3"/>
      <c r="B1341" s="6" t="s">
        <v>861</v>
      </c>
      <c r="C1341" s="161"/>
      <c r="D1341" s="161"/>
      <c r="E1341" s="7">
        <f>47.28+24.03+33.27</f>
        <v>104.58000000000001</v>
      </c>
      <c r="F1341" s="161">
        <f>0.12+0.2+0.2</f>
        <v>0.52</v>
      </c>
      <c r="G1341" s="161">
        <f>0.35+0.05</f>
        <v>0.39999999999999997</v>
      </c>
      <c r="H1341" s="8">
        <f>ROUND(IF(PRODUCT(IF(C1341=0,1,C1341),IF(D1341=0,1,D1341),IF(E1341=0,1,E1341),IF(F1341=0,1,F1341),IF(G1341=0,1,G1341))=1,0,PRODUCT(IF(C1341=0,1,C1341),IF(D1341=0,1,D1341),IF(E1341=0,1,E1341),IF(F1341=0,1,F1341),IF(G1341=0,1,G1341))),2)</f>
        <v>21.75</v>
      </c>
      <c r="I1341" s="5"/>
    </row>
    <row r="1342" spans="1:10" x14ac:dyDescent="0.2">
      <c r="A1342" s="3"/>
      <c r="B1342" s="6"/>
      <c r="C1342" s="161"/>
      <c r="D1342" s="161"/>
      <c r="E1342" s="161"/>
      <c r="F1342" s="161"/>
      <c r="G1342" s="161"/>
      <c r="H1342" s="8"/>
      <c r="I1342" s="5"/>
    </row>
    <row r="1343" spans="1:10" x14ac:dyDescent="0.2">
      <c r="A1343" s="3"/>
      <c r="B1343" s="23" t="s">
        <v>777</v>
      </c>
      <c r="C1343" s="161"/>
      <c r="D1343" s="161"/>
      <c r="E1343" s="161"/>
      <c r="F1343" s="161"/>
      <c r="G1343" s="161"/>
      <c r="H1343" s="8"/>
      <c r="I1343" s="5"/>
    </row>
    <row r="1344" spans="1:10" x14ac:dyDescent="0.2">
      <c r="A1344" s="3"/>
      <c r="B1344" s="6" t="s">
        <v>324</v>
      </c>
      <c r="C1344" s="161"/>
      <c r="D1344" s="161"/>
      <c r="E1344" s="7">
        <f>3+3+1.3+1.85+3+3+3+2.87</f>
        <v>21.02</v>
      </c>
      <c r="F1344" s="161">
        <f>0.15+0.2+0.2</f>
        <v>0.55000000000000004</v>
      </c>
      <c r="G1344" s="161">
        <f>0.3+0.05</f>
        <v>0.35</v>
      </c>
      <c r="H1344" s="8">
        <f>ROUND(IF(PRODUCT(IF(C1344=0,1,C1344),IF(D1344=0,1,D1344),IF(E1344=0,1,E1344),IF(F1344=0,1,F1344),IF(G1344=0,1,G1344))=1,0,PRODUCT(IF(C1344=0,1,C1344),IF(D1344=0,1,D1344),IF(E1344=0,1,E1344),IF(F1344=0,1,F1344),IF(G1344=0,1,G1344))),2)</f>
        <v>4.05</v>
      </c>
      <c r="I1344" s="5"/>
    </row>
    <row r="1345" spans="1:9" x14ac:dyDescent="0.2">
      <c r="A1345" s="3"/>
      <c r="B1345" s="6"/>
      <c r="C1345" s="7"/>
      <c r="D1345" s="7"/>
      <c r="E1345" s="7"/>
      <c r="F1345" s="7"/>
      <c r="G1345" s="7"/>
      <c r="H1345" s="8">
        <f>ROUND(IF(PRODUCT(IF(C1345=0,1,C1345),IF(E1345=0,1,E1345),IF(F1345=0,1,F1345),IF(G1345=0,1,G1345))=1,0,PRODUCT(IF(C1345=0,1,C1345),IF(E1345=0,1,E1345),IF(F1345=0,1,F1345),IF(G1345=0,1,G1345))),2)</f>
        <v>0</v>
      </c>
      <c r="I1345" s="5"/>
    </row>
    <row r="1346" spans="1:9" x14ac:dyDescent="0.2">
      <c r="A1346" s="3"/>
      <c r="C1346" s="10"/>
      <c r="D1346" s="10"/>
      <c r="E1346" s="9"/>
      <c r="F1346" s="94" t="s">
        <v>11</v>
      </c>
      <c r="G1346" s="95" t="s">
        <v>264</v>
      </c>
      <c r="H1346" s="11">
        <f>SUM(H1340:H1345)</f>
        <v>25.8</v>
      </c>
      <c r="I1346" s="12" t="s">
        <v>24</v>
      </c>
    </row>
    <row r="1347" spans="1:9" ht="13.5" customHeight="1" x14ac:dyDescent="0.2">
      <c r="A1347" s="3" t="str">
        <f>'Orçamento Sintético'!A293</f>
        <v>16.2.2</v>
      </c>
      <c r="B1347" s="270" t="str">
        <f>'Orçamento Sintético'!D293</f>
        <v>PREPARO DE FUNDO DE VALA COM LARGURA MENOR QUE 1,5 M (ACERTO DO SOLO NATURAL). AF_08/2020</v>
      </c>
      <c r="C1347" s="271"/>
      <c r="D1347" s="271"/>
      <c r="E1347" s="272"/>
      <c r="I1347" s="5"/>
    </row>
    <row r="1348" spans="1:9" x14ac:dyDescent="0.2">
      <c r="A1348" s="3"/>
      <c r="B1348" s="91" t="s">
        <v>260</v>
      </c>
      <c r="C1348" s="91" t="s">
        <v>8</v>
      </c>
      <c r="D1348" s="91" t="s">
        <v>266</v>
      </c>
      <c r="E1348" s="91" t="s">
        <v>261</v>
      </c>
      <c r="F1348" s="91" t="s">
        <v>262</v>
      </c>
      <c r="G1348" s="91" t="s">
        <v>263</v>
      </c>
      <c r="H1348" s="91" t="s">
        <v>11</v>
      </c>
      <c r="I1348" s="5"/>
    </row>
    <row r="1349" spans="1:9" x14ac:dyDescent="0.2">
      <c r="A1349" s="3"/>
      <c r="B1349" s="23" t="s">
        <v>973</v>
      </c>
      <c r="C1349" s="161"/>
      <c r="D1349" s="161"/>
      <c r="E1349" s="161"/>
      <c r="F1349" s="161"/>
      <c r="G1349" s="161"/>
      <c r="H1349" s="8"/>
      <c r="I1349" s="5"/>
    </row>
    <row r="1350" spans="1:9" x14ac:dyDescent="0.2">
      <c r="A1350" s="3"/>
      <c r="B1350" s="6" t="s">
        <v>324</v>
      </c>
      <c r="C1350" s="161"/>
      <c r="D1350" s="161"/>
      <c r="E1350" s="7">
        <f>47.28+24.03+33.27</f>
        <v>104.58000000000001</v>
      </c>
      <c r="F1350" s="161">
        <f>0.12+0.2+0.2</f>
        <v>0.52</v>
      </c>
      <c r="G1350" s="161"/>
      <c r="H1350" s="8">
        <f>ROUND(IF(PRODUCT(IF(C1350=0,1,C1350),IF(D1350=0,1,D1350),IF(E1350=0,1,E1350),IF(F1350=0,1,F1350),IF(G1350=0,1,G1350))=1,0,PRODUCT(IF(C1350=0,1,C1350),IF(D1350=0,1,D1350),IF(E1350=0,1,E1350),IF(F1350=0,1,F1350),IF(G1350=0,1,G1350))),2)</f>
        <v>54.38</v>
      </c>
      <c r="I1350" s="5"/>
    </row>
    <row r="1351" spans="1:9" x14ac:dyDescent="0.2">
      <c r="A1351" s="3"/>
      <c r="B1351" s="6"/>
      <c r="C1351" s="161"/>
      <c r="D1351" s="161"/>
      <c r="E1351" s="161"/>
      <c r="F1351" s="161"/>
      <c r="G1351" s="161"/>
      <c r="H1351" s="8"/>
      <c r="I1351" s="5"/>
    </row>
    <row r="1352" spans="1:9" x14ac:dyDescent="0.2">
      <c r="A1352" s="3"/>
      <c r="B1352" s="23" t="s">
        <v>777</v>
      </c>
      <c r="C1352" s="161"/>
      <c r="D1352" s="161"/>
      <c r="E1352" s="161"/>
      <c r="F1352" s="161"/>
      <c r="G1352" s="161"/>
      <c r="H1352" s="8"/>
      <c r="I1352" s="5"/>
    </row>
    <row r="1353" spans="1:9" x14ac:dyDescent="0.2">
      <c r="A1353" s="3"/>
      <c r="B1353" s="6" t="s">
        <v>324</v>
      </c>
      <c r="C1353" s="161"/>
      <c r="D1353" s="161"/>
      <c r="E1353" s="7">
        <f>3+3+1.3+1.85+3+3+3+2.87</f>
        <v>21.02</v>
      </c>
      <c r="F1353" s="161">
        <f>0.15+0.2+0.2</f>
        <v>0.55000000000000004</v>
      </c>
      <c r="G1353" s="161"/>
      <c r="H1353" s="8">
        <f>ROUND(IF(PRODUCT(IF(C1353=0,1,C1353),IF(D1353=0,1,D1353),IF(E1353=0,1,E1353),IF(F1353=0,1,F1353),IF(G1353=0,1,G1353))=1,0,PRODUCT(IF(C1353=0,1,C1353),IF(D1353=0,1,D1353),IF(E1353=0,1,E1353),IF(F1353=0,1,F1353),IF(G1353=0,1,G1353))),2)</f>
        <v>11.56</v>
      </c>
      <c r="I1353" s="5"/>
    </row>
    <row r="1354" spans="1:9" x14ac:dyDescent="0.2">
      <c r="A1354" s="3"/>
      <c r="B1354" s="6"/>
      <c r="C1354" s="7"/>
      <c r="D1354" s="7"/>
      <c r="E1354" s="7"/>
      <c r="F1354" s="7"/>
      <c r="G1354" s="7"/>
      <c r="H1354" s="8">
        <f>ROUND(IF(PRODUCT(IF(C1354=0,1,C1354),IF(E1354=0,1,E1354),IF(F1354=0,1,F1354),IF(G1354=0,1,G1354))=1,0,PRODUCT(IF(C1354=0,1,C1354),IF(E1354=0,1,E1354),IF(F1354=0,1,F1354),IF(G1354=0,1,G1354))),2)</f>
        <v>0</v>
      </c>
      <c r="I1354" s="5"/>
    </row>
    <row r="1355" spans="1:9" x14ac:dyDescent="0.2">
      <c r="A1355" s="3"/>
      <c r="C1355" s="10"/>
      <c r="D1355" s="10"/>
      <c r="E1355" s="9"/>
      <c r="F1355" s="94" t="s">
        <v>11</v>
      </c>
      <c r="G1355" s="95" t="s">
        <v>264</v>
      </c>
      <c r="H1355" s="11">
        <f>SUM(H1349:H1353)</f>
        <v>65.94</v>
      </c>
      <c r="I1355" s="12" t="s">
        <v>17</v>
      </c>
    </row>
    <row r="1356" spans="1:9" ht="15.75" customHeight="1" x14ac:dyDescent="0.2">
      <c r="A1356" s="3" t="str">
        <f>'Orçamento Sintético'!A294</f>
        <v>16.2.3</v>
      </c>
      <c r="B1356" s="270" t="str">
        <f>'Orçamento Sintético'!D294</f>
        <v>LASTRO DE CONCRETO MAGRO, APLICADO EM PISOS, LAJES SOBRE SOLO OU RADIERS, ESPESSURA DE 5 CM. AF_01/2024</v>
      </c>
      <c r="C1356" s="271"/>
      <c r="D1356" s="271"/>
      <c r="E1356" s="272"/>
      <c r="I1356" s="5"/>
    </row>
    <row r="1357" spans="1:9" x14ac:dyDescent="0.2">
      <c r="A1357" s="3"/>
      <c r="B1357" s="91" t="s">
        <v>260</v>
      </c>
      <c r="C1357" s="91" t="s">
        <v>8</v>
      </c>
      <c r="D1357" s="91" t="s">
        <v>266</v>
      </c>
      <c r="E1357" s="91" t="s">
        <v>261</v>
      </c>
      <c r="F1357" s="91" t="s">
        <v>262</v>
      </c>
      <c r="G1357" s="91" t="s">
        <v>263</v>
      </c>
      <c r="H1357" s="91" t="s">
        <v>11</v>
      </c>
      <c r="I1357" s="5"/>
    </row>
    <row r="1358" spans="1:9" x14ac:dyDescent="0.2">
      <c r="A1358" s="3"/>
      <c r="B1358" s="6"/>
      <c r="C1358" s="7"/>
      <c r="D1358" s="7">
        <f>H1355</f>
        <v>65.94</v>
      </c>
      <c r="E1358" s="7"/>
      <c r="F1358" s="7"/>
      <c r="G1358" s="7"/>
      <c r="H1358" s="8">
        <f>ROUND(IF(PRODUCT(IF(C1358=0,1,C1358),IF(D1358=0,1,D1358),IF(E1358=0,1,E1358),IF(F1358=0,1,F1358),IF(G1358=0,1,G1358))=1,0,PRODUCT(IF(C1358=0,1,C1358),IF(D1358=0,1,D1358),IF(E1358=0,1,E1358),IF(F1358=0,1,F1358),IF(G1358=0,1,G1358))),2)</f>
        <v>65.94</v>
      </c>
      <c r="I1358" s="5"/>
    </row>
    <row r="1359" spans="1:9" x14ac:dyDescent="0.2">
      <c r="A1359" s="3"/>
      <c r="B1359" s="6"/>
      <c r="C1359" s="7"/>
      <c r="D1359" s="7"/>
      <c r="E1359" s="7"/>
      <c r="F1359" s="7"/>
      <c r="G1359" s="7"/>
      <c r="H1359" s="8">
        <f>ROUND(IF(PRODUCT(IF(C1359=0,1,C1359),IF(E1359=0,1,E1359),IF(F1359=0,1,F1359),IF(G1359=0,1,G1359))=1,0,PRODUCT(IF(C1359=0,1,C1359),IF(E1359=0,1,E1359),IF(F1359=0,1,F1359),IF(G1359=0,1,G1359))),2)</f>
        <v>0</v>
      </c>
      <c r="I1359" s="5"/>
    </row>
    <row r="1360" spans="1:9" x14ac:dyDescent="0.2">
      <c r="A1360" s="3"/>
      <c r="C1360" s="10"/>
      <c r="D1360" s="10"/>
      <c r="E1360" s="9"/>
      <c r="F1360" s="94" t="s">
        <v>11</v>
      </c>
      <c r="G1360" s="95" t="s">
        <v>264</v>
      </c>
      <c r="H1360" s="11">
        <f>SUM(H1358:H1359)</f>
        <v>65.94</v>
      </c>
      <c r="I1360" s="12" t="s">
        <v>17</v>
      </c>
    </row>
    <row r="1361" spans="1:9" ht="22.15" customHeight="1" x14ac:dyDescent="0.2">
      <c r="A1361" s="3" t="str">
        <f>'Orçamento Sintético'!A295</f>
        <v>16.2.4</v>
      </c>
      <c r="B1361" s="270" t="str">
        <f>'Orçamento Sintético'!D295</f>
        <v>FABRICAÇÃO, MONTAGEM E DESMONTAGEM DE FÔRMA PARA VIGA BALDRAME, EM MADEIRA SERRADA, E=25 MM, 4 UTILIZAÇÕES. AF_06/2017</v>
      </c>
      <c r="C1361" s="271"/>
      <c r="D1361" s="271"/>
      <c r="E1361" s="272"/>
      <c r="I1361" s="5"/>
    </row>
    <row r="1362" spans="1:9" x14ac:dyDescent="0.2">
      <c r="A1362" s="3"/>
      <c r="B1362" s="91" t="s">
        <v>260</v>
      </c>
      <c r="C1362" s="91" t="s">
        <v>8</v>
      </c>
      <c r="D1362" s="91" t="s">
        <v>266</v>
      </c>
      <c r="E1362" s="91" t="s">
        <v>261</v>
      </c>
      <c r="F1362" s="91" t="s">
        <v>262</v>
      </c>
      <c r="G1362" s="91" t="s">
        <v>263</v>
      </c>
      <c r="H1362" s="91" t="s">
        <v>11</v>
      </c>
      <c r="I1362" s="5"/>
    </row>
    <row r="1363" spans="1:9" x14ac:dyDescent="0.2">
      <c r="A1363" s="3"/>
      <c r="B1363" s="23" t="s">
        <v>973</v>
      </c>
      <c r="C1363" s="161"/>
      <c r="D1363" s="7">
        <v>52.35</v>
      </c>
      <c r="E1363" s="161"/>
      <c r="F1363" s="161"/>
      <c r="G1363" s="7"/>
      <c r="H1363" s="8">
        <f>ROUND(IF(PRODUCT(IF(C1363=0,1,C1363),IF(D1363=0,1,D1363),IF(E1363=0,1,E1363),IF(F1363=0,1,F1363),IF(G1363=0,1,G1363))=1,0,PRODUCT(IF(C1363=0,1,C1363),IF(D1363=0,1,D1363),IF(E1363=0,1,E1363),IF(F1363=0,1,F1363),IF(G1363=0,1,G1363))),2)</f>
        <v>52.35</v>
      </c>
      <c r="I1363" s="5"/>
    </row>
    <row r="1364" spans="1:9" x14ac:dyDescent="0.2">
      <c r="A1364" s="3"/>
      <c r="B1364" s="6"/>
      <c r="C1364" s="161"/>
      <c r="D1364" s="161"/>
      <c r="E1364" s="161"/>
      <c r="F1364" s="161"/>
      <c r="G1364" s="7"/>
      <c r="H1364" s="8"/>
      <c r="I1364" s="5"/>
    </row>
    <row r="1365" spans="1:9" x14ac:dyDescent="0.2">
      <c r="A1365" s="3"/>
      <c r="B1365" s="23" t="s">
        <v>777</v>
      </c>
      <c r="C1365" s="161"/>
      <c r="D1365" s="7">
        <v>13.33</v>
      </c>
      <c r="E1365" s="161"/>
      <c r="F1365" s="161"/>
      <c r="G1365" s="7"/>
      <c r="H1365" s="8">
        <f>ROUND(IF(PRODUCT(IF(C1365=0,1,C1365),IF(D1365=0,1,D1365),IF(E1365=0,1,E1365),IF(F1365=0,1,F1365),IF(G1365=0,1,G1365))=1,0,PRODUCT(IF(C1365=0,1,C1365),IF(D1365=0,1,D1365),IF(E1365=0,1,E1365),IF(F1365=0,1,F1365),IF(G1365=0,1,G1365))),2)</f>
        <v>13.33</v>
      </c>
      <c r="I1365" s="5"/>
    </row>
    <row r="1366" spans="1:9" x14ac:dyDescent="0.2">
      <c r="A1366" s="3"/>
      <c r="B1366" s="6"/>
      <c r="C1366" s="7"/>
      <c r="D1366" s="7"/>
      <c r="E1366" s="7"/>
      <c r="F1366" s="7"/>
      <c r="G1366" s="7"/>
      <c r="H1366" s="8">
        <f>ROUND(IF(PRODUCT(IF(C1366=0,1,C1366),IF(E1366=0,1,E1366),IF(F1366=0,1,F1366),IF(G1366=0,1,G1366))=1,0,PRODUCT(IF(C1366=0,1,C1366),IF(E1366=0,1,E1366),IF(F1366=0,1,F1366),IF(G1366=0,1,G1366))),2)</f>
        <v>0</v>
      </c>
      <c r="I1366" s="5"/>
    </row>
    <row r="1367" spans="1:9" x14ac:dyDescent="0.2">
      <c r="A1367" s="3"/>
      <c r="C1367" s="10"/>
      <c r="D1367" s="10"/>
      <c r="E1367" s="9"/>
      <c r="F1367" s="94" t="s">
        <v>11</v>
      </c>
      <c r="G1367" s="95" t="s">
        <v>264</v>
      </c>
      <c r="H1367" s="11">
        <f>SUM(H1363:H1365)</f>
        <v>65.680000000000007</v>
      </c>
      <c r="I1367" s="12" t="s">
        <v>17</v>
      </c>
    </row>
    <row r="1368" spans="1:9" ht="22.9" customHeight="1" x14ac:dyDescent="0.2">
      <c r="A1368" s="3" t="str">
        <f>'Orçamento Sintético'!A296</f>
        <v>16.2.5</v>
      </c>
      <c r="B1368" s="270" t="str">
        <f>'Orçamento Sintético'!D296</f>
        <v>ARMAÇÃO DE SAPATA ISOLADA, VIGA BALDRAME E SAPATA CORRIDA UTILIZANDO AÇO CA-60 DE 5 MM - MONTAGEM. AF_01/2024</v>
      </c>
      <c r="C1368" s="271"/>
      <c r="D1368" s="271"/>
      <c r="E1368" s="272"/>
      <c r="I1368" s="5"/>
    </row>
    <row r="1369" spans="1:9" x14ac:dyDescent="0.2">
      <c r="A1369" s="3"/>
      <c r="B1369" s="91" t="s">
        <v>260</v>
      </c>
      <c r="C1369" s="91" t="s">
        <v>8</v>
      </c>
      <c r="D1369" s="91" t="s">
        <v>676</v>
      </c>
      <c r="E1369" s="91" t="s">
        <v>261</v>
      </c>
      <c r="F1369" s="91" t="s">
        <v>262</v>
      </c>
      <c r="G1369" s="91" t="s">
        <v>263</v>
      </c>
      <c r="H1369" s="91" t="s">
        <v>11</v>
      </c>
      <c r="I1369" s="5"/>
    </row>
    <row r="1370" spans="1:9" x14ac:dyDescent="0.2">
      <c r="A1370" s="3"/>
      <c r="B1370" s="23" t="s">
        <v>973</v>
      </c>
      <c r="C1370" s="161"/>
      <c r="D1370" s="7">
        <v>114</v>
      </c>
      <c r="E1370" s="161"/>
      <c r="F1370" s="161"/>
      <c r="G1370" s="7"/>
      <c r="H1370" s="8">
        <f>ROUND(IF(PRODUCT(IF(C1370=0,1,C1370),IF(D1370=0,1,D1370),IF(E1370=0,1,E1370),IF(F1370=0,1,F1370),IF(G1370=0,1,G1370))=1,0,PRODUCT(IF(C1370=0,1,C1370),IF(D1370=0,1,D1370),IF(E1370=0,1,E1370),IF(F1370=0,1,F1370),IF(G1370=0,1,G1370))),2)</f>
        <v>114</v>
      </c>
      <c r="I1370" s="5"/>
    </row>
    <row r="1371" spans="1:9" x14ac:dyDescent="0.2">
      <c r="A1371" s="3"/>
      <c r="B1371" s="6"/>
      <c r="C1371" s="161"/>
      <c r="D1371" s="161"/>
      <c r="E1371" s="161"/>
      <c r="F1371" s="161"/>
      <c r="G1371" s="7"/>
      <c r="H1371" s="8"/>
      <c r="I1371" s="5"/>
    </row>
    <row r="1372" spans="1:9" x14ac:dyDescent="0.2">
      <c r="A1372" s="3"/>
      <c r="B1372" s="23" t="s">
        <v>777</v>
      </c>
      <c r="C1372" s="161"/>
      <c r="D1372" s="7">
        <v>20</v>
      </c>
      <c r="E1372" s="161"/>
      <c r="F1372" s="161"/>
      <c r="G1372" s="7"/>
      <c r="H1372" s="8">
        <f>ROUND(IF(PRODUCT(IF(C1372=0,1,C1372),IF(D1372=0,1,D1372),IF(E1372=0,1,E1372),IF(F1372=0,1,F1372),IF(G1372=0,1,G1372))=1,0,PRODUCT(IF(C1372=0,1,C1372),IF(D1372=0,1,D1372),IF(E1372=0,1,E1372),IF(F1372=0,1,F1372),IF(G1372=0,1,G1372))),2)</f>
        <v>20</v>
      </c>
      <c r="I1372" s="5"/>
    </row>
    <row r="1373" spans="1:9" x14ac:dyDescent="0.2">
      <c r="A1373" s="3"/>
      <c r="B1373" s="6"/>
      <c r="C1373" s="7"/>
      <c r="D1373" s="7"/>
      <c r="E1373" s="7"/>
      <c r="F1373" s="7"/>
      <c r="G1373" s="7"/>
      <c r="H1373" s="8">
        <f>ROUND(IF(PRODUCT(IF(C1373=0,1,C1373),IF(E1373=0,1,E1373),IF(F1373=0,1,F1373),IF(G1373=0,1,G1373))=1,0,PRODUCT(IF(C1373=0,1,C1373),IF(E1373=0,1,E1373),IF(F1373=0,1,F1373),IF(G1373=0,1,G1373))),2)</f>
        <v>0</v>
      </c>
      <c r="I1373" s="5"/>
    </row>
    <row r="1374" spans="1:9" x14ac:dyDescent="0.2">
      <c r="A1374" s="3"/>
      <c r="C1374" s="10"/>
      <c r="D1374" s="10"/>
      <c r="E1374" s="9"/>
      <c r="F1374" s="94" t="s">
        <v>11</v>
      </c>
      <c r="G1374" s="95" t="s">
        <v>264</v>
      </c>
      <c r="H1374" s="11">
        <f>SUM(H1370:H1372)</f>
        <v>134</v>
      </c>
      <c r="I1374" s="12" t="s">
        <v>299</v>
      </c>
    </row>
    <row r="1375" spans="1:9" ht="21.6" customHeight="1" x14ac:dyDescent="0.2">
      <c r="A1375" s="3" t="str">
        <f>'Orçamento Sintético'!A297</f>
        <v>16.2.6</v>
      </c>
      <c r="B1375" s="270" t="str">
        <f>'Orçamento Sintético'!D297</f>
        <v>ARMAÇÃO DE SAPATA ISOLADA, VIGA BALDRAME E SAPATA CORRIDA UTILIZANDO AÇO CA-50 DE 6,3 MM - MONTAGEM. AF_01/2024</v>
      </c>
      <c r="C1375" s="271"/>
      <c r="D1375" s="271"/>
      <c r="E1375" s="272"/>
      <c r="I1375" s="5"/>
    </row>
    <row r="1376" spans="1:9" x14ac:dyDescent="0.2">
      <c r="A1376" s="3"/>
      <c r="B1376" s="91" t="s">
        <v>260</v>
      </c>
      <c r="C1376" s="91" t="s">
        <v>8</v>
      </c>
      <c r="D1376" s="91" t="s">
        <v>676</v>
      </c>
      <c r="E1376" s="91" t="s">
        <v>261</v>
      </c>
      <c r="F1376" s="91" t="s">
        <v>262</v>
      </c>
      <c r="G1376" s="91" t="s">
        <v>263</v>
      </c>
      <c r="H1376" s="91" t="s">
        <v>11</v>
      </c>
      <c r="I1376" s="5"/>
    </row>
    <row r="1377" spans="1:9" x14ac:dyDescent="0.2">
      <c r="A1377" s="3"/>
      <c r="B1377" s="23" t="s">
        <v>973</v>
      </c>
      <c r="C1377" s="161"/>
      <c r="D1377" s="7">
        <v>161</v>
      </c>
      <c r="E1377" s="161"/>
      <c r="F1377" s="161"/>
      <c r="G1377" s="7"/>
      <c r="H1377" s="8">
        <f>ROUND(IF(PRODUCT(IF(C1377=0,1,C1377),IF(D1377=0,1,D1377),IF(E1377=0,1,E1377),IF(F1377=0,1,F1377),IF(G1377=0,1,G1377))=1,0,PRODUCT(IF(C1377=0,1,C1377),IF(D1377=0,1,D1377),IF(E1377=0,1,E1377),IF(F1377=0,1,F1377),IF(G1377=0,1,G1377))),2)</f>
        <v>161</v>
      </c>
      <c r="I1377" s="5"/>
    </row>
    <row r="1378" spans="1:9" x14ac:dyDescent="0.2">
      <c r="A1378" s="3"/>
      <c r="B1378" s="6"/>
      <c r="C1378" s="161"/>
      <c r="D1378" s="161"/>
      <c r="E1378" s="161"/>
      <c r="F1378" s="161"/>
      <c r="G1378" s="161"/>
      <c r="H1378" s="8"/>
      <c r="I1378" s="5"/>
    </row>
    <row r="1379" spans="1:9" x14ac:dyDescent="0.2">
      <c r="A1379" s="3"/>
      <c r="B1379" s="23" t="s">
        <v>777</v>
      </c>
      <c r="C1379" s="161"/>
      <c r="D1379" s="7">
        <v>33</v>
      </c>
      <c r="E1379" s="161"/>
      <c r="F1379" s="161"/>
      <c r="G1379" s="7"/>
      <c r="H1379" s="8">
        <f>ROUND(IF(PRODUCT(IF(C1379=0,1,C1379),IF(D1379=0,1,D1379),IF(E1379=0,1,E1379),IF(F1379=0,1,F1379),IF(G1379=0,1,G1379))=1,0,PRODUCT(IF(C1379=0,1,C1379),IF(D1379=0,1,D1379),IF(E1379=0,1,E1379),IF(F1379=0,1,F1379),IF(G1379=0,1,G1379))),2)</f>
        <v>33</v>
      </c>
      <c r="I1379" s="5"/>
    </row>
    <row r="1380" spans="1:9" x14ac:dyDescent="0.2">
      <c r="A1380" s="3"/>
      <c r="B1380" s="6"/>
      <c r="C1380" s="7"/>
      <c r="D1380" s="7"/>
      <c r="E1380" s="7"/>
      <c r="F1380" s="7"/>
      <c r="G1380" s="7"/>
      <c r="H1380" s="8">
        <f>ROUND(IF(PRODUCT(IF(C1380=0,1,C1380),IF(E1380=0,1,E1380),IF(F1380=0,1,F1380),IF(G1380=0,1,G1380))=1,0,PRODUCT(IF(C1380=0,1,C1380),IF(E1380=0,1,E1380),IF(F1380=0,1,F1380),IF(G1380=0,1,G1380))),2)</f>
        <v>0</v>
      </c>
      <c r="I1380" s="5"/>
    </row>
    <row r="1381" spans="1:9" x14ac:dyDescent="0.2">
      <c r="A1381" s="3"/>
      <c r="C1381" s="10"/>
      <c r="D1381" s="10"/>
      <c r="E1381" s="9"/>
      <c r="F1381" s="94" t="s">
        <v>11</v>
      </c>
      <c r="G1381" s="95" t="s">
        <v>264</v>
      </c>
      <c r="H1381" s="11">
        <f>SUM(H1377:H1379)</f>
        <v>194</v>
      </c>
      <c r="I1381" s="12" t="s">
        <v>299</v>
      </c>
    </row>
    <row r="1382" spans="1:9" ht="21.6" customHeight="1" x14ac:dyDescent="0.2">
      <c r="A1382" s="3" t="str">
        <f>'Orçamento Sintético'!A298</f>
        <v>16.2.7</v>
      </c>
      <c r="B1382" s="270" t="str">
        <f>'Orçamento Sintético'!D298</f>
        <v>ARMAÇÃO DE SAPATA ISOLADA, VIGA BALDRAME E SAPATA CORRIDA UTILIZANDO AÇO CA-50 DE 8 MM - MONTAGEM. AF_01/2024</v>
      </c>
      <c r="C1382" s="271"/>
      <c r="D1382" s="271"/>
      <c r="E1382" s="272"/>
      <c r="I1382" s="5"/>
    </row>
    <row r="1383" spans="1:9" x14ac:dyDescent="0.2">
      <c r="A1383" s="3"/>
      <c r="B1383" s="91" t="s">
        <v>260</v>
      </c>
      <c r="C1383" s="91" t="s">
        <v>8</v>
      </c>
      <c r="D1383" s="91" t="s">
        <v>676</v>
      </c>
      <c r="E1383" s="91" t="s">
        <v>261</v>
      </c>
      <c r="F1383" s="91" t="s">
        <v>262</v>
      </c>
      <c r="G1383" s="91" t="s">
        <v>263</v>
      </c>
      <c r="H1383" s="91" t="s">
        <v>11</v>
      </c>
      <c r="I1383" s="5"/>
    </row>
    <row r="1384" spans="1:9" x14ac:dyDescent="0.2">
      <c r="A1384" s="3"/>
      <c r="B1384" s="23" t="s">
        <v>973</v>
      </c>
      <c r="C1384" s="161"/>
      <c r="D1384" s="7">
        <v>2</v>
      </c>
      <c r="E1384" s="161"/>
      <c r="F1384" s="161"/>
      <c r="G1384" s="7"/>
      <c r="H1384" s="8">
        <f>PRODUCT(C1384,D1384,E1384,F1384,G1384)</f>
        <v>2</v>
      </c>
      <c r="I1384" s="5"/>
    </row>
    <row r="1385" spans="1:9" x14ac:dyDescent="0.2">
      <c r="A1385" s="3"/>
      <c r="B1385" s="6"/>
      <c r="C1385" s="7"/>
      <c r="D1385" s="7"/>
      <c r="E1385" s="7"/>
      <c r="F1385" s="7"/>
      <c r="G1385" s="7"/>
      <c r="H1385" s="8">
        <f>ROUND(IF(PRODUCT(IF(C1385=0,1,C1385),IF(E1385=0,1,E1385),IF(F1385=0,1,F1385),IF(G1385=0,1,G1385))=1,0,PRODUCT(IF(C1385=0,1,C1385),IF(E1385=0,1,E1385),IF(F1385=0,1,F1385),IF(G1385=0,1,G1385))),2)</f>
        <v>0</v>
      </c>
      <c r="I1385" s="5"/>
    </row>
    <row r="1386" spans="1:9" x14ac:dyDescent="0.2">
      <c r="A1386" s="3"/>
      <c r="C1386" s="10"/>
      <c r="D1386" s="10"/>
      <c r="E1386" s="9"/>
      <c r="F1386" s="94" t="s">
        <v>11</v>
      </c>
      <c r="G1386" s="95" t="s">
        <v>264</v>
      </c>
      <c r="H1386" s="11">
        <f>SUM(H1384:H1385)</f>
        <v>2</v>
      </c>
      <c r="I1386" s="12" t="s">
        <v>299</v>
      </c>
    </row>
    <row r="1387" spans="1:9" ht="23.25" customHeight="1" x14ac:dyDescent="0.2">
      <c r="A1387" s="3" t="str">
        <f>'Orçamento Sintético'!A299</f>
        <v>16.2.8</v>
      </c>
      <c r="B1387" s="270" t="str">
        <f>'Orçamento Sintético'!D299</f>
        <v>CONCRETAGEM DE BLOCO DE COROAMENTO OU VIGA BALDRAME, FCK 30 MPA, COM USO DE BOMBA - LANÇAMENTO, ADENSAMENTO E ACABAMENTO. AF_01/2024</v>
      </c>
      <c r="C1387" s="271"/>
      <c r="D1387" s="271"/>
      <c r="E1387" s="272"/>
      <c r="I1387" s="5"/>
    </row>
    <row r="1388" spans="1:9" x14ac:dyDescent="0.2">
      <c r="A1388" s="3"/>
      <c r="B1388" s="91" t="s">
        <v>260</v>
      </c>
      <c r="C1388" s="91" t="s">
        <v>8</v>
      </c>
      <c r="D1388" s="91" t="s">
        <v>677</v>
      </c>
      <c r="E1388" s="91" t="s">
        <v>261</v>
      </c>
      <c r="F1388" s="91" t="s">
        <v>262</v>
      </c>
      <c r="G1388" s="91" t="s">
        <v>263</v>
      </c>
      <c r="H1388" s="91" t="s">
        <v>11</v>
      </c>
      <c r="I1388" s="5"/>
    </row>
    <row r="1389" spans="1:9" x14ac:dyDescent="0.2">
      <c r="A1389" s="3"/>
      <c r="B1389" s="23" t="s">
        <v>973</v>
      </c>
      <c r="C1389" s="161"/>
      <c r="D1389" s="161"/>
      <c r="E1389" s="161"/>
      <c r="F1389" s="161"/>
      <c r="G1389" s="161"/>
      <c r="H1389" s="8"/>
      <c r="I1389" s="5"/>
    </row>
    <row r="1390" spans="1:9" x14ac:dyDescent="0.2">
      <c r="A1390" s="3"/>
      <c r="B1390" s="6" t="s">
        <v>566</v>
      </c>
      <c r="C1390" s="161"/>
      <c r="D1390" s="7">
        <v>3.42</v>
      </c>
      <c r="E1390" s="198"/>
      <c r="F1390" s="161"/>
      <c r="G1390" s="161"/>
      <c r="H1390" s="8">
        <f>ROUND(IF(PRODUCT(IF(C1390=0,1,C1390),IF(D1390=0,1,D1390),IF(E1390=0,1,E1390),IF(F1390=0,1,F1390),IF(G1390=0,1,G1390))=1,0,PRODUCT(IF(C1390=0,1,C1390),IF(D1390=0,1,D1390),IF(E1390=0,1,E1390),IF(F1390=0,1,F1390),IF(G1390=0,1,G1390))),2)</f>
        <v>3.42</v>
      </c>
      <c r="I1390" s="5"/>
    </row>
    <row r="1391" spans="1:9" x14ac:dyDescent="0.2">
      <c r="A1391" s="3"/>
      <c r="B1391" s="6"/>
      <c r="C1391" s="161"/>
      <c r="D1391" s="161"/>
      <c r="E1391" s="198"/>
      <c r="F1391" s="161"/>
      <c r="G1391" s="161"/>
      <c r="H1391" s="8"/>
      <c r="I1391" s="5"/>
    </row>
    <row r="1392" spans="1:9" x14ac:dyDescent="0.2">
      <c r="A1392" s="3"/>
      <c r="B1392" s="23" t="s">
        <v>777</v>
      </c>
      <c r="C1392" s="7"/>
      <c r="D1392" s="7"/>
      <c r="E1392" s="7"/>
      <c r="F1392" s="7"/>
      <c r="G1392" s="7"/>
      <c r="H1392" s="8"/>
      <c r="I1392" s="5"/>
    </row>
    <row r="1393" spans="1:9" x14ac:dyDescent="0.2">
      <c r="A1393" s="3"/>
      <c r="B1393" s="6" t="s">
        <v>566</v>
      </c>
      <c r="C1393" s="7"/>
      <c r="D1393" s="7">
        <v>1.05</v>
      </c>
      <c r="E1393" s="7"/>
      <c r="F1393" s="7"/>
      <c r="G1393" s="7"/>
      <c r="H1393" s="8">
        <f>ROUND(IF(PRODUCT(IF(C1393=0,1,C1393),IF(D1393=0,1,D1393),IF(E1393=0,1,E1393),IF(F1393=0,1,F1393),IF(G1393=0,1,G1393))=1,0,PRODUCT(IF(C1393=0,1,C1393),IF(D1393=0,1,D1393),IF(E1393=0,1,E1393),IF(F1393=0,1,F1393),IF(G1393=0,1,G1393))),2)</f>
        <v>1.05</v>
      </c>
      <c r="I1393" s="5"/>
    </row>
    <row r="1394" spans="1:9" x14ac:dyDescent="0.2">
      <c r="A1394" s="3"/>
      <c r="B1394" s="6"/>
      <c r="C1394" s="161"/>
      <c r="D1394" s="161"/>
      <c r="E1394" s="161"/>
      <c r="F1394" s="161"/>
      <c r="G1394" s="161"/>
      <c r="H1394" s="8"/>
      <c r="I1394" s="5"/>
    </row>
    <row r="1395" spans="1:9" x14ac:dyDescent="0.2">
      <c r="A1395" s="3"/>
      <c r="C1395" s="10"/>
      <c r="D1395" s="10"/>
      <c r="E1395" s="9"/>
      <c r="F1395" s="94" t="s">
        <v>11</v>
      </c>
      <c r="G1395" s="95" t="s">
        <v>264</v>
      </c>
      <c r="H1395" s="11">
        <f>SUM(H1389:H1394)</f>
        <v>4.47</v>
      </c>
      <c r="I1395" s="12" t="s">
        <v>24</v>
      </c>
    </row>
    <row r="1396" spans="1:9" ht="14.25" customHeight="1" x14ac:dyDescent="0.2">
      <c r="A1396" s="3" t="str">
        <f>'Orçamento Sintético'!A300</f>
        <v>16.2.9</v>
      </c>
      <c r="B1396" s="270" t="str">
        <f>'Orçamento Sintético'!D300</f>
        <v>REATERRO MANUAL DE VALAS, COM COMPACTADOR DE SOLOS DE PERCUSSÃO. AF_08/2023</v>
      </c>
      <c r="C1396" s="271"/>
      <c r="D1396" s="271"/>
      <c r="E1396" s="272"/>
      <c r="I1396" s="5"/>
    </row>
    <row r="1397" spans="1:9" x14ac:dyDescent="0.2">
      <c r="A1397" s="3"/>
      <c r="B1397" s="91" t="s">
        <v>260</v>
      </c>
      <c r="C1397" s="91" t="s">
        <v>8</v>
      </c>
      <c r="D1397" s="91" t="s">
        <v>266</v>
      </c>
      <c r="E1397" s="91" t="s">
        <v>261</v>
      </c>
      <c r="F1397" s="91" t="s">
        <v>262</v>
      </c>
      <c r="G1397" s="91" t="s">
        <v>263</v>
      </c>
      <c r="H1397" s="91" t="s">
        <v>11</v>
      </c>
      <c r="I1397" s="5"/>
    </row>
    <row r="1398" spans="1:9" x14ac:dyDescent="0.2">
      <c r="A1398" s="3"/>
      <c r="B1398" s="23" t="s">
        <v>559</v>
      </c>
      <c r="C1398" s="15"/>
      <c r="D1398" s="7"/>
      <c r="E1398" s="7"/>
      <c r="F1398" s="7"/>
      <c r="G1398" s="7"/>
      <c r="H1398" s="8"/>
      <c r="I1398" s="5"/>
    </row>
    <row r="1399" spans="1:9" x14ac:dyDescent="0.2">
      <c r="A1399" s="3"/>
      <c r="B1399" s="23"/>
      <c r="C1399" s="15"/>
      <c r="D1399" s="7"/>
      <c r="E1399" s="7"/>
      <c r="F1399" s="7"/>
      <c r="G1399" s="7"/>
      <c r="H1399" s="8"/>
      <c r="I1399" s="5"/>
    </row>
    <row r="1400" spans="1:9" x14ac:dyDescent="0.2">
      <c r="A1400" s="3"/>
      <c r="B1400" s="6" t="s">
        <v>283</v>
      </c>
      <c r="C1400" s="15">
        <f>H1346</f>
        <v>25.8</v>
      </c>
      <c r="D1400" s="7"/>
      <c r="E1400" s="7"/>
      <c r="F1400" s="7"/>
      <c r="G1400" s="7"/>
      <c r="H1400" s="8">
        <f>ROUND(IF(PRODUCT(IF(C1400=0,1,C1400),IF(D1400=0,1,D1400),IF(E1400=0,1,E1400),IF(F1400=0,1,F1400),IF(G1400=0,1,G1400))=1,0,PRODUCT(IF(C1400=0,1,C1400),IF(D1400=0,1,D1400),IF(E1400=0,1,E1400),IF(F1400=0,1,F1400),IF(G1400=0,1,G1400))),2)</f>
        <v>25.8</v>
      </c>
      <c r="I1400" s="5"/>
    </row>
    <row r="1401" spans="1:9" x14ac:dyDescent="0.2">
      <c r="A1401" s="3"/>
      <c r="B1401" s="16" t="s">
        <v>280</v>
      </c>
      <c r="C1401" s="17">
        <f>H1360*0.05</f>
        <v>3.2970000000000002</v>
      </c>
      <c r="D1401" s="7"/>
      <c r="E1401" s="7"/>
      <c r="F1401" s="7"/>
      <c r="G1401" s="7"/>
      <c r="H1401" s="17">
        <f>-ROUND(IF(PRODUCT(IF(C1401=0,1,C1401),IF(D1401=0,1,D1401),IF(E1401=0,1,E1401),IF(F1401=0,1,F1401),IF(G1401=0,1,G1401))=1,0,PRODUCT(IF(C1401=0,1,C1401),IF(D1401=0,1,D1401),IF(E1401=0,1,E1401),IF(F1401=0,1,F1401),IF(G1401=0,1,G1401))),2)</f>
        <v>-3.3</v>
      </c>
      <c r="I1401" s="5"/>
    </row>
    <row r="1402" spans="1:9" x14ac:dyDescent="0.2">
      <c r="A1402" s="3"/>
      <c r="B1402" s="16" t="s">
        <v>284</v>
      </c>
      <c r="C1402" s="17">
        <f>H1395</f>
        <v>4.47</v>
      </c>
      <c r="D1402" s="7"/>
      <c r="E1402" s="7"/>
      <c r="F1402" s="7"/>
      <c r="G1402" s="7"/>
      <c r="H1402" s="17">
        <f>-ROUND(IF(PRODUCT(IF(C1402=0,1,C1402),IF(D1402=0,1,D1402),IF(E1402=0,1,E1402),IF(F1402=0,1,F1402),IF(G1402=0,1,G1402))=1,0,PRODUCT(IF(C1402=0,1,C1402),IF(D1402=0,1,D1402),IF(E1402=0,1,E1402),IF(F1402=0,1,F1402),IF(G1402=0,1,G1402))),2)</f>
        <v>-4.47</v>
      </c>
      <c r="I1402" s="5"/>
    </row>
    <row r="1403" spans="1:9" x14ac:dyDescent="0.2">
      <c r="A1403" s="3"/>
      <c r="B1403" s="6"/>
      <c r="C1403" s="7"/>
      <c r="D1403" s="7"/>
      <c r="E1403" s="7"/>
      <c r="F1403" s="7"/>
      <c r="G1403" s="7"/>
      <c r="H1403" s="8">
        <f>ROUND(IF(PRODUCT(IF(C1403=0,1,C1403),IF(E1403=0,1,E1403),IF(F1403=0,1,F1403),IF(G1403=0,1,G1403))=1,0,PRODUCT(IF(C1403=0,1,C1403),IF(E1403=0,1,E1403),IF(F1403=0,1,F1403),IF(G1403=0,1,G1403))),2)</f>
        <v>0</v>
      </c>
      <c r="I1403" s="5"/>
    </row>
    <row r="1404" spans="1:9" x14ac:dyDescent="0.2">
      <c r="A1404" s="3"/>
      <c r="C1404" s="10"/>
      <c r="D1404" s="10"/>
      <c r="E1404" s="9"/>
      <c r="F1404" s="94" t="s">
        <v>11</v>
      </c>
      <c r="G1404" s="95" t="s">
        <v>264</v>
      </c>
      <c r="H1404" s="11">
        <f>SUM(H1400:H1402)</f>
        <v>18.03</v>
      </c>
      <c r="I1404" s="12" t="s">
        <v>24</v>
      </c>
    </row>
    <row r="1405" spans="1:9" x14ac:dyDescent="0.2">
      <c r="A1405" s="96" t="str">
        <f>'Orçamento Sintético'!A301</f>
        <v>16.3</v>
      </c>
      <c r="B1405" s="97" t="str">
        <f>'Orçamento Sintético'!D301</f>
        <v>PILARES</v>
      </c>
      <c r="C1405" s="273"/>
      <c r="D1405" s="274"/>
      <c r="E1405" s="274"/>
      <c r="F1405" s="274"/>
      <c r="G1405" s="274"/>
      <c r="H1405" s="274"/>
      <c r="I1405" s="275"/>
    </row>
    <row r="1406" spans="1:9" ht="22.15" customHeight="1" x14ac:dyDescent="0.2">
      <c r="A1406" s="3" t="str">
        <f>'Orçamento Sintético'!A302</f>
        <v>16.3.1</v>
      </c>
      <c r="B1406" s="270" t="str">
        <f>'Orçamento Sintético'!D302</f>
        <v>MONTAGEM E DESMONTAGEM DE FÔRMA DE PILARES RETANGULARES E ESTRUTURAS SIMILARES, PÉ-DIREITO SIMPLES, EM CHAPA DE MADEIRA COMPENSADA PLASTIFICADA, 18 UTILIZAÇÕES. AF_09/2020</v>
      </c>
      <c r="C1406" s="271"/>
      <c r="D1406" s="271"/>
      <c r="E1406" s="272"/>
      <c r="I1406" s="5"/>
    </row>
    <row r="1407" spans="1:9" x14ac:dyDescent="0.2">
      <c r="A1407" s="3"/>
      <c r="B1407" s="91" t="s">
        <v>260</v>
      </c>
      <c r="C1407" s="91" t="s">
        <v>8</v>
      </c>
      <c r="D1407" s="91" t="s">
        <v>266</v>
      </c>
      <c r="E1407" s="91" t="s">
        <v>261</v>
      </c>
      <c r="F1407" s="91" t="s">
        <v>262</v>
      </c>
      <c r="G1407" s="91" t="s">
        <v>263</v>
      </c>
      <c r="H1407" s="91" t="s">
        <v>11</v>
      </c>
      <c r="I1407" s="5"/>
    </row>
    <row r="1408" spans="1:9" x14ac:dyDescent="0.2">
      <c r="A1408" s="3"/>
      <c r="B1408" s="23" t="s">
        <v>973</v>
      </c>
      <c r="C1408" s="161"/>
      <c r="D1408" s="161"/>
      <c r="E1408" s="161"/>
      <c r="F1408" s="161"/>
      <c r="G1408" s="161"/>
      <c r="H1408" s="8"/>
      <c r="I1408" s="5"/>
    </row>
    <row r="1409" spans="1:9" x14ac:dyDescent="0.2">
      <c r="A1409" s="3"/>
      <c r="B1409" s="6" t="s">
        <v>566</v>
      </c>
      <c r="C1409" s="161"/>
      <c r="D1409" s="7">
        <v>138.47999999999999</v>
      </c>
      <c r="E1409" s="198"/>
      <c r="F1409" s="161"/>
      <c r="G1409" s="161"/>
      <c r="H1409" s="8">
        <f>ROUND(IF(PRODUCT(IF(C1409=0,1,C1409),IF(D1409=0,1,D1409),IF(E1409=0,1,E1409),IF(F1409=0,1,F1409),IF(G1409=0,1,G1409))=1,0,PRODUCT(IF(C1409=0,1,C1409),IF(D1409=0,1,D1409),IF(E1409=0,1,E1409),IF(F1409=0,1,F1409),IF(G1409=0,1,G1409))),2)</f>
        <v>138.47999999999999</v>
      </c>
      <c r="I1409" s="5"/>
    </row>
    <row r="1410" spans="1:9" x14ac:dyDescent="0.2">
      <c r="A1410" s="3"/>
      <c r="B1410" s="6"/>
      <c r="C1410" s="161"/>
      <c r="D1410" s="7"/>
      <c r="E1410" s="198"/>
      <c r="F1410" s="161"/>
      <c r="G1410" s="161"/>
      <c r="H1410" s="8"/>
      <c r="I1410" s="5"/>
    </row>
    <row r="1411" spans="1:9" x14ac:dyDescent="0.2">
      <c r="A1411" s="3"/>
      <c r="B1411" s="23" t="s">
        <v>777</v>
      </c>
      <c r="C1411" s="7"/>
      <c r="D1411" s="7"/>
      <c r="E1411" s="7"/>
      <c r="F1411" s="7"/>
      <c r="G1411" s="7"/>
      <c r="H1411" s="8"/>
      <c r="I1411" s="5"/>
    </row>
    <row r="1412" spans="1:9" x14ac:dyDescent="0.2">
      <c r="A1412" s="3"/>
      <c r="B1412" s="6" t="s">
        <v>566</v>
      </c>
      <c r="C1412" s="7"/>
      <c r="D1412" s="7">
        <v>11.52</v>
      </c>
      <c r="E1412" s="7"/>
      <c r="F1412" s="7"/>
      <c r="G1412" s="7"/>
      <c r="H1412" s="8">
        <f>ROUND(IF(PRODUCT(IF(C1412=0,1,C1412),IF(D1412=0,1,D1412),IF(E1412=0,1,E1412),IF(F1412=0,1,F1412),IF(G1412=0,1,G1412))=1,0,PRODUCT(IF(C1412=0,1,C1412),IF(D1412=0,1,D1412),IF(E1412=0,1,E1412),IF(F1412=0,1,F1412),IF(G1412=0,1,G1412))),2)</f>
        <v>11.52</v>
      </c>
      <c r="I1412" s="5"/>
    </row>
    <row r="1413" spans="1:9" x14ac:dyDescent="0.2">
      <c r="A1413" s="3"/>
      <c r="B1413" s="6"/>
      <c r="C1413" s="7"/>
      <c r="D1413" s="7"/>
      <c r="E1413" s="7"/>
      <c r="F1413" s="7"/>
      <c r="G1413" s="7"/>
      <c r="H1413" s="8">
        <f>ROUND(IF(PRODUCT(IF(C1413=0,1,C1413),IF(E1413=0,1,E1413),IF(F1413=0,1,F1413),IF(G1413=0,1,G1413))=1,0,PRODUCT(IF(C1413=0,1,C1413),IF(E1413=0,1,E1413),IF(F1413=0,1,F1413),IF(G1413=0,1,G1413))),2)</f>
        <v>0</v>
      </c>
      <c r="I1413" s="5"/>
    </row>
    <row r="1414" spans="1:9" x14ac:dyDescent="0.2">
      <c r="A1414" s="3"/>
      <c r="C1414" s="10"/>
      <c r="D1414" s="10"/>
      <c r="E1414" s="9"/>
      <c r="F1414" s="94" t="s">
        <v>11</v>
      </c>
      <c r="G1414" s="95" t="s">
        <v>264</v>
      </c>
      <c r="H1414" s="11">
        <f>SUM(H1408:H1412)</f>
        <v>150</v>
      </c>
      <c r="I1414" s="12" t="s">
        <v>17</v>
      </c>
    </row>
    <row r="1415" spans="1:9" ht="22.9" customHeight="1" x14ac:dyDescent="0.2">
      <c r="A1415" s="3" t="str">
        <f>'Orçamento Sintético'!A303</f>
        <v>16.3.2</v>
      </c>
      <c r="B1415" s="270" t="str">
        <f>'Orçamento Sintético'!D303</f>
        <v>ARMAÇÃO DE PILAR OU VIGA DE ESTRUTURA CONVENCIONAL DE CONCRETO ARMADO UTILIZANDO AÇO CA-60 DE 5,0 MM - MONTAGEM. AF_06/2022</v>
      </c>
      <c r="C1415" s="271"/>
      <c r="D1415" s="271"/>
      <c r="E1415" s="272"/>
      <c r="I1415" s="5"/>
    </row>
    <row r="1416" spans="1:9" x14ac:dyDescent="0.2">
      <c r="A1416" s="3"/>
      <c r="B1416" s="91" t="s">
        <v>260</v>
      </c>
      <c r="C1416" s="91" t="s">
        <v>8</v>
      </c>
      <c r="D1416" s="91" t="s">
        <v>676</v>
      </c>
      <c r="E1416" s="91" t="s">
        <v>261</v>
      </c>
      <c r="F1416" s="91" t="s">
        <v>262</v>
      </c>
      <c r="G1416" s="91" t="s">
        <v>263</v>
      </c>
      <c r="H1416" s="91" t="s">
        <v>11</v>
      </c>
      <c r="I1416" s="5"/>
    </row>
    <row r="1417" spans="1:9" x14ac:dyDescent="0.2">
      <c r="A1417" s="3"/>
      <c r="B1417" s="23" t="s">
        <v>973</v>
      </c>
      <c r="C1417" s="161"/>
      <c r="D1417" s="161"/>
      <c r="E1417" s="161"/>
      <c r="F1417" s="161"/>
      <c r="G1417" s="161"/>
      <c r="H1417" s="8"/>
      <c r="I1417" s="5"/>
    </row>
    <row r="1418" spans="1:9" x14ac:dyDescent="0.2">
      <c r="A1418" s="3"/>
      <c r="B1418" s="6" t="s">
        <v>566</v>
      </c>
      <c r="C1418" s="161"/>
      <c r="D1418" s="7">
        <v>192</v>
      </c>
      <c r="E1418" s="198"/>
      <c r="F1418" s="161"/>
      <c r="G1418" s="161"/>
      <c r="H1418" s="8">
        <f>ROUND(IF(PRODUCT(IF(C1418=0,1,C1418),IF(D1418=0,1,D1418),IF(E1418=0,1,E1418),IF(F1418=0,1,F1418),IF(G1418=0,1,G1418))=1,0,PRODUCT(IF(C1418=0,1,C1418),IF(D1418=0,1,D1418),IF(E1418=0,1,E1418),IF(F1418=0,1,F1418),IF(G1418=0,1,G1418))),2)</f>
        <v>192</v>
      </c>
      <c r="I1418" s="5"/>
    </row>
    <row r="1419" spans="1:9" x14ac:dyDescent="0.2">
      <c r="A1419" s="3"/>
      <c r="B1419" s="6"/>
      <c r="C1419" s="198"/>
      <c r="D1419" s="7"/>
      <c r="E1419" s="198"/>
      <c r="F1419" s="161"/>
      <c r="G1419" s="161"/>
      <c r="H1419" s="8"/>
      <c r="I1419" s="5"/>
    </row>
    <row r="1420" spans="1:9" x14ac:dyDescent="0.2">
      <c r="A1420" s="3"/>
      <c r="B1420" s="23" t="s">
        <v>777</v>
      </c>
      <c r="C1420" s="7"/>
      <c r="D1420" s="7"/>
      <c r="E1420" s="7"/>
      <c r="F1420" s="7"/>
      <c r="G1420" s="7"/>
      <c r="H1420" s="8"/>
      <c r="I1420" s="5"/>
    </row>
    <row r="1421" spans="1:9" x14ac:dyDescent="0.2">
      <c r="A1421" s="3"/>
      <c r="B1421" s="6" t="s">
        <v>566</v>
      </c>
      <c r="C1421" s="7"/>
      <c r="D1421" s="7">
        <v>19</v>
      </c>
      <c r="E1421" s="7"/>
      <c r="F1421" s="7"/>
      <c r="G1421" s="7"/>
      <c r="H1421" s="8">
        <f>ROUND(IF(PRODUCT(IF(C1421=0,1,C1421),IF(D1421=0,1,D1421),IF(E1421=0,1,E1421),IF(F1421=0,1,F1421),IF(G1421=0,1,G1421))=1,0,PRODUCT(IF(C1421=0,1,C1421),IF(D1421=0,1,D1421),IF(E1421=0,1,E1421),IF(F1421=0,1,F1421),IF(G1421=0,1,G1421))),2)</f>
        <v>19</v>
      </c>
      <c r="I1421" s="5"/>
    </row>
    <row r="1422" spans="1:9" x14ac:dyDescent="0.2">
      <c r="A1422" s="3"/>
      <c r="B1422" s="6"/>
      <c r="C1422" s="7"/>
      <c r="D1422" s="7"/>
      <c r="E1422" s="7"/>
      <c r="F1422" s="7"/>
      <c r="G1422" s="7"/>
      <c r="H1422" s="8">
        <f>ROUND(IF(PRODUCT(IF(C1422=0,1,C1422),IF(E1422=0,1,E1422),IF(F1422=0,1,F1422),IF(G1422=0,1,G1422))=1,0,PRODUCT(IF(C1422=0,1,C1422),IF(E1422=0,1,E1422),IF(F1422=0,1,F1422),IF(G1422=0,1,G1422))),2)</f>
        <v>0</v>
      </c>
      <c r="I1422" s="5"/>
    </row>
    <row r="1423" spans="1:9" x14ac:dyDescent="0.2">
      <c r="A1423" s="3"/>
      <c r="C1423" s="10"/>
      <c r="D1423" s="10"/>
      <c r="E1423" s="9"/>
      <c r="F1423" s="94" t="s">
        <v>11</v>
      </c>
      <c r="G1423" s="95" t="s">
        <v>264</v>
      </c>
      <c r="H1423" s="11">
        <f>SUM(H1417:H1421)</f>
        <v>211</v>
      </c>
      <c r="I1423" s="12" t="s">
        <v>299</v>
      </c>
    </row>
    <row r="1424" spans="1:9" ht="21.6" customHeight="1" x14ac:dyDescent="0.2">
      <c r="A1424" s="3" t="str">
        <f>'Orçamento Sintético'!A304</f>
        <v>16.3.3</v>
      </c>
      <c r="B1424" s="270" t="str">
        <f>'Orçamento Sintético'!D304</f>
        <v>ARMAÇÃO DE PILAR OU VIGA DE ESTRUTURA CONVENCIONAL DE CONCRETO ARMADO UTILIZANDO AÇO CA-50 DE 10,0 MM - MONTAGEM. AF_06/2022</v>
      </c>
      <c r="C1424" s="271"/>
      <c r="D1424" s="271"/>
      <c r="E1424" s="272"/>
      <c r="I1424" s="5"/>
    </row>
    <row r="1425" spans="1:9" x14ac:dyDescent="0.2">
      <c r="A1425" s="3"/>
      <c r="B1425" s="91" t="s">
        <v>260</v>
      </c>
      <c r="C1425" s="91" t="s">
        <v>8</v>
      </c>
      <c r="D1425" s="91" t="s">
        <v>676</v>
      </c>
      <c r="E1425" s="91" t="s">
        <v>261</v>
      </c>
      <c r="F1425" s="91" t="s">
        <v>262</v>
      </c>
      <c r="G1425" s="91" t="s">
        <v>263</v>
      </c>
      <c r="H1425" s="91" t="s">
        <v>11</v>
      </c>
      <c r="I1425" s="5"/>
    </row>
    <row r="1426" spans="1:9" x14ac:dyDescent="0.2">
      <c r="A1426" s="3"/>
      <c r="B1426" s="23" t="s">
        <v>973</v>
      </c>
      <c r="C1426" s="161"/>
      <c r="D1426" s="161"/>
      <c r="E1426" s="161"/>
      <c r="F1426" s="161"/>
      <c r="G1426" s="161"/>
      <c r="H1426" s="8"/>
      <c r="I1426" s="5"/>
    </row>
    <row r="1427" spans="1:9" x14ac:dyDescent="0.2">
      <c r="A1427" s="3"/>
      <c r="B1427" s="6" t="s">
        <v>566</v>
      </c>
      <c r="C1427" s="161"/>
      <c r="D1427" s="7">
        <v>708</v>
      </c>
      <c r="E1427" s="198"/>
      <c r="F1427" s="161"/>
      <c r="G1427" s="161"/>
      <c r="H1427" s="8">
        <f>ROUND(IF(PRODUCT(IF(C1427=0,1,C1427),IF(D1427=0,1,D1427),IF(E1427=0,1,E1427),IF(F1427=0,1,F1427),IF(G1427=0,1,G1427))=1,0,PRODUCT(IF(C1427=0,1,C1427),IF(D1427=0,1,D1427),IF(E1427=0,1,E1427),IF(F1427=0,1,F1427),IF(G1427=0,1,G1427))),2)</f>
        <v>708</v>
      </c>
      <c r="I1427" s="5"/>
    </row>
    <row r="1428" spans="1:9" x14ac:dyDescent="0.2">
      <c r="A1428" s="3"/>
      <c r="B1428" s="6"/>
      <c r="C1428" s="198"/>
      <c r="D1428" s="7"/>
      <c r="E1428" s="198"/>
      <c r="F1428" s="161"/>
      <c r="G1428" s="161"/>
      <c r="H1428" s="8"/>
      <c r="I1428" s="5"/>
    </row>
    <row r="1429" spans="1:9" x14ac:dyDescent="0.2">
      <c r="A1429" s="3"/>
      <c r="B1429" s="23" t="s">
        <v>777</v>
      </c>
      <c r="C1429" s="7"/>
      <c r="D1429" s="7"/>
      <c r="E1429" s="7"/>
      <c r="F1429" s="7"/>
      <c r="G1429" s="7"/>
      <c r="H1429" s="8"/>
      <c r="I1429" s="5"/>
    </row>
    <row r="1430" spans="1:9" x14ac:dyDescent="0.2">
      <c r="A1430" s="3"/>
      <c r="B1430" s="6" t="s">
        <v>566</v>
      </c>
      <c r="C1430" s="7"/>
      <c r="D1430" s="7">
        <v>73</v>
      </c>
      <c r="E1430" s="7"/>
      <c r="F1430" s="7"/>
      <c r="G1430" s="7"/>
      <c r="H1430" s="8">
        <f>ROUND(IF(PRODUCT(IF(C1430=0,1,C1430),IF(D1430=0,1,D1430),IF(E1430=0,1,E1430),IF(F1430=0,1,F1430),IF(G1430=0,1,G1430))=1,0,PRODUCT(IF(C1430=0,1,C1430),IF(D1430=0,1,D1430),IF(E1430=0,1,E1430),IF(F1430=0,1,F1430),IF(G1430=0,1,G1430))),2)</f>
        <v>73</v>
      </c>
      <c r="I1430" s="5"/>
    </row>
    <row r="1431" spans="1:9" x14ac:dyDescent="0.2">
      <c r="A1431" s="3"/>
      <c r="B1431" s="6"/>
      <c r="C1431" s="7"/>
      <c r="D1431" s="7"/>
      <c r="E1431" s="7"/>
      <c r="F1431" s="7"/>
      <c r="G1431" s="7"/>
      <c r="H1431" s="8">
        <f>ROUND(IF(PRODUCT(IF(C1431=0,1,C1431),IF(E1431=0,1,E1431),IF(F1431=0,1,F1431),IF(G1431=0,1,G1431))=1,0,PRODUCT(IF(C1431=0,1,C1431),IF(E1431=0,1,E1431),IF(F1431=0,1,F1431),IF(G1431=0,1,G1431))),2)</f>
        <v>0</v>
      </c>
      <c r="I1431" s="5"/>
    </row>
    <row r="1432" spans="1:9" x14ac:dyDescent="0.2">
      <c r="A1432" s="3"/>
      <c r="C1432" s="10"/>
      <c r="D1432" s="10"/>
      <c r="E1432" s="9"/>
      <c r="F1432" s="94" t="s">
        <v>11</v>
      </c>
      <c r="G1432" s="95" t="s">
        <v>264</v>
      </c>
      <c r="H1432" s="11">
        <f>SUM(H1426:H1430)</f>
        <v>781</v>
      </c>
      <c r="I1432" s="12" t="s">
        <v>299</v>
      </c>
    </row>
    <row r="1433" spans="1:9" ht="23.25" customHeight="1" x14ac:dyDescent="0.2">
      <c r="A1433" s="3" t="str">
        <f>'Orçamento Sintético'!A305</f>
        <v>16.3.4</v>
      </c>
      <c r="B1433" s="270" t="str">
        <f>'Orçamento Sintético'!D305</f>
        <v>CONCRETAGEM DE PILARES, FCK = 25 MPA, COM USO DE BOMBA - LANÇAMENTO, ADENSAMENTO E ACABAMENTO. AF_02/2022_PS</v>
      </c>
      <c r="C1433" s="271"/>
      <c r="D1433" s="271"/>
      <c r="E1433" s="272"/>
      <c r="I1433" s="5"/>
    </row>
    <row r="1434" spans="1:9" x14ac:dyDescent="0.2">
      <c r="A1434" s="3"/>
      <c r="B1434" s="91" t="s">
        <v>260</v>
      </c>
      <c r="C1434" s="91" t="s">
        <v>8</v>
      </c>
      <c r="D1434" s="91" t="s">
        <v>677</v>
      </c>
      <c r="E1434" s="91" t="s">
        <v>261</v>
      </c>
      <c r="F1434" s="91" t="s">
        <v>262</v>
      </c>
      <c r="G1434" s="91" t="s">
        <v>263</v>
      </c>
      <c r="H1434" s="91" t="s">
        <v>11</v>
      </c>
      <c r="I1434" s="5"/>
    </row>
    <row r="1435" spans="1:9" x14ac:dyDescent="0.2">
      <c r="A1435" s="3"/>
      <c r="B1435" s="23" t="s">
        <v>973</v>
      </c>
      <c r="C1435" s="161"/>
      <c r="D1435" s="161"/>
      <c r="E1435" s="161"/>
      <c r="F1435" s="161"/>
      <c r="G1435" s="161"/>
      <c r="H1435" s="8"/>
      <c r="I1435" s="5"/>
    </row>
    <row r="1436" spans="1:9" x14ac:dyDescent="0.2">
      <c r="A1436" s="3"/>
      <c r="B1436" s="6" t="s">
        <v>566</v>
      </c>
      <c r="C1436" s="161"/>
      <c r="D1436" s="7">
        <v>5.72</v>
      </c>
      <c r="E1436" s="161"/>
      <c r="F1436" s="161"/>
      <c r="G1436" s="161"/>
      <c r="H1436" s="8">
        <f>ROUND(IF(PRODUCT(IF(C1436=0,1,C1436),IF(D1436=0,1,D1436),IF(E1436=0,1,E1436),IF(F1436=0,1,F1436),IF(G1436=0,1,G1436))=1,0,PRODUCT(IF(C1436=0,1,C1436),IF(D1436=0,1,D1436),IF(E1436=0,1,E1436),IF(F1436=0,1,F1436),IF(G1436=0,1,G1436))),2)</f>
        <v>5.72</v>
      </c>
      <c r="I1436" s="5"/>
    </row>
    <row r="1437" spans="1:9" x14ac:dyDescent="0.2">
      <c r="A1437" s="3"/>
      <c r="B1437" s="6"/>
      <c r="C1437" s="198"/>
      <c r="D1437" s="7"/>
      <c r="E1437" s="198"/>
      <c r="F1437" s="161"/>
      <c r="G1437" s="161"/>
      <c r="H1437" s="8"/>
      <c r="I1437" s="5"/>
    </row>
    <row r="1438" spans="1:9" x14ac:dyDescent="0.2">
      <c r="A1438" s="3"/>
      <c r="B1438" s="23" t="s">
        <v>777</v>
      </c>
      <c r="C1438" s="161"/>
      <c r="D1438" s="7"/>
      <c r="E1438" s="161"/>
      <c r="F1438" s="161"/>
      <c r="G1438" s="161"/>
      <c r="H1438" s="8"/>
      <c r="I1438" s="5"/>
    </row>
    <row r="1439" spans="1:9" x14ac:dyDescent="0.2">
      <c r="A1439" s="3"/>
      <c r="B1439" s="6" t="s">
        <v>566</v>
      </c>
      <c r="C1439" s="161"/>
      <c r="D1439" s="7">
        <v>0.56000000000000005</v>
      </c>
      <c r="E1439" s="198"/>
      <c r="F1439" s="161"/>
      <c r="G1439" s="161"/>
      <c r="H1439" s="8">
        <f>ROUND(IF(PRODUCT(IF(C1439=0,1,C1439),IF(D1439=0,1,D1439),IF(E1439=0,1,E1439),IF(F1439=0,1,F1439),IF(G1439=0,1,G1439))=1,0,PRODUCT(IF(C1439=0,1,C1439),IF(D1439=0,1,D1439),IF(E1439=0,1,E1439),IF(F1439=0,1,F1439),IF(G1439=0,1,G1439))),2)</f>
        <v>0.56000000000000005</v>
      </c>
      <c r="I1439" s="5"/>
    </row>
    <row r="1440" spans="1:9" x14ac:dyDescent="0.2">
      <c r="A1440" s="3"/>
      <c r="B1440" s="6"/>
      <c r="C1440" s="161"/>
      <c r="D1440" s="161"/>
      <c r="E1440" s="161"/>
      <c r="F1440" s="161"/>
      <c r="G1440" s="161"/>
      <c r="H1440" s="8">
        <f>ROUND(IF(PRODUCT(IF(C1440=0,1,C1440),IF(E1440=0,1,E1440),IF(F1440=0,1,F1440),IF(G1440=0,1,G1440))=1,0,PRODUCT(IF(C1440=0,1,C1440),IF(E1440=0,1,E1440),IF(F1440=0,1,F1440),IF(G1440=0,1,G1440))),2)</f>
        <v>0</v>
      </c>
      <c r="I1440" s="5"/>
    </row>
    <row r="1441" spans="1:10" x14ac:dyDescent="0.2">
      <c r="A1441" s="3"/>
      <c r="C1441" s="10"/>
      <c r="D1441" s="10"/>
      <c r="E1441" s="9"/>
      <c r="F1441" s="94" t="s">
        <v>11</v>
      </c>
      <c r="G1441" s="95" t="s">
        <v>264</v>
      </c>
      <c r="H1441" s="11">
        <f>SUM(H1435:H1439)</f>
        <v>6.2799999999999994</v>
      </c>
      <c r="I1441" s="12" t="s">
        <v>24</v>
      </c>
    </row>
    <row r="1442" spans="1:10" x14ac:dyDescent="0.2">
      <c r="A1442" s="96" t="str">
        <f>'Orçamento Sintético'!A306</f>
        <v>16.4</v>
      </c>
      <c r="B1442" s="97" t="str">
        <f>'Orçamento Sintético'!D306</f>
        <v>VIGAS SUPERIORES</v>
      </c>
      <c r="C1442" s="273"/>
      <c r="D1442" s="274"/>
      <c r="E1442" s="274"/>
      <c r="F1442" s="274"/>
      <c r="G1442" s="274"/>
      <c r="H1442" s="274"/>
      <c r="I1442" s="275"/>
    </row>
    <row r="1443" spans="1:10" ht="22.15" customHeight="1" x14ac:dyDescent="0.2">
      <c r="A1443" s="3" t="str">
        <f>'Orçamento Sintético'!A307</f>
        <v>16.4.1</v>
      </c>
      <c r="B1443" s="270" t="str">
        <f>'Orçamento Sintético'!D307</f>
        <v>MONTAGEM E DESMONTAGEM DE FÔRMA DE VIGA, ESCORAMENTO COM GARFO DE MADEIRA, PÉ-DIREITO SIMPLES, EM CHAPA DE MADEIRA PLASTIFICADA, 18 UTILIZAÇÕES. AF_09/2020</v>
      </c>
      <c r="C1443" s="271"/>
      <c r="D1443" s="271"/>
      <c r="E1443" s="272"/>
      <c r="I1443" s="5"/>
    </row>
    <row r="1444" spans="1:10" x14ac:dyDescent="0.2">
      <c r="A1444" s="3"/>
      <c r="B1444" s="91" t="s">
        <v>260</v>
      </c>
      <c r="C1444" s="91" t="s">
        <v>8</v>
      </c>
      <c r="D1444" s="91" t="s">
        <v>266</v>
      </c>
      <c r="E1444" s="91" t="s">
        <v>261</v>
      </c>
      <c r="F1444" s="91" t="s">
        <v>262</v>
      </c>
      <c r="G1444" s="91" t="s">
        <v>263</v>
      </c>
      <c r="H1444" s="91" t="s">
        <v>11</v>
      </c>
      <c r="I1444" s="5"/>
    </row>
    <row r="1445" spans="1:10" x14ac:dyDescent="0.2">
      <c r="A1445" s="3"/>
      <c r="B1445" s="23" t="s">
        <v>973</v>
      </c>
      <c r="C1445" s="7"/>
      <c r="D1445" s="7">
        <f>2.2+2.2+2.2+2.2+2.2+2.2+2.2+2.2+2.2+11.62</f>
        <v>31.419999999999995</v>
      </c>
      <c r="E1445" s="7"/>
      <c r="F1445" s="7"/>
      <c r="G1445" s="7"/>
      <c r="H1445" s="8">
        <f>ROUND(IF(PRODUCT(IF(C1445=0,1,C1445),IF(D1445=0,1,D1445),IF(E1445=0,1,E1445),IF(F1445=0,1,F1445),IF(G1445=0,1,G1445))=1,0,PRODUCT(IF(C1445=0,1,C1445),IF(D1445=0,1,D1445),IF(E1445=0,1,E1445),IF(F1445=0,1,F1445),IF(G1445=0,1,G1445))),2)</f>
        <v>31.42</v>
      </c>
      <c r="I1445" s="5"/>
      <c r="J1445" s="19"/>
    </row>
    <row r="1446" spans="1:10" x14ac:dyDescent="0.2">
      <c r="A1446" s="3"/>
      <c r="B1446" s="6"/>
      <c r="C1446" s="7"/>
      <c r="D1446" s="7"/>
      <c r="E1446" s="7"/>
      <c r="F1446" s="7"/>
      <c r="G1446" s="7"/>
      <c r="H1446" s="8">
        <f>ROUND(IF(PRODUCT(IF(C1446=0,1,C1446),IF(E1446=0,1,E1446),IF(F1446=0,1,F1446),IF(G1446=0,1,G1446))=1,0,PRODUCT(IF(C1446=0,1,C1446),IF(E1446=0,1,E1446),IF(F1446=0,1,F1446),IF(G1446=0,1,G1446))),2)</f>
        <v>0</v>
      </c>
      <c r="I1446" s="5"/>
    </row>
    <row r="1447" spans="1:10" x14ac:dyDescent="0.2">
      <c r="A1447" s="3"/>
      <c r="C1447" s="10"/>
      <c r="D1447" s="10"/>
      <c r="E1447" s="9"/>
      <c r="F1447" s="94" t="s">
        <v>11</v>
      </c>
      <c r="G1447" s="95" t="s">
        <v>264</v>
      </c>
      <c r="H1447" s="11">
        <f>SUM(H1445:H1446)</f>
        <v>31.42</v>
      </c>
      <c r="I1447" s="12" t="s">
        <v>17</v>
      </c>
    </row>
    <row r="1448" spans="1:10" ht="22.9" customHeight="1" x14ac:dyDescent="0.2">
      <c r="A1448" s="3" t="str">
        <f>'Orçamento Sintético'!A308</f>
        <v>16.4.2</v>
      </c>
      <c r="B1448" s="270" t="str">
        <f>'Orçamento Sintético'!D308</f>
        <v>ARMAÇÃO DE PILAR OU VIGA DE ESTRUTURA CONVENCIONAL DE CONCRETO ARMADOUTILIZANDO AÇO CA-60 DE 5,0 MM - MONTAGEM. AF_06/2022</v>
      </c>
      <c r="C1448" s="271"/>
      <c r="D1448" s="271"/>
      <c r="E1448" s="272"/>
      <c r="I1448" s="5"/>
    </row>
    <row r="1449" spans="1:10" x14ac:dyDescent="0.2">
      <c r="A1449" s="3"/>
      <c r="B1449" s="91" t="s">
        <v>260</v>
      </c>
      <c r="C1449" s="91" t="s">
        <v>8</v>
      </c>
      <c r="D1449" s="91" t="s">
        <v>676</v>
      </c>
      <c r="E1449" s="91" t="s">
        <v>261</v>
      </c>
      <c r="F1449" s="91" t="s">
        <v>262</v>
      </c>
      <c r="G1449" s="91" t="s">
        <v>263</v>
      </c>
      <c r="H1449" s="91" t="s">
        <v>11</v>
      </c>
      <c r="I1449" s="5"/>
    </row>
    <row r="1450" spans="1:10" x14ac:dyDescent="0.2">
      <c r="A1450" s="3"/>
      <c r="B1450" s="23" t="s">
        <v>973</v>
      </c>
      <c r="C1450" s="7"/>
      <c r="D1450" s="7">
        <v>41</v>
      </c>
      <c r="E1450" s="7"/>
      <c r="F1450" s="7"/>
      <c r="G1450" s="7"/>
      <c r="H1450" s="8">
        <f>ROUND(IF(PRODUCT(IF(C1450=0,1,C1450),IF(D1450=0,1,D1450),IF(E1450=0,1,E1450),IF(F1450=0,1,F1450),IF(G1450=0,1,G1450))=1,0,PRODUCT(IF(C1450=0,1,C1450),IF(D1450=0,1,D1450),IF(E1450=0,1,E1450),IF(F1450=0,1,F1450),IF(G1450=0,1,G1450))),2)</f>
        <v>41</v>
      </c>
      <c r="I1450" s="5"/>
    </row>
    <row r="1451" spans="1:10" x14ac:dyDescent="0.2">
      <c r="A1451" s="3"/>
      <c r="B1451" s="6"/>
      <c r="C1451" s="7"/>
      <c r="D1451" s="7"/>
      <c r="E1451" s="7"/>
      <c r="F1451" s="7"/>
      <c r="G1451" s="7"/>
      <c r="H1451" s="8">
        <f>ROUND(IF(PRODUCT(IF(C1451=0,1,C1451),IF(E1451=0,1,E1451),IF(F1451=0,1,F1451),IF(G1451=0,1,G1451))=1,0,PRODUCT(IF(C1451=0,1,C1451),IF(E1451=0,1,E1451),IF(F1451=0,1,F1451),IF(G1451=0,1,G1451))),2)</f>
        <v>0</v>
      </c>
      <c r="I1451" s="5"/>
    </row>
    <row r="1452" spans="1:10" x14ac:dyDescent="0.2">
      <c r="A1452" s="3"/>
      <c r="C1452" s="10"/>
      <c r="D1452" s="10"/>
      <c r="E1452" s="9"/>
      <c r="F1452" s="94" t="s">
        <v>11</v>
      </c>
      <c r="G1452" s="95" t="s">
        <v>264</v>
      </c>
      <c r="H1452" s="11">
        <f>SUM(H1450:H1451)</f>
        <v>41</v>
      </c>
      <c r="I1452" s="12" t="s">
        <v>299</v>
      </c>
    </row>
    <row r="1453" spans="1:10" ht="22.9" customHeight="1" x14ac:dyDescent="0.2">
      <c r="A1453" s="3" t="str">
        <f>'Orçamento Sintético'!A309</f>
        <v>16.4.3</v>
      </c>
      <c r="B1453" s="270" t="str">
        <f>'Orçamento Sintético'!D309</f>
        <v>ARMAÇÃO DE PILAR OU VIGA DE ESTRUTURA CONVENCIONAL DE CONCRETO ARMADO UTILIZANDO AÇO CA-50 DE 6,3 MM - MONTAGEM. AF_06/2022</v>
      </c>
      <c r="C1453" s="271"/>
      <c r="D1453" s="271"/>
      <c r="E1453" s="272"/>
      <c r="I1453" s="5"/>
    </row>
    <row r="1454" spans="1:10" x14ac:dyDescent="0.2">
      <c r="A1454" s="3"/>
      <c r="B1454" s="91" t="s">
        <v>260</v>
      </c>
      <c r="C1454" s="91" t="s">
        <v>8</v>
      </c>
      <c r="D1454" s="91" t="s">
        <v>676</v>
      </c>
      <c r="E1454" s="91" t="s">
        <v>261</v>
      </c>
      <c r="F1454" s="91" t="s">
        <v>262</v>
      </c>
      <c r="G1454" s="91" t="s">
        <v>263</v>
      </c>
      <c r="H1454" s="91" t="s">
        <v>11</v>
      </c>
      <c r="I1454" s="5"/>
    </row>
    <row r="1455" spans="1:10" x14ac:dyDescent="0.2">
      <c r="A1455" s="3"/>
      <c r="B1455" s="23" t="s">
        <v>973</v>
      </c>
      <c r="C1455" s="7"/>
      <c r="D1455" s="7">
        <v>100</v>
      </c>
      <c r="E1455" s="7"/>
      <c r="F1455" s="7"/>
      <c r="G1455" s="7"/>
      <c r="H1455" s="8">
        <f>ROUND(IF(PRODUCT(IF(C1455=0,1,C1455),IF(D1455=0,1,D1455),IF(E1455=0,1,E1455),IF(F1455=0,1,F1455),IF(G1455=0,1,G1455))=1,0,PRODUCT(IF(C1455=0,1,C1455),IF(D1455=0,1,D1455),IF(E1455=0,1,E1455),IF(F1455=0,1,F1455),IF(G1455=0,1,G1455))),2)</f>
        <v>100</v>
      </c>
      <c r="I1455" s="5"/>
    </row>
    <row r="1456" spans="1:10" x14ac:dyDescent="0.2">
      <c r="A1456" s="3"/>
      <c r="B1456" s="6"/>
      <c r="C1456" s="7"/>
      <c r="D1456" s="7"/>
      <c r="E1456" s="7"/>
      <c r="F1456" s="7"/>
      <c r="G1456" s="7"/>
      <c r="H1456" s="8">
        <f>ROUND(IF(PRODUCT(IF(C1456=0,1,C1456),IF(E1456=0,1,E1456),IF(F1456=0,1,F1456),IF(G1456=0,1,G1456))=1,0,PRODUCT(IF(C1456=0,1,C1456),IF(E1456=0,1,E1456),IF(F1456=0,1,F1456),IF(G1456=0,1,G1456))),2)</f>
        <v>0</v>
      </c>
      <c r="I1456" s="5"/>
    </row>
    <row r="1457" spans="1:10" x14ac:dyDescent="0.2">
      <c r="A1457" s="3"/>
      <c r="C1457" s="10"/>
      <c r="D1457" s="10"/>
      <c r="E1457" s="9"/>
      <c r="F1457" s="94" t="s">
        <v>11</v>
      </c>
      <c r="G1457" s="95" t="s">
        <v>264</v>
      </c>
      <c r="H1457" s="11">
        <f>SUM(H1455:H1455)</f>
        <v>100</v>
      </c>
      <c r="I1457" s="12" t="s">
        <v>299</v>
      </c>
    </row>
    <row r="1458" spans="1:10" ht="24.75" customHeight="1" x14ac:dyDescent="0.2">
      <c r="A1458" s="3" t="str">
        <f>'Orçamento Sintético'!A310</f>
        <v>16.4.4</v>
      </c>
      <c r="B1458" s="270" t="str">
        <f>'Orçamento Sintético'!D310</f>
        <v>CONCRETAGEM DE VIGAS E LAJES, FCK=25 MPA, PARA LAJES PREMOLDADAS COM USO DE BOMBA - LANÇAMENTO, ADENSAMENTO E ACABAMENTO. AF_02/2022_PS</v>
      </c>
      <c r="C1458" s="271"/>
      <c r="D1458" s="271"/>
      <c r="E1458" s="272"/>
      <c r="I1458" s="5"/>
    </row>
    <row r="1459" spans="1:10" x14ac:dyDescent="0.2">
      <c r="A1459" s="3"/>
      <c r="B1459" s="91" t="s">
        <v>260</v>
      </c>
      <c r="C1459" s="91" t="s">
        <v>8</v>
      </c>
      <c r="D1459" s="91" t="s">
        <v>266</v>
      </c>
      <c r="E1459" s="91" t="s">
        <v>261</v>
      </c>
      <c r="F1459" s="91" t="s">
        <v>262</v>
      </c>
      <c r="G1459" s="91" t="s">
        <v>263</v>
      </c>
      <c r="H1459" s="91" t="s">
        <v>11</v>
      </c>
      <c r="I1459" s="5"/>
    </row>
    <row r="1460" spans="1:10" x14ac:dyDescent="0.2">
      <c r="A1460" s="3"/>
      <c r="B1460" s="23" t="s">
        <v>973</v>
      </c>
      <c r="C1460" s="161"/>
      <c r="D1460" s="161"/>
      <c r="E1460" s="161"/>
      <c r="F1460" s="161"/>
      <c r="G1460" s="161"/>
      <c r="H1460" s="8"/>
      <c r="I1460" s="5"/>
    </row>
    <row r="1461" spans="1:10" x14ac:dyDescent="0.2">
      <c r="A1461" s="3"/>
      <c r="B1461" s="6" t="s">
        <v>566</v>
      </c>
      <c r="C1461" s="161"/>
      <c r="D1461" s="7">
        <f>0.16+0.16+0.16+0.16+0.16+0.16+0.16+0.16+0.16+0.76</f>
        <v>2.2000000000000002</v>
      </c>
      <c r="E1461" s="198"/>
      <c r="F1461" s="161"/>
      <c r="G1461" s="161"/>
      <c r="H1461" s="8">
        <f>ROUND(IF(PRODUCT(IF(C1461=0,1,C1461),IF(D1461=0,1,D1461),IF(E1461=0,1,E1461),IF(F1461=0,1,F1461),IF(G1461=0,1,G1461))=1,0,PRODUCT(IF(C1461=0,1,C1461),IF(D1461=0,1,D1461),IF(E1461=0,1,E1461),IF(F1461=0,1,F1461),IF(G1461=0,1,G1461))),2)</f>
        <v>2.2000000000000002</v>
      </c>
      <c r="I1461" s="5"/>
      <c r="J1461" s="19"/>
    </row>
    <row r="1462" spans="1:10" x14ac:dyDescent="0.2">
      <c r="A1462" s="3"/>
      <c r="B1462" s="6"/>
      <c r="C1462" s="7"/>
      <c r="D1462" s="7"/>
      <c r="E1462" s="7"/>
      <c r="F1462" s="7"/>
      <c r="G1462" s="7"/>
      <c r="H1462" s="8">
        <f>ROUND(IF(PRODUCT(IF(C1462=0,1,C1462),IF(E1462=0,1,E1462),IF(F1462=0,1,F1462),IF(G1462=0,1,G1462))=1,0,PRODUCT(IF(C1462=0,1,C1462),IF(E1462=0,1,E1462),IF(F1462=0,1,F1462),IF(G1462=0,1,G1462))),2)</f>
        <v>0</v>
      </c>
      <c r="I1462" s="5"/>
    </row>
    <row r="1463" spans="1:10" x14ac:dyDescent="0.2">
      <c r="A1463" s="3"/>
      <c r="C1463" s="10"/>
      <c r="D1463" s="10"/>
      <c r="E1463" s="9"/>
      <c r="F1463" s="94" t="s">
        <v>11</v>
      </c>
      <c r="G1463" s="95" t="s">
        <v>264</v>
      </c>
      <c r="H1463" s="11">
        <f>SUM(H1460:H1462)</f>
        <v>2.2000000000000002</v>
      </c>
      <c r="I1463" s="12" t="s">
        <v>24</v>
      </c>
    </row>
    <row r="1464" spans="1:10" x14ac:dyDescent="0.2">
      <c r="A1464" s="96" t="str">
        <f>'Orçamento Sintético'!A311</f>
        <v>16.5</v>
      </c>
      <c r="B1464" s="97" t="str">
        <f>'Orçamento Sintético'!D311</f>
        <v>ALVENARIA E VEDAÇÕES</v>
      </c>
      <c r="C1464" s="273"/>
      <c r="D1464" s="274"/>
      <c r="E1464" s="274"/>
      <c r="F1464" s="274"/>
      <c r="G1464" s="274"/>
      <c r="H1464" s="274"/>
      <c r="I1464" s="275"/>
    </row>
    <row r="1465" spans="1:10" ht="33.6" customHeight="1" x14ac:dyDescent="0.2">
      <c r="A1465" s="3" t="str">
        <f>'Orçamento Sintético'!A312</f>
        <v>16.5.1</v>
      </c>
      <c r="B1465" s="270" t="str">
        <f>'Orçamento Sintético'!D312</f>
        <v>ALVENARIA DE VEDAÇÃO DE BLOCOS CERÂMICOS FURADOS NA HORIZONTAL DE 9X19X19 CM (ESPESSURA 19 CM) E ARGAMASSA DE ASSENTAMENTO COM PREPARO EM BETONEIRA (ALVENARIA DE UMA VEZ) AF_12/2021, COMPOSIÇÃO 103328 - SINAPI, ADAPTADA.</v>
      </c>
      <c r="C1465" s="271"/>
      <c r="D1465" s="271"/>
      <c r="E1465" s="272"/>
      <c r="I1465" s="5"/>
    </row>
    <row r="1466" spans="1:10" x14ac:dyDescent="0.2">
      <c r="A1466" s="3"/>
      <c r="B1466" s="91" t="s">
        <v>260</v>
      </c>
      <c r="C1466" s="91" t="s">
        <v>8</v>
      </c>
      <c r="D1466" s="91" t="s">
        <v>266</v>
      </c>
      <c r="E1466" s="91" t="s">
        <v>261</v>
      </c>
      <c r="F1466" s="91" t="s">
        <v>262</v>
      </c>
      <c r="G1466" s="91" t="s">
        <v>263</v>
      </c>
      <c r="H1466" s="91" t="s">
        <v>11</v>
      </c>
      <c r="I1466" s="5"/>
    </row>
    <row r="1467" spans="1:10" ht="30" customHeight="1" x14ac:dyDescent="0.2">
      <c r="A1467" s="3"/>
      <c r="B1467" s="276" t="s">
        <v>974</v>
      </c>
      <c r="C1467" s="277"/>
      <c r="D1467" s="277"/>
      <c r="E1467" s="277"/>
      <c r="F1467" s="277"/>
      <c r="G1467" s="277"/>
      <c r="H1467" s="278"/>
      <c r="I1467" s="5"/>
    </row>
    <row r="1468" spans="1:10" x14ac:dyDescent="0.2">
      <c r="A1468" s="3"/>
      <c r="B1468" s="6"/>
      <c r="C1468" s="7"/>
      <c r="D1468" s="7"/>
      <c r="E1468" s="7"/>
      <c r="F1468" s="7"/>
      <c r="G1468" s="7"/>
      <c r="H1468" s="8">
        <f>ROUND(IF(PRODUCT(IF(C1468=0,1,C1468),IF(E1468=0,1,E1468),IF(F1468=0,1,F1468),IF(G1468=0,1,G1468))=1,0,PRODUCT(IF(C1468=0,1,C1468),IF(E1468=0,1,E1468),IF(F1468=0,1,F1468),IF(G1468=0,1,G1468))),2)</f>
        <v>0</v>
      </c>
      <c r="I1468" s="5"/>
    </row>
    <row r="1469" spans="1:10" x14ac:dyDescent="0.2">
      <c r="A1469" s="3"/>
      <c r="B1469" s="23" t="s">
        <v>972</v>
      </c>
      <c r="C1469" s="7"/>
      <c r="D1469" s="7"/>
      <c r="E1469" s="7"/>
      <c r="F1469" s="7"/>
      <c r="G1469" s="7"/>
      <c r="H1469" s="8"/>
      <c r="I1469" s="5"/>
    </row>
    <row r="1470" spans="1:10" x14ac:dyDescent="0.2">
      <c r="A1470" s="3"/>
      <c r="B1470" s="6" t="s">
        <v>866</v>
      </c>
      <c r="C1470" s="7"/>
      <c r="D1470" s="7">
        <v>31.47</v>
      </c>
      <c r="E1470" s="198"/>
      <c r="F1470" s="198"/>
      <c r="G1470" s="198"/>
      <c r="H1470" s="8">
        <f>ROUND(IF(PRODUCT(IF(C1470=0,1,C1470),IF(D1470=0,1,D1470),IF(E1470=0,1,E1470),IF(F1470=0,1,F1470),IF(G1470=0,1,G1470))=1,0,PRODUCT(IF(C1470=0,1,C1470),IF(D1470=0,1,D1470),IF(E1470=0,1,E1470),IF(F1470=0,1,F1470),IF(G1470=0,1,G1470))),2)</f>
        <v>31.47</v>
      </c>
      <c r="I1470" s="5"/>
    </row>
    <row r="1471" spans="1:10" x14ac:dyDescent="0.2">
      <c r="A1471" s="3"/>
      <c r="B1471" s="6" t="s">
        <v>866</v>
      </c>
      <c r="C1471" s="7"/>
      <c r="D1471" s="7">
        <v>36.200000000000003</v>
      </c>
      <c r="E1471" s="198"/>
      <c r="F1471" s="198"/>
      <c r="G1471" s="198"/>
      <c r="H1471" s="8">
        <f>ROUND(IF(PRODUCT(IF(C1471=0,1,C1471),IF(D1471=0,1,D1471),IF(E1471=0,1,E1471),IF(F1471=0,1,F1471),IF(G1471=0,1,G1471))=1,0,PRODUCT(IF(C1471=0,1,C1471),IF(D1471=0,1,D1471),IF(E1471=0,1,E1471),IF(F1471=0,1,F1471),IF(G1471=0,1,G1471))),2)</f>
        <v>36.200000000000003</v>
      </c>
      <c r="I1471" s="5"/>
    </row>
    <row r="1472" spans="1:10" x14ac:dyDescent="0.2">
      <c r="A1472" s="3"/>
      <c r="B1472" s="6" t="s">
        <v>867</v>
      </c>
      <c r="C1472" s="7"/>
      <c r="D1472" s="7">
        <v>52.28</v>
      </c>
      <c r="E1472" s="198"/>
      <c r="F1472" s="198"/>
      <c r="G1472" s="198"/>
      <c r="H1472" s="8">
        <f>ROUND(IF(PRODUCT(IF(C1472=0,1,C1472),IF(D1472=0,1,D1472),IF(E1472=0,1,E1472),IF(F1472=0,1,F1472),IF(G1472=0,1,G1472))=1,0,PRODUCT(IF(C1472=0,1,C1472),IF(D1472=0,1,D1472),IF(E1472=0,1,E1472),IF(F1472=0,1,F1472),IF(G1472=0,1,G1472))),2)</f>
        <v>52.28</v>
      </c>
      <c r="I1472" s="5"/>
    </row>
    <row r="1473" spans="1:9" x14ac:dyDescent="0.2">
      <c r="A1473" s="3"/>
      <c r="B1473" s="6"/>
      <c r="C1473" s="7"/>
      <c r="D1473" s="7"/>
      <c r="E1473" s="7"/>
      <c r="F1473" s="7"/>
      <c r="G1473" s="7"/>
      <c r="H1473" s="8">
        <f>ROUND(IF(PRODUCT(IF(C1473=0,1,C1473),IF(E1473=0,1,E1473),IF(F1473=0,1,F1473),IF(G1473=0,1,G1473))=1,0,PRODUCT(IF(C1473=0,1,C1473),IF(E1473=0,1,E1473),IF(F1473=0,1,F1473),IF(G1473=0,1,G1473))),2)</f>
        <v>0</v>
      </c>
      <c r="I1473" s="5"/>
    </row>
    <row r="1474" spans="1:9" x14ac:dyDescent="0.2">
      <c r="A1474" s="3"/>
      <c r="C1474" s="10"/>
      <c r="D1474" s="10"/>
      <c r="E1474" s="9"/>
      <c r="F1474" s="94" t="s">
        <v>11</v>
      </c>
      <c r="G1474" s="95" t="s">
        <v>264</v>
      </c>
      <c r="H1474" s="11">
        <f>SUM(H1469:H1472)</f>
        <v>119.95</v>
      </c>
      <c r="I1474" s="12" t="s">
        <v>17</v>
      </c>
    </row>
    <row r="1475" spans="1:9" ht="23.25" customHeight="1" x14ac:dyDescent="0.2">
      <c r="A1475" s="3" t="str">
        <f>'Orçamento Sintético'!A313</f>
        <v>16.5.2</v>
      </c>
      <c r="B1475" s="270" t="str">
        <f>'Orçamento Sintético'!D313</f>
        <v>ALVENARIA DE VEDAÇÃO DE BLOCOS CERÂMICOS FURADOS NA HORIZONTAL DE 9X19X19 CM (ESPESSURA 9 CM) E ARGAMASSA DE ASSENTAMENTO COM PREPARO EM BETONEIRA. AF_12/2021</v>
      </c>
      <c r="C1475" s="271"/>
      <c r="D1475" s="271"/>
      <c r="E1475" s="272"/>
      <c r="I1475" s="5"/>
    </row>
    <row r="1476" spans="1:9" x14ac:dyDescent="0.2">
      <c r="A1476" s="3"/>
      <c r="B1476" s="91" t="s">
        <v>260</v>
      </c>
      <c r="C1476" s="91" t="s">
        <v>8</v>
      </c>
      <c r="D1476" s="91" t="s">
        <v>266</v>
      </c>
      <c r="E1476" s="91" t="s">
        <v>261</v>
      </c>
      <c r="F1476" s="91" t="s">
        <v>262</v>
      </c>
      <c r="G1476" s="91" t="s">
        <v>263</v>
      </c>
      <c r="H1476" s="91" t="s">
        <v>11</v>
      </c>
      <c r="I1476" s="5"/>
    </row>
    <row r="1477" spans="1:9" ht="15" customHeight="1" x14ac:dyDescent="0.2">
      <c r="A1477" s="3"/>
      <c r="B1477" s="276" t="s">
        <v>975</v>
      </c>
      <c r="C1477" s="277"/>
      <c r="D1477" s="277"/>
      <c r="E1477" s="277"/>
      <c r="F1477" s="277"/>
      <c r="G1477" s="277"/>
      <c r="H1477" s="278"/>
      <c r="I1477" s="5"/>
    </row>
    <row r="1478" spans="1:9" x14ac:dyDescent="0.2">
      <c r="A1478" s="3"/>
      <c r="B1478" s="6"/>
      <c r="C1478" s="7"/>
      <c r="D1478" s="7"/>
      <c r="E1478" s="7"/>
      <c r="F1478" s="7"/>
      <c r="G1478" s="7"/>
      <c r="H1478" s="8"/>
      <c r="I1478" s="5"/>
    </row>
    <row r="1479" spans="1:9" x14ac:dyDescent="0.2">
      <c r="A1479" s="3"/>
      <c r="B1479" s="23" t="s">
        <v>973</v>
      </c>
      <c r="C1479" s="7"/>
      <c r="D1479" s="7"/>
      <c r="E1479" s="7"/>
      <c r="F1479" s="7"/>
      <c r="G1479" s="7"/>
      <c r="H1479" s="8"/>
      <c r="I1479" s="5"/>
    </row>
    <row r="1480" spans="1:9" x14ac:dyDescent="0.2">
      <c r="A1480" s="3"/>
      <c r="B1480" s="6" t="s">
        <v>866</v>
      </c>
      <c r="C1480" s="7"/>
      <c r="D1480" s="7">
        <v>130.1</v>
      </c>
      <c r="E1480" s="198"/>
      <c r="F1480" s="198"/>
      <c r="G1480" s="198"/>
      <c r="H1480" s="8">
        <f>ROUND(IF(PRODUCT(IF(C1480=0,1,C1480),IF(D1480=0,1,D1480),IF(E1480=0,1,E1480),IF(F1480=0,1,F1480),IF(G1480=0,1,G1480))=1,0,PRODUCT(IF(C1480=0,1,C1480),IF(D1480=0,1,D1480),IF(E1480=0,1,E1480),IF(F1480=0,1,F1480),IF(G1480=0,1,G1480))),2)</f>
        <v>130.1</v>
      </c>
      <c r="I1480" s="5"/>
    </row>
    <row r="1481" spans="1:9" x14ac:dyDescent="0.2">
      <c r="A1481" s="3"/>
      <c r="B1481" s="6" t="s">
        <v>866</v>
      </c>
      <c r="C1481" s="7"/>
      <c r="D1481" s="7">
        <v>87.22</v>
      </c>
      <c r="E1481" s="198"/>
      <c r="F1481" s="198"/>
      <c r="G1481" s="198"/>
      <c r="H1481" s="8">
        <f>ROUND(IF(PRODUCT(IF(C1481=0,1,C1481),IF(D1481=0,1,D1481),IF(E1481=0,1,E1481),IF(F1481=0,1,F1481),IF(G1481=0,1,G1481))=1,0,PRODUCT(IF(C1481=0,1,C1481),IF(D1481=0,1,D1481),IF(E1481=0,1,E1481),IF(F1481=0,1,F1481),IF(G1481=0,1,G1481))),2)</f>
        <v>87.22</v>
      </c>
      <c r="I1481" s="5"/>
    </row>
    <row r="1482" spans="1:9" x14ac:dyDescent="0.2">
      <c r="A1482" s="3"/>
      <c r="B1482" s="6" t="s">
        <v>867</v>
      </c>
      <c r="C1482" s="7"/>
      <c r="D1482" s="7">
        <v>63.2</v>
      </c>
      <c r="E1482" s="198"/>
      <c r="F1482" s="198"/>
      <c r="G1482" s="198"/>
      <c r="H1482" s="8">
        <f>ROUND(IF(PRODUCT(IF(C1482=0,1,C1482),IF(D1482=0,1,D1482),IF(E1482=0,1,E1482),IF(F1482=0,1,F1482),IF(G1482=0,1,G1482))=1,0,PRODUCT(IF(C1482=0,1,C1482),IF(D1482=0,1,D1482),IF(E1482=0,1,E1482),IF(F1482=0,1,F1482),IF(G1482=0,1,G1482))),2)</f>
        <v>63.2</v>
      </c>
      <c r="I1482" s="5"/>
    </row>
    <row r="1483" spans="1:9" x14ac:dyDescent="0.2">
      <c r="A1483" s="3"/>
      <c r="B1483" s="6"/>
      <c r="C1483" s="7"/>
      <c r="D1483" s="7"/>
      <c r="E1483" s="7"/>
      <c r="F1483" s="7"/>
      <c r="G1483" s="7"/>
      <c r="H1483" s="8"/>
      <c r="I1483" s="5"/>
    </row>
    <row r="1484" spans="1:9" x14ac:dyDescent="0.2">
      <c r="A1484" s="3"/>
      <c r="B1484" s="23" t="s">
        <v>777</v>
      </c>
      <c r="C1484" s="7"/>
      <c r="D1484" s="7"/>
      <c r="E1484" s="7"/>
      <c r="F1484" s="7"/>
      <c r="G1484" s="7"/>
      <c r="H1484" s="8"/>
      <c r="I1484" s="5"/>
    </row>
    <row r="1485" spans="1:9" x14ac:dyDescent="0.2">
      <c r="A1485" s="3"/>
      <c r="B1485" s="6" t="s">
        <v>780</v>
      </c>
      <c r="C1485" s="7"/>
      <c r="D1485" s="7"/>
      <c r="E1485" s="161">
        <f>E1353</f>
        <v>21.02</v>
      </c>
      <c r="F1485" s="161"/>
      <c r="G1485" s="161">
        <v>0.4</v>
      </c>
      <c r="H1485" s="8">
        <f>ROUND(IF(PRODUCT(IF(C1485=0,1,C1485),IF(D1485=0,1,D1485),IF(E1485=0,1,E1485),IF(F1485=0,1,F1485),IF(G1485=0,1,G1485))=1,0,PRODUCT(IF(C1485=0,1,C1485),IF(D1485=0,1,D1485),IF(E1485=0,1,E1485),IF(F1485=0,1,F1485),IF(G1485=0,1,G1485))),2)</f>
        <v>8.41</v>
      </c>
      <c r="I1485" s="5"/>
    </row>
    <row r="1486" spans="1:9" x14ac:dyDescent="0.2">
      <c r="A1486" s="3"/>
      <c r="B1486" s="6"/>
      <c r="C1486" s="7"/>
      <c r="D1486" s="7"/>
      <c r="E1486" s="7"/>
      <c r="F1486" s="7"/>
      <c r="G1486" s="7"/>
      <c r="H1486" s="8">
        <f>ROUND(IF(PRODUCT(IF(C1486=0,1,C1486),IF(E1486=0,1,E1486),IF(F1486=0,1,F1486),IF(G1486=0,1,G1486))=1,0,PRODUCT(IF(C1486=0,1,C1486),IF(E1486=0,1,E1486),IF(F1486=0,1,F1486),IF(G1486=0,1,G1486))),2)</f>
        <v>0</v>
      </c>
      <c r="I1486" s="5"/>
    </row>
    <row r="1487" spans="1:9" x14ac:dyDescent="0.2">
      <c r="A1487" s="3"/>
      <c r="C1487" s="10"/>
      <c r="D1487" s="10"/>
      <c r="E1487" s="9"/>
      <c r="F1487" s="94" t="s">
        <v>11</v>
      </c>
      <c r="G1487" s="95" t="s">
        <v>264</v>
      </c>
      <c r="H1487" s="11">
        <f>SUM(H1479:H1485)</f>
        <v>288.93</v>
      </c>
      <c r="I1487" s="12" t="s">
        <v>17</v>
      </c>
    </row>
    <row r="1488" spans="1:9" x14ac:dyDescent="0.2">
      <c r="A1488" s="96" t="str">
        <f>'Orçamento Sintético'!A314</f>
        <v>16.6</v>
      </c>
      <c r="B1488" s="97" t="str">
        <f>'Orçamento Sintético'!D314</f>
        <v>CHAPISCO / REBOCO</v>
      </c>
      <c r="C1488" s="273"/>
      <c r="D1488" s="274"/>
      <c r="E1488" s="274"/>
      <c r="F1488" s="274"/>
      <c r="G1488" s="274"/>
      <c r="H1488" s="274"/>
      <c r="I1488" s="275"/>
    </row>
    <row r="1489" spans="1:9" ht="24" customHeight="1" x14ac:dyDescent="0.2">
      <c r="A1489" s="3" t="str">
        <f>'Orçamento Sintético'!A315</f>
        <v>16.6.1</v>
      </c>
      <c r="B1489" s="270" t="str">
        <f>'Orçamento Sintético'!D315</f>
        <v>CHAPISCO APLICADO EM ALVENARIA (COM PRESENÇA DE VÃOS) E ESTRUTURAS DE CONCRETO DE FACHADA, COM COLHER DE PEDREIRO. ARGAMASSA TRAÇO 1:3 COM PREPARO EM BETONEIRA 400L. AF_10/2022</v>
      </c>
      <c r="C1489" s="271"/>
      <c r="D1489" s="271"/>
      <c r="E1489" s="272"/>
      <c r="I1489" s="5"/>
    </row>
    <row r="1490" spans="1:9" x14ac:dyDescent="0.2">
      <c r="A1490" s="3"/>
      <c r="B1490" s="91" t="s">
        <v>260</v>
      </c>
      <c r="C1490" s="91" t="s">
        <v>8</v>
      </c>
      <c r="D1490" s="91" t="s">
        <v>266</v>
      </c>
      <c r="E1490" s="91" t="s">
        <v>261</v>
      </c>
      <c r="F1490" s="91" t="s">
        <v>262</v>
      </c>
      <c r="G1490" s="91" t="s">
        <v>263</v>
      </c>
      <c r="H1490" s="91" t="s">
        <v>11</v>
      </c>
      <c r="I1490" s="5"/>
    </row>
    <row r="1491" spans="1:9" ht="15" customHeight="1" x14ac:dyDescent="0.2">
      <c r="A1491" s="3"/>
      <c r="B1491" s="276" t="s">
        <v>976</v>
      </c>
      <c r="C1491" s="277"/>
      <c r="D1491" s="277"/>
      <c r="E1491" s="277"/>
      <c r="F1491" s="277"/>
      <c r="G1491" s="277"/>
      <c r="H1491" s="278"/>
      <c r="I1491" s="5"/>
    </row>
    <row r="1492" spans="1:9" x14ac:dyDescent="0.2">
      <c r="A1492" s="3"/>
      <c r="B1492" s="6"/>
      <c r="C1492" s="161"/>
      <c r="D1492" s="161"/>
      <c r="E1492" s="161"/>
      <c r="F1492" s="161"/>
      <c r="G1492" s="161"/>
      <c r="H1492" s="8"/>
      <c r="I1492" s="5"/>
    </row>
    <row r="1493" spans="1:9" x14ac:dyDescent="0.2">
      <c r="A1493" s="3"/>
      <c r="B1493" s="23" t="s">
        <v>973</v>
      </c>
      <c r="C1493" s="7"/>
      <c r="D1493" s="7"/>
      <c r="E1493" s="7"/>
      <c r="F1493" s="7"/>
      <c r="G1493" s="7"/>
      <c r="H1493" s="8"/>
      <c r="I1493" s="5"/>
    </row>
    <row r="1494" spans="1:9" x14ac:dyDescent="0.2">
      <c r="A1494" s="3"/>
      <c r="B1494" s="6" t="s">
        <v>868</v>
      </c>
      <c r="C1494" s="7"/>
      <c r="D1494" s="7">
        <f>140.45+43.6</f>
        <v>184.04999999999998</v>
      </c>
      <c r="E1494" s="198"/>
      <c r="F1494" s="198"/>
      <c r="G1494" s="198"/>
      <c r="H1494" s="8">
        <f t="shared" ref="H1494:H1499" si="22">ROUND(IF(PRODUCT(IF(C1494=0,1,C1494),IF(D1494=0,1,D1494),IF(E1494=0,1,E1494),IF(F1494=0,1,F1494),IF(G1494=0,1,G1494))=1,0,PRODUCT(IF(C1494=0,1,C1494),IF(D1494=0,1,D1494),IF(E1494=0,1,E1494),IF(F1494=0,1,F1494),IF(G1494=0,1,G1494))),2)</f>
        <v>184.05</v>
      </c>
      <c r="I1494" s="5"/>
    </row>
    <row r="1495" spans="1:9" x14ac:dyDescent="0.2">
      <c r="A1495" s="3"/>
      <c r="B1495" s="6" t="s">
        <v>869</v>
      </c>
      <c r="C1495" s="7"/>
      <c r="D1495" s="7">
        <v>140.44999999999999</v>
      </c>
      <c r="E1495" s="198"/>
      <c r="F1495" s="198"/>
      <c r="G1495" s="198"/>
      <c r="H1495" s="8">
        <f t="shared" si="22"/>
        <v>140.44999999999999</v>
      </c>
      <c r="I1495" s="5"/>
    </row>
    <row r="1496" spans="1:9" x14ac:dyDescent="0.2">
      <c r="A1496" s="3"/>
      <c r="B1496" s="6" t="s">
        <v>868</v>
      </c>
      <c r="C1496" s="7"/>
      <c r="D1496" s="7">
        <f>46.52+95.55</f>
        <v>142.07</v>
      </c>
      <c r="E1496" s="198"/>
      <c r="F1496" s="198"/>
      <c r="G1496" s="198"/>
      <c r="H1496" s="8">
        <f t="shared" si="22"/>
        <v>142.07</v>
      </c>
      <c r="I1496" s="5"/>
    </row>
    <row r="1497" spans="1:9" x14ac:dyDescent="0.2">
      <c r="A1497" s="3"/>
      <c r="B1497" s="6" t="s">
        <v>869</v>
      </c>
      <c r="C1497" s="7"/>
      <c r="D1497" s="7">
        <v>95.55</v>
      </c>
      <c r="E1497" s="198"/>
      <c r="F1497" s="198"/>
      <c r="G1497" s="198"/>
      <c r="H1497" s="8">
        <f t="shared" si="22"/>
        <v>95.55</v>
      </c>
      <c r="I1497" s="5"/>
    </row>
    <row r="1498" spans="1:9" x14ac:dyDescent="0.2">
      <c r="A1498" s="3"/>
      <c r="B1498" s="6" t="s">
        <v>870</v>
      </c>
      <c r="C1498" s="7"/>
      <c r="D1498" s="7">
        <f>60.5+67</f>
        <v>127.5</v>
      </c>
      <c r="E1498" s="198"/>
      <c r="F1498" s="198"/>
      <c r="G1498" s="198"/>
      <c r="H1498" s="8">
        <f t="shared" si="22"/>
        <v>127.5</v>
      </c>
      <c r="I1498" s="5"/>
    </row>
    <row r="1499" spans="1:9" x14ac:dyDescent="0.2">
      <c r="A1499" s="3"/>
      <c r="B1499" s="6" t="s">
        <v>871</v>
      </c>
      <c r="C1499" s="7"/>
      <c r="D1499" s="7">
        <v>67</v>
      </c>
      <c r="E1499" s="198"/>
      <c r="F1499" s="198"/>
      <c r="G1499" s="198"/>
      <c r="H1499" s="8">
        <f t="shared" si="22"/>
        <v>67</v>
      </c>
      <c r="I1499" s="5"/>
    </row>
    <row r="1500" spans="1:9" x14ac:dyDescent="0.2">
      <c r="A1500" s="3"/>
      <c r="B1500" s="6"/>
      <c r="C1500" s="7"/>
      <c r="D1500" s="7"/>
      <c r="E1500" s="7"/>
      <c r="F1500" s="7"/>
      <c r="G1500" s="7"/>
      <c r="H1500" s="8"/>
      <c r="I1500" s="5"/>
    </row>
    <row r="1501" spans="1:9" x14ac:dyDescent="0.2">
      <c r="A1501" s="3"/>
      <c r="B1501" s="23" t="s">
        <v>777</v>
      </c>
      <c r="C1501" s="7"/>
      <c r="D1501" s="7"/>
      <c r="E1501" s="7"/>
      <c r="F1501" s="7"/>
      <c r="G1501" s="7"/>
      <c r="H1501" s="8"/>
      <c r="I1501" s="5"/>
    </row>
    <row r="1502" spans="1:9" x14ac:dyDescent="0.2">
      <c r="A1502" s="3"/>
      <c r="B1502" s="6" t="s">
        <v>780</v>
      </c>
      <c r="C1502" s="7">
        <v>2</v>
      </c>
      <c r="D1502" s="7"/>
      <c r="E1502" s="7">
        <f>15.22+8.2</f>
        <v>23.42</v>
      </c>
      <c r="F1502" s="161"/>
      <c r="G1502" s="161">
        <v>0.4</v>
      </c>
      <c r="H1502" s="8">
        <f>ROUND(IF(PRODUCT(IF(C1502=0,1,C1502),IF(D1502=0,1,D1502),IF(E1502=0,1,E1502),IF(F1502=0,1,F1502),IF(G1502=0,1,G1502))=1,0,PRODUCT(IF(C1502=0,1,C1502),IF(D1502=0,1,D1502),IF(E1502=0,1,E1502),IF(F1502=0,1,F1502),IF(G1502=0,1,G1502))),2)</f>
        <v>18.739999999999998</v>
      </c>
      <c r="I1502" s="5"/>
    </row>
    <row r="1503" spans="1:9" x14ac:dyDescent="0.2">
      <c r="A1503" s="3"/>
      <c r="B1503" s="6"/>
      <c r="C1503" s="7"/>
      <c r="D1503" s="7"/>
      <c r="E1503" s="7"/>
      <c r="F1503" s="7"/>
      <c r="G1503" s="7"/>
      <c r="H1503" s="8">
        <f>ROUND(IF(PRODUCT(IF(C1503=0,1,C1503),IF(E1503=0,1,E1503),IF(F1503=0,1,F1503),IF(G1503=0,1,G1503))=1,0,PRODUCT(IF(C1503=0,1,C1503),IF(E1503=0,1,E1503),IF(F1503=0,1,F1503),IF(G1503=0,1,G1503))),2)</f>
        <v>0</v>
      </c>
      <c r="I1503" s="5"/>
    </row>
    <row r="1504" spans="1:9" x14ac:dyDescent="0.2">
      <c r="A1504" s="3"/>
      <c r="C1504" s="10"/>
      <c r="D1504" s="10"/>
      <c r="E1504" s="9"/>
      <c r="F1504" s="94" t="s">
        <v>11</v>
      </c>
      <c r="G1504" s="95" t="s">
        <v>264</v>
      </c>
      <c r="H1504" s="11">
        <f>SUM(H1492:H1502)</f>
        <v>775.36</v>
      </c>
      <c r="I1504" s="12" t="s">
        <v>17</v>
      </c>
    </row>
    <row r="1505" spans="1:9" ht="24.75" customHeight="1" x14ac:dyDescent="0.2">
      <c r="A1505" s="3" t="str">
        <f>'Orçamento Sintético'!A316</f>
        <v>16.6.2</v>
      </c>
      <c r="B1505" s="270" t="str">
        <f>'Orçamento Sintético'!D316</f>
        <v>EMBOÇO OU MASSA ÚNICA EM ARGAMASSA TRAÇO 1:2:8, PREPARO MANUAL, APLICADA MANUALMENTE EM PANOS DE FACHADA COM PRESENÇA DE VÃOS, ESPESSURA DE 25 MM. AF_08/2022</v>
      </c>
      <c r="C1505" s="271"/>
      <c r="D1505" s="271"/>
      <c r="E1505" s="272"/>
      <c r="I1505" s="5"/>
    </row>
    <row r="1506" spans="1:9" x14ac:dyDescent="0.2">
      <c r="A1506" s="3"/>
      <c r="B1506" s="91" t="s">
        <v>260</v>
      </c>
      <c r="C1506" s="91" t="s">
        <v>8</v>
      </c>
      <c r="D1506" s="91" t="s">
        <v>266</v>
      </c>
      <c r="E1506" s="91" t="s">
        <v>261</v>
      </c>
      <c r="F1506" s="91" t="s">
        <v>262</v>
      </c>
      <c r="G1506" s="91" t="s">
        <v>263</v>
      </c>
      <c r="H1506" s="91" t="s">
        <v>11</v>
      </c>
      <c r="I1506" s="5"/>
    </row>
    <row r="1507" spans="1:9" x14ac:dyDescent="0.2">
      <c r="A1507" s="3"/>
      <c r="B1507" s="6"/>
      <c r="C1507" s="7"/>
      <c r="D1507" s="7">
        <f>H1504</f>
        <v>775.36</v>
      </c>
      <c r="E1507" s="7"/>
      <c r="F1507" s="7"/>
      <c r="G1507" s="7"/>
      <c r="H1507" s="8">
        <f>ROUND(IF(PRODUCT(IF(C1507=0,1,C1507),IF(D1507=0,1,D1507),IF(E1507=0,1,E1507),IF(F1507=0,1,F1507),IF(G1507=0,1,G1507))=1,0,PRODUCT(IF(C1507=0,1,C1507),IF(D1507=0,1,D1507),IF(E1507=0,1,E1507),IF(F1507=0,1,F1507),IF(G1507=0,1,G1507))),2)</f>
        <v>775.36</v>
      </c>
      <c r="I1507" s="5"/>
    </row>
    <row r="1508" spans="1:9" x14ac:dyDescent="0.2">
      <c r="A1508" s="3"/>
      <c r="B1508" s="6"/>
      <c r="C1508" s="7"/>
      <c r="D1508" s="7"/>
      <c r="E1508" s="7"/>
      <c r="F1508" s="7"/>
      <c r="G1508" s="7"/>
      <c r="H1508" s="8">
        <f>ROUND(IF(PRODUCT(IF(C1508=0,1,C1508),IF(E1508=0,1,E1508),IF(F1508=0,1,F1508),IF(G1508=0,1,G1508))=1,0,PRODUCT(IF(C1508=0,1,C1508),IF(E1508=0,1,E1508),IF(F1508=0,1,F1508),IF(G1508=0,1,G1508))),2)</f>
        <v>0</v>
      </c>
      <c r="I1508" s="5"/>
    </row>
    <row r="1509" spans="1:9" x14ac:dyDescent="0.2">
      <c r="A1509" s="3"/>
      <c r="C1509" s="10"/>
      <c r="D1509" s="10"/>
      <c r="E1509" s="9"/>
      <c r="F1509" s="94" t="s">
        <v>11</v>
      </c>
      <c r="G1509" s="95" t="s">
        <v>264</v>
      </c>
      <c r="H1509" s="11">
        <f>SUM(H1507:H1507)</f>
        <v>775.36</v>
      </c>
      <c r="I1509" s="12" t="s">
        <v>17</v>
      </c>
    </row>
    <row r="1510" spans="1:9" ht="15" customHeight="1" x14ac:dyDescent="0.2">
      <c r="A1510" s="96" t="str">
        <f>'Orçamento Sintético'!A317</f>
        <v>16.7</v>
      </c>
      <c r="B1510" s="97" t="str">
        <f>'Orçamento Sintético'!D317</f>
        <v>PINTURA</v>
      </c>
      <c r="C1510" s="273"/>
      <c r="D1510" s="274"/>
      <c r="E1510" s="274"/>
      <c r="F1510" s="274"/>
      <c r="G1510" s="274"/>
      <c r="H1510" s="274"/>
      <c r="I1510" s="275"/>
    </row>
    <row r="1511" spans="1:9" ht="14.25" customHeight="1" x14ac:dyDescent="0.2">
      <c r="A1511" s="3" t="str">
        <f>'Orçamento Sintético'!A318</f>
        <v>16.7.1</v>
      </c>
      <c r="B1511" s="270" t="str">
        <f>'Orçamento Sintético'!D318</f>
        <v>FUNDO SELADOR ACRÍLICO, APLICAÇÃO MANUAL EM PAREDE, UMA DEMÃO. AF_04/2023</v>
      </c>
      <c r="C1511" s="271"/>
      <c r="D1511" s="271"/>
      <c r="E1511" s="272"/>
      <c r="I1511" s="5"/>
    </row>
    <row r="1512" spans="1:9" x14ac:dyDescent="0.2">
      <c r="A1512" s="3"/>
      <c r="B1512" s="91" t="s">
        <v>260</v>
      </c>
      <c r="C1512" s="91" t="s">
        <v>8</v>
      </c>
      <c r="D1512" s="91" t="s">
        <v>266</v>
      </c>
      <c r="E1512" s="91" t="s">
        <v>261</v>
      </c>
      <c r="F1512" s="91" t="s">
        <v>262</v>
      </c>
      <c r="G1512" s="91" t="s">
        <v>263</v>
      </c>
      <c r="H1512" s="91" t="s">
        <v>11</v>
      </c>
      <c r="I1512" s="5"/>
    </row>
    <row r="1513" spans="1:9" x14ac:dyDescent="0.2">
      <c r="A1513" s="3"/>
      <c r="B1513" s="23" t="s">
        <v>973</v>
      </c>
      <c r="C1513" s="7"/>
      <c r="D1513" s="7"/>
      <c r="E1513" s="7"/>
      <c r="F1513" s="7"/>
      <c r="G1513" s="7"/>
      <c r="H1513" s="8"/>
      <c r="I1513" s="5"/>
    </row>
    <row r="1514" spans="1:9" x14ac:dyDescent="0.2">
      <c r="A1514" s="3"/>
      <c r="B1514" s="6" t="s">
        <v>868</v>
      </c>
      <c r="C1514" s="7"/>
      <c r="D1514" s="7">
        <f>140.45+43.6</f>
        <v>184.04999999999998</v>
      </c>
      <c r="E1514" s="198"/>
      <c r="F1514" s="198"/>
      <c r="G1514" s="198"/>
      <c r="H1514" s="8">
        <f t="shared" ref="H1514:H1519" si="23">ROUND(IF(PRODUCT(IF(C1514=0,1,C1514),IF(D1514=0,1,D1514),IF(E1514=0,1,E1514),IF(F1514=0,1,F1514),IF(G1514=0,1,G1514))=1,0,PRODUCT(IF(C1514=0,1,C1514),IF(D1514=0,1,D1514),IF(E1514=0,1,E1514),IF(F1514=0,1,F1514),IF(G1514=0,1,G1514))),2)</f>
        <v>184.05</v>
      </c>
      <c r="I1514" s="5"/>
    </row>
    <row r="1515" spans="1:9" x14ac:dyDescent="0.2">
      <c r="A1515" s="3"/>
      <c r="B1515" s="6" t="s">
        <v>869</v>
      </c>
      <c r="C1515" s="7"/>
      <c r="D1515" s="7">
        <v>140.44999999999999</v>
      </c>
      <c r="E1515" s="198"/>
      <c r="F1515" s="198"/>
      <c r="G1515" s="198"/>
      <c r="H1515" s="8">
        <f t="shared" si="23"/>
        <v>140.44999999999999</v>
      </c>
      <c r="I1515" s="5"/>
    </row>
    <row r="1516" spans="1:9" x14ac:dyDescent="0.2">
      <c r="A1516" s="3"/>
      <c r="B1516" s="6" t="s">
        <v>868</v>
      </c>
      <c r="C1516" s="7"/>
      <c r="D1516" s="7">
        <f>46.52+95.55</f>
        <v>142.07</v>
      </c>
      <c r="E1516" s="198"/>
      <c r="F1516" s="198"/>
      <c r="G1516" s="198"/>
      <c r="H1516" s="8">
        <f t="shared" si="23"/>
        <v>142.07</v>
      </c>
      <c r="I1516" s="5"/>
    </row>
    <row r="1517" spans="1:9" x14ac:dyDescent="0.2">
      <c r="A1517" s="3"/>
      <c r="B1517" s="6" t="s">
        <v>869</v>
      </c>
      <c r="C1517" s="7"/>
      <c r="D1517" s="7">
        <v>95.55</v>
      </c>
      <c r="E1517" s="198"/>
      <c r="F1517" s="198"/>
      <c r="G1517" s="198"/>
      <c r="H1517" s="8">
        <f t="shared" si="23"/>
        <v>95.55</v>
      </c>
      <c r="I1517" s="5"/>
    </row>
    <row r="1518" spans="1:9" x14ac:dyDescent="0.2">
      <c r="A1518" s="3"/>
      <c r="B1518" s="6" t="s">
        <v>870</v>
      </c>
      <c r="C1518" s="7"/>
      <c r="D1518" s="7">
        <f>60.5+67</f>
        <v>127.5</v>
      </c>
      <c r="E1518" s="198"/>
      <c r="F1518" s="198"/>
      <c r="G1518" s="198"/>
      <c r="H1518" s="8">
        <f t="shared" si="23"/>
        <v>127.5</v>
      </c>
      <c r="I1518" s="5"/>
    </row>
    <row r="1519" spans="1:9" x14ac:dyDescent="0.2">
      <c r="A1519" s="3"/>
      <c r="B1519" s="6" t="s">
        <v>871</v>
      </c>
      <c r="C1519" s="7"/>
      <c r="D1519" s="7">
        <v>67</v>
      </c>
      <c r="E1519" s="198"/>
      <c r="F1519" s="198"/>
      <c r="G1519" s="198"/>
      <c r="H1519" s="8">
        <f t="shared" si="23"/>
        <v>67</v>
      </c>
      <c r="I1519" s="5"/>
    </row>
    <row r="1520" spans="1:9" x14ac:dyDescent="0.2">
      <c r="A1520" s="3"/>
      <c r="B1520" s="6"/>
      <c r="C1520" s="7"/>
      <c r="D1520" s="7"/>
      <c r="E1520" s="7"/>
      <c r="F1520" s="7"/>
      <c r="G1520" s="7"/>
      <c r="H1520" s="8"/>
      <c r="I1520" s="5"/>
    </row>
    <row r="1521" spans="1:11" x14ac:dyDescent="0.2">
      <c r="A1521" s="3"/>
      <c r="B1521" s="23" t="s">
        <v>777</v>
      </c>
      <c r="C1521" s="7"/>
      <c r="D1521" s="7"/>
      <c r="E1521" s="7"/>
      <c r="F1521" s="7"/>
      <c r="G1521" s="7"/>
      <c r="H1521" s="8"/>
      <c r="I1521" s="5"/>
    </row>
    <row r="1522" spans="1:11" x14ac:dyDescent="0.2">
      <c r="A1522" s="3"/>
      <c r="B1522" s="6" t="s">
        <v>780</v>
      </c>
      <c r="C1522" s="7">
        <v>2</v>
      </c>
      <c r="D1522" s="7"/>
      <c r="E1522" s="7">
        <f>15.22+8.2</f>
        <v>23.42</v>
      </c>
      <c r="F1522" s="161"/>
      <c r="G1522" s="161">
        <v>0.4</v>
      </c>
      <c r="H1522" s="8">
        <f>ROUND(IF(PRODUCT(IF(C1522=0,1,C1522),IF(D1522=0,1,D1522),IF(E1522=0,1,E1522),IF(F1522=0,1,F1522),IF(G1522=0,1,G1522))=1,0,PRODUCT(IF(C1522=0,1,C1522),IF(D1522=0,1,D1522),IF(E1522=0,1,E1522),IF(F1522=0,1,F1522),IF(G1522=0,1,G1522))),2)</f>
        <v>18.739999999999998</v>
      </c>
      <c r="I1522" s="5"/>
    </row>
    <row r="1523" spans="1:11" x14ac:dyDescent="0.2">
      <c r="A1523" s="3"/>
      <c r="B1523" s="6"/>
      <c r="C1523" s="7"/>
      <c r="D1523" s="7"/>
      <c r="E1523" s="7"/>
      <c r="F1523" s="7"/>
      <c r="G1523" s="7"/>
      <c r="H1523" s="8">
        <f>ROUND(IF(PRODUCT(IF(C1523=0,1,C1523),IF(E1523=0,1,E1523),IF(F1523=0,1,F1523),IF(G1523=0,1,G1523))=1,0,PRODUCT(IF(C1523=0,1,C1523),IF(E1523=0,1,E1523),IF(F1523=0,1,F1523),IF(G1523=0,1,G1523))),2)</f>
        <v>0</v>
      </c>
      <c r="I1523" s="5"/>
    </row>
    <row r="1524" spans="1:11" x14ac:dyDescent="0.2">
      <c r="A1524" s="3"/>
      <c r="C1524" s="10"/>
      <c r="D1524" s="10"/>
      <c r="E1524" s="9"/>
      <c r="F1524" s="94" t="s">
        <v>11</v>
      </c>
      <c r="G1524" s="95" t="s">
        <v>264</v>
      </c>
      <c r="H1524" s="11">
        <f>SUM(H1513:H1522)</f>
        <v>775.36</v>
      </c>
      <c r="I1524" s="12" t="s">
        <v>17</v>
      </c>
    </row>
    <row r="1525" spans="1:11" ht="14.25" customHeight="1" x14ac:dyDescent="0.2">
      <c r="A1525" s="3" t="str">
        <f>'Orçamento Sintético'!A319</f>
        <v>16.7.2</v>
      </c>
      <c r="B1525" s="270" t="str">
        <f>'Orçamento Sintético'!D319</f>
        <v>APLICAÇÃO MANUAL DE MASSA ACRÍLICA EM PAREDES EXTERNAS DE CASAS, DUAS DEMÃOS. AF_03/2024</v>
      </c>
      <c r="C1525" s="271"/>
      <c r="D1525" s="271"/>
      <c r="E1525" s="272"/>
      <c r="I1525" s="5"/>
    </row>
    <row r="1526" spans="1:11" x14ac:dyDescent="0.2">
      <c r="A1526" s="3"/>
      <c r="B1526" s="91" t="s">
        <v>260</v>
      </c>
      <c r="C1526" s="91" t="s">
        <v>8</v>
      </c>
      <c r="D1526" s="91" t="s">
        <v>266</v>
      </c>
      <c r="E1526" s="91" t="s">
        <v>261</v>
      </c>
      <c r="F1526" s="91" t="s">
        <v>262</v>
      </c>
      <c r="G1526" s="91" t="s">
        <v>263</v>
      </c>
      <c r="H1526" s="91" t="s">
        <v>11</v>
      </c>
      <c r="I1526" s="5"/>
    </row>
    <row r="1527" spans="1:11" x14ac:dyDescent="0.2">
      <c r="A1527" s="3"/>
      <c r="B1527" s="6"/>
      <c r="C1527" s="7"/>
      <c r="D1527" s="7">
        <f>H1524</f>
        <v>775.36</v>
      </c>
      <c r="E1527" s="161"/>
      <c r="F1527" s="161"/>
      <c r="G1527" s="161"/>
      <c r="H1527" s="8">
        <f>ROUND(IF(PRODUCT(IF(C1527=0,1,C1527),IF(D1527=0,1,D1527),IF(E1527=0,1,E1527),IF(F1527=0,1,F1527),IF(G1527=0,1,G1527))=1,0,PRODUCT(IF(C1527=0,1,C1527),IF(D1527=0,1,D1527),IF(E1527=0,1,E1527),IF(F1527=0,1,F1527),IF(G1527=0,1,G1527))),2)</f>
        <v>775.36</v>
      </c>
      <c r="I1527" s="5"/>
      <c r="J1527" s="19"/>
      <c r="K1527" s="19"/>
    </row>
    <row r="1528" spans="1:11" x14ac:dyDescent="0.2">
      <c r="A1528" s="3"/>
      <c r="B1528" s="6"/>
      <c r="C1528" s="7"/>
      <c r="D1528" s="7"/>
      <c r="E1528" s="7"/>
      <c r="F1528" s="7"/>
      <c r="G1528" s="7"/>
      <c r="H1528" s="8">
        <f>ROUND(IF(PRODUCT(IF(C1528=0,1,C1528),IF(E1528=0,1,E1528),IF(F1528=0,1,F1528),IF(G1528=0,1,G1528))=1,0,PRODUCT(IF(C1528=0,1,C1528),IF(E1528=0,1,E1528),IF(F1528=0,1,F1528),IF(G1528=0,1,G1528))),2)</f>
        <v>0</v>
      </c>
      <c r="I1528" s="5"/>
    </row>
    <row r="1529" spans="1:11" x14ac:dyDescent="0.2">
      <c r="A1529" s="3"/>
      <c r="C1529" s="10"/>
      <c r="D1529" s="10"/>
      <c r="E1529" s="9"/>
      <c r="F1529" s="94" t="s">
        <v>11</v>
      </c>
      <c r="G1529" s="95" t="s">
        <v>264</v>
      </c>
      <c r="H1529" s="11">
        <f>SUM(H1527:H1528)</f>
        <v>775.36</v>
      </c>
      <c r="I1529" s="12" t="s">
        <v>17</v>
      </c>
    </row>
    <row r="1530" spans="1:11" ht="12.75" customHeight="1" x14ac:dyDescent="0.2">
      <c r="A1530" s="3" t="str">
        <f>'Orçamento Sintético'!A320</f>
        <v>16.7.3</v>
      </c>
      <c r="B1530" s="270" t="str">
        <f>'Orçamento Sintético'!D320</f>
        <v>APLICAÇÃO MANUAL DE TINTA LÁTEX ACRÍLICA EM PAREDE EXTERNAS DE CASAS, DUAS DEMÃOS. AF_03/2024</v>
      </c>
      <c r="C1530" s="271"/>
      <c r="D1530" s="271"/>
      <c r="E1530" s="272"/>
      <c r="I1530" s="5"/>
    </row>
    <row r="1531" spans="1:11" x14ac:dyDescent="0.2">
      <c r="A1531" s="3"/>
      <c r="B1531" s="91" t="s">
        <v>260</v>
      </c>
      <c r="C1531" s="91" t="s">
        <v>8</v>
      </c>
      <c r="D1531" s="91" t="s">
        <v>266</v>
      </c>
      <c r="E1531" s="91" t="s">
        <v>261</v>
      </c>
      <c r="F1531" s="91" t="s">
        <v>262</v>
      </c>
      <c r="G1531" s="91" t="s">
        <v>263</v>
      </c>
      <c r="H1531" s="91" t="s">
        <v>11</v>
      </c>
      <c r="I1531" s="5"/>
    </row>
    <row r="1532" spans="1:11" x14ac:dyDescent="0.2">
      <c r="A1532" s="3"/>
      <c r="B1532" s="6"/>
      <c r="C1532" s="7"/>
      <c r="D1532" s="161">
        <f>H1524</f>
        <v>775.36</v>
      </c>
      <c r="E1532" s="7"/>
      <c r="F1532" s="7"/>
      <c r="G1532" s="7"/>
      <c r="H1532" s="8">
        <f>ROUND(IF(PRODUCT(IF(C1532=0,1,C1532),IF(D1532=0,1,D1532),IF(E1532=0,1,E1532),IF(F1532=0,1,F1532),IF(G1532=0,1,G1532))=1,0,PRODUCT(IF(C1532=0,1,C1532),IF(D1532=0,1,D1532),IF(E1532=0,1,E1532),IF(F1532=0,1,F1532),IF(G1532=0,1,G1532))),2)</f>
        <v>775.36</v>
      </c>
      <c r="I1532" s="5"/>
    </row>
    <row r="1533" spans="1:11" x14ac:dyDescent="0.2">
      <c r="A1533" s="3"/>
      <c r="B1533" s="6"/>
      <c r="C1533" s="7"/>
      <c r="D1533" s="7"/>
      <c r="E1533" s="7"/>
      <c r="F1533" s="7"/>
      <c r="G1533" s="7"/>
      <c r="H1533" s="8">
        <f>ROUND(IF(PRODUCT(IF(C1533=0,1,C1533),IF(E1533=0,1,E1533),IF(F1533=0,1,F1533),IF(G1533=0,1,G1533))=1,0,PRODUCT(IF(C1533=0,1,C1533),IF(E1533=0,1,E1533),IF(F1533=0,1,F1533),IF(G1533=0,1,G1533))),2)</f>
        <v>0</v>
      </c>
      <c r="I1533" s="5"/>
    </row>
    <row r="1534" spans="1:11" x14ac:dyDescent="0.2">
      <c r="A1534" s="3"/>
      <c r="C1534" s="10"/>
      <c r="D1534" s="10"/>
      <c r="E1534" s="9"/>
      <c r="F1534" s="94" t="s">
        <v>11</v>
      </c>
      <c r="G1534" s="95" t="s">
        <v>264</v>
      </c>
      <c r="H1534" s="11">
        <f>SUM(H1532:H1532)</f>
        <v>775.36</v>
      </c>
      <c r="I1534" s="12" t="s">
        <v>17</v>
      </c>
    </row>
    <row r="1535" spans="1:11" x14ac:dyDescent="0.2">
      <c r="A1535" s="89" t="str">
        <f>'Orçamento Sintético'!A321</f>
        <v>17.0</v>
      </c>
      <c r="B1535" s="90" t="str">
        <f>'Orçamento Sintético'!D321</f>
        <v>FACHADA / PORTICO</v>
      </c>
      <c r="C1535" s="273"/>
      <c r="D1535" s="274"/>
      <c r="E1535" s="274"/>
      <c r="F1535" s="274"/>
      <c r="G1535" s="274"/>
      <c r="H1535" s="274"/>
      <c r="I1535" s="275"/>
    </row>
    <row r="1536" spans="1:11" x14ac:dyDescent="0.2">
      <c r="A1536" s="96" t="str">
        <f>'Orçamento Sintético'!A322</f>
        <v>17.1</v>
      </c>
      <c r="B1536" s="97" t="str">
        <f>'Orçamento Sintético'!D322</f>
        <v>FUNDAÇÕES</v>
      </c>
      <c r="C1536" s="273"/>
      <c r="D1536" s="274"/>
      <c r="E1536" s="274"/>
      <c r="F1536" s="274"/>
      <c r="G1536" s="274"/>
      <c r="H1536" s="274"/>
      <c r="I1536" s="275"/>
    </row>
    <row r="1537" spans="1:9" ht="24.75" customHeight="1" x14ac:dyDescent="0.2">
      <c r="A1537" s="3" t="str">
        <f>'Orçamento Sintético'!A323</f>
        <v>17.1.1</v>
      </c>
      <c r="B1537" s="270" t="str">
        <f>'Orçamento Sintético'!D323</f>
        <v>ESCAVAÇÃO MECANIZADA PARA BLOCO DE COROAMENTO OU SAPATA COM RETROESCAVADEIRA (INCLUINDO ESCAVAÇÃO PARA COLOCAÇÃO DE FÔRMAS). AF_01/2024</v>
      </c>
      <c r="C1537" s="271"/>
      <c r="D1537" s="271"/>
      <c r="E1537" s="272"/>
      <c r="I1537" s="5"/>
    </row>
    <row r="1538" spans="1:9" x14ac:dyDescent="0.2">
      <c r="A1538" s="3"/>
      <c r="B1538" s="91" t="s">
        <v>260</v>
      </c>
      <c r="C1538" s="91" t="s">
        <v>8</v>
      </c>
      <c r="D1538" s="91" t="s">
        <v>266</v>
      </c>
      <c r="E1538" s="91" t="s">
        <v>261</v>
      </c>
      <c r="F1538" s="91" t="s">
        <v>262</v>
      </c>
      <c r="G1538" s="91" t="s">
        <v>263</v>
      </c>
      <c r="H1538" s="91" t="s">
        <v>11</v>
      </c>
      <c r="I1538" s="5"/>
    </row>
    <row r="1539" spans="1:9" x14ac:dyDescent="0.2">
      <c r="A1539" s="3"/>
      <c r="B1539" s="23" t="s">
        <v>722</v>
      </c>
      <c r="C1539" s="198"/>
      <c r="D1539" s="198"/>
      <c r="E1539" s="198"/>
      <c r="F1539" s="198"/>
      <c r="G1539" s="198"/>
      <c r="H1539" s="8"/>
      <c r="I1539" s="5"/>
    </row>
    <row r="1540" spans="1:9" x14ac:dyDescent="0.2">
      <c r="A1540" s="3"/>
      <c r="B1540" s="6" t="s">
        <v>723</v>
      </c>
      <c r="C1540" s="161">
        <v>1</v>
      </c>
      <c r="D1540" s="161"/>
      <c r="E1540" s="161">
        <f>0.95+0.2+0.2</f>
        <v>1.3499999999999999</v>
      </c>
      <c r="F1540" s="161">
        <f>0.95+0.2+0.2</f>
        <v>1.3499999999999999</v>
      </c>
      <c r="G1540" s="161">
        <f>0.3+0.05+1.2</f>
        <v>1.5499999999999998</v>
      </c>
      <c r="H1540" s="8">
        <f>ROUND(IF(PRODUCT(IF(C1540=0,1,C1540),IF(D1540=0,1,D1540),IF(E1540=0,1,E1540),IF(F1540=0,1,F1540),IF(G1540=0,1,G1540))=1,0,PRODUCT(IF(C1540=0,1,C1540),IF(D1540=0,1,D1540),IF(E1540=0,1,E1540),IF(F1540=0,1,F1540),IF(G1540=0,1,G1540))),2)</f>
        <v>2.82</v>
      </c>
      <c r="I1540" s="5"/>
    </row>
    <row r="1541" spans="1:9" x14ac:dyDescent="0.2">
      <c r="A1541" s="3"/>
      <c r="B1541" s="6" t="s">
        <v>724</v>
      </c>
      <c r="C1541" s="161">
        <v>1</v>
      </c>
      <c r="D1541" s="161"/>
      <c r="E1541" s="161">
        <f>1.05+0.2+0.2</f>
        <v>1.45</v>
      </c>
      <c r="F1541" s="161">
        <f>1.05+0.2+0.2</f>
        <v>1.45</v>
      </c>
      <c r="G1541" s="161">
        <f>0.3+0.05+1.2</f>
        <v>1.5499999999999998</v>
      </c>
      <c r="H1541" s="8">
        <f>ROUND(IF(PRODUCT(IF(C1541=0,1,C1541),IF(D1541=0,1,D1541),IF(E1541=0,1,E1541),IF(F1541=0,1,F1541),IF(G1541=0,1,G1541))=1,0,PRODUCT(IF(C1541=0,1,C1541),IF(D1541=0,1,D1541),IF(E1541=0,1,E1541),IF(F1541=0,1,F1541),IF(G1541=0,1,G1541))),2)</f>
        <v>3.26</v>
      </c>
      <c r="I1541" s="5"/>
    </row>
    <row r="1542" spans="1:9" x14ac:dyDescent="0.2">
      <c r="A1542" s="3"/>
      <c r="B1542" s="6" t="s">
        <v>725</v>
      </c>
      <c r="C1542" s="161">
        <v>2</v>
      </c>
      <c r="D1542" s="161"/>
      <c r="E1542" s="161">
        <f>1+0.2+0.2</f>
        <v>1.4</v>
      </c>
      <c r="F1542" s="161">
        <f>1+0.2+0.2</f>
        <v>1.4</v>
      </c>
      <c r="G1542" s="161">
        <f>0.3+0.05+1.2</f>
        <v>1.5499999999999998</v>
      </c>
      <c r="H1542" s="8">
        <f>ROUND(IF(PRODUCT(IF(C1542=0,1,C1542),IF(D1542=0,1,D1542),IF(E1542=0,1,E1542),IF(F1542=0,1,F1542),IF(G1542=0,1,G1542))=1,0,PRODUCT(IF(C1542=0,1,C1542),IF(D1542=0,1,D1542),IF(E1542=0,1,E1542),IF(F1542=0,1,F1542),IF(G1542=0,1,G1542))),2)</f>
        <v>6.08</v>
      </c>
      <c r="I1542" s="5"/>
    </row>
    <row r="1543" spans="1:9" x14ac:dyDescent="0.2">
      <c r="A1543" s="3"/>
      <c r="B1543" s="6"/>
      <c r="C1543" s="7"/>
      <c r="D1543" s="7"/>
      <c r="E1543" s="7"/>
      <c r="F1543" s="7"/>
      <c r="G1543" s="7"/>
      <c r="H1543" s="8">
        <f>ROUND(IF(PRODUCT(IF(C1543=0,1,C1543),IF(E1543=0,1,E1543),IF(F1543=0,1,F1543),IF(G1543=0,1,G1543))=1,0,PRODUCT(IF(C1543=0,1,C1543),IF(E1543=0,1,E1543),IF(F1543=0,1,F1543),IF(G1543=0,1,G1543))),2)</f>
        <v>0</v>
      </c>
      <c r="I1543" s="5"/>
    </row>
    <row r="1544" spans="1:9" x14ac:dyDescent="0.2">
      <c r="A1544" s="3"/>
      <c r="C1544" s="10"/>
      <c r="D1544" s="10"/>
      <c r="E1544" s="9"/>
      <c r="F1544" s="94" t="s">
        <v>11</v>
      </c>
      <c r="G1544" s="95" t="s">
        <v>264</v>
      </c>
      <c r="H1544" s="11">
        <f>SUM(H1539:H1543)</f>
        <v>12.16</v>
      </c>
      <c r="I1544" s="12" t="s">
        <v>24</v>
      </c>
    </row>
    <row r="1545" spans="1:9" ht="14.25" customHeight="1" x14ac:dyDescent="0.2">
      <c r="A1545" s="3" t="str">
        <f>'Orçamento Sintético'!A324</f>
        <v>17.1.2</v>
      </c>
      <c r="B1545" s="270" t="str">
        <f>'Orçamento Sintético'!D324</f>
        <v>PREPARO DE FUNDO DE VALA COM LARGURA MENOR QUE 1,5 M (ACERTO DO SOLO NATURAL). AF_08/2020</v>
      </c>
      <c r="C1545" s="271"/>
      <c r="D1545" s="271"/>
      <c r="E1545" s="272"/>
      <c r="I1545" s="5"/>
    </row>
    <row r="1546" spans="1:9" x14ac:dyDescent="0.2">
      <c r="A1546" s="3"/>
      <c r="B1546" s="91" t="s">
        <v>260</v>
      </c>
      <c r="C1546" s="91" t="s">
        <v>8</v>
      </c>
      <c r="D1546" s="91" t="s">
        <v>266</v>
      </c>
      <c r="E1546" s="91" t="s">
        <v>261</v>
      </c>
      <c r="F1546" s="91" t="s">
        <v>262</v>
      </c>
      <c r="G1546" s="91" t="s">
        <v>263</v>
      </c>
      <c r="H1546" s="91" t="s">
        <v>11</v>
      </c>
      <c r="I1546" s="5"/>
    </row>
    <row r="1547" spans="1:9" x14ac:dyDescent="0.2">
      <c r="A1547" s="3"/>
      <c r="B1547" s="23" t="s">
        <v>722</v>
      </c>
      <c r="C1547" s="198"/>
      <c r="D1547" s="198"/>
      <c r="E1547" s="198"/>
      <c r="F1547" s="198"/>
      <c r="G1547" s="198"/>
      <c r="H1547" s="8"/>
      <c r="I1547" s="5"/>
    </row>
    <row r="1548" spans="1:9" x14ac:dyDescent="0.2">
      <c r="A1548" s="3"/>
      <c r="B1548" s="6" t="s">
        <v>723</v>
      </c>
      <c r="C1548" s="161">
        <v>1</v>
      </c>
      <c r="D1548" s="161"/>
      <c r="E1548" s="161">
        <f>0.95+0.2+0.2</f>
        <v>1.3499999999999999</v>
      </c>
      <c r="F1548" s="161">
        <f>0.95+0.2+0.2</f>
        <v>1.3499999999999999</v>
      </c>
      <c r="G1548" s="161"/>
      <c r="H1548" s="8">
        <f>ROUND(IF(PRODUCT(IF(C1548=0,1,C1548),IF(D1548=0,1,D1548),IF(E1548=0,1,E1548),IF(F1548=0,1,F1548),IF(G1548=0,1,G1548))=1,0,PRODUCT(IF(C1548=0,1,C1548),IF(D1548=0,1,D1548),IF(E1548=0,1,E1548),IF(F1548=0,1,F1548),IF(G1548=0,1,G1548))),2)</f>
        <v>1.82</v>
      </c>
      <c r="I1548" s="5"/>
    </row>
    <row r="1549" spans="1:9" x14ac:dyDescent="0.2">
      <c r="A1549" s="3"/>
      <c r="B1549" s="6" t="s">
        <v>724</v>
      </c>
      <c r="C1549" s="161">
        <v>1</v>
      </c>
      <c r="D1549" s="161"/>
      <c r="E1549" s="161">
        <f>1.05+0.2+0.2</f>
        <v>1.45</v>
      </c>
      <c r="F1549" s="161">
        <f>1.05+0.2+0.2</f>
        <v>1.45</v>
      </c>
      <c r="G1549" s="161"/>
      <c r="H1549" s="8">
        <f>ROUND(IF(PRODUCT(IF(C1549=0,1,C1549),IF(D1549=0,1,D1549),IF(E1549=0,1,E1549),IF(F1549=0,1,F1549),IF(G1549=0,1,G1549))=1,0,PRODUCT(IF(C1549=0,1,C1549),IF(D1549=0,1,D1549),IF(E1549=0,1,E1549),IF(F1549=0,1,F1549),IF(G1549=0,1,G1549))),2)</f>
        <v>2.1</v>
      </c>
      <c r="I1549" s="5"/>
    </row>
    <row r="1550" spans="1:9" x14ac:dyDescent="0.2">
      <c r="A1550" s="3"/>
      <c r="B1550" s="6" t="s">
        <v>725</v>
      </c>
      <c r="C1550" s="161">
        <v>2</v>
      </c>
      <c r="D1550" s="161"/>
      <c r="E1550" s="161">
        <f>1+0.2+0.2</f>
        <v>1.4</v>
      </c>
      <c r="F1550" s="161">
        <f>1+0.2+0.2</f>
        <v>1.4</v>
      </c>
      <c r="G1550" s="161"/>
      <c r="H1550" s="8">
        <f>ROUND(IF(PRODUCT(IF(C1550=0,1,C1550),IF(D1550=0,1,D1550),IF(E1550=0,1,E1550),IF(F1550=0,1,F1550),IF(G1550=0,1,G1550))=1,0,PRODUCT(IF(C1550=0,1,C1550),IF(D1550=0,1,D1550),IF(E1550=0,1,E1550),IF(F1550=0,1,F1550),IF(G1550=0,1,G1550))),2)</f>
        <v>3.92</v>
      </c>
      <c r="I1550" s="5"/>
    </row>
    <row r="1551" spans="1:9" x14ac:dyDescent="0.2">
      <c r="A1551" s="3"/>
      <c r="B1551" s="6"/>
      <c r="C1551" s="161"/>
      <c r="D1551" s="161"/>
      <c r="E1551" s="161"/>
      <c r="F1551" s="161"/>
      <c r="G1551" s="7"/>
      <c r="H1551" s="8">
        <f>ROUND(IF(PRODUCT(IF(C1551=0,1,C1551),IF(E1551=0,1,E1551),IF(F1551=0,1,F1551),IF(G1551=0,1,G1551))=1,0,PRODUCT(IF(C1551=0,1,C1551),IF(E1551=0,1,E1551),IF(F1551=0,1,F1551),IF(G1551=0,1,G1551))),2)</f>
        <v>0</v>
      </c>
      <c r="I1551" s="5"/>
    </row>
    <row r="1552" spans="1:9" x14ac:dyDescent="0.2">
      <c r="A1552" s="3"/>
      <c r="C1552" s="10"/>
      <c r="D1552" s="10"/>
      <c r="E1552" s="9"/>
      <c r="F1552" s="94" t="s">
        <v>11</v>
      </c>
      <c r="G1552" s="95" t="s">
        <v>264</v>
      </c>
      <c r="H1552" s="11">
        <f>SUM(H1547:H1551)</f>
        <v>7.84</v>
      </c>
      <c r="I1552" s="12" t="s">
        <v>17</v>
      </c>
    </row>
    <row r="1553" spans="1:9" ht="13.15" customHeight="1" x14ac:dyDescent="0.2">
      <c r="A1553" s="3" t="str">
        <f>'Orçamento Sintético'!A325</f>
        <v>17.1.3</v>
      </c>
      <c r="B1553" s="270" t="str">
        <f>'Orçamento Sintético'!D325</f>
        <v>LASTRO DE CONCRETO MAGRO, APLICADO EM BLOCOS DE COROAMENTO OU SAPATAS, ESPESSURA DE 5 CM. AF_01/2024</v>
      </c>
      <c r="C1553" s="271"/>
      <c r="D1553" s="271"/>
      <c r="E1553" s="272"/>
      <c r="I1553" s="5"/>
    </row>
    <row r="1554" spans="1:9" x14ac:dyDescent="0.2">
      <c r="A1554" s="3"/>
      <c r="B1554" s="91" t="s">
        <v>260</v>
      </c>
      <c r="C1554" s="91" t="s">
        <v>8</v>
      </c>
      <c r="D1554" s="91" t="s">
        <v>266</v>
      </c>
      <c r="E1554" s="91" t="s">
        <v>261</v>
      </c>
      <c r="F1554" s="91" t="s">
        <v>262</v>
      </c>
      <c r="G1554" s="91" t="s">
        <v>263</v>
      </c>
      <c r="H1554" s="91" t="s">
        <v>11</v>
      </c>
      <c r="I1554" s="5"/>
    </row>
    <row r="1555" spans="1:9" x14ac:dyDescent="0.2">
      <c r="A1555" s="3"/>
      <c r="B1555" s="6"/>
      <c r="C1555" s="7"/>
      <c r="D1555" s="7">
        <f>H1552</f>
        <v>7.84</v>
      </c>
      <c r="E1555" s="7"/>
      <c r="F1555" s="7"/>
      <c r="G1555" s="7"/>
      <c r="H1555" s="8">
        <f>ROUND(IF(PRODUCT(IF(C1555=0,1,C1555),IF(D1555=0,1,D1555),IF(E1555=0,1,E1555),IF(F1555=0,1,F1555),IF(G1555=0,1,G1555))=1,0,PRODUCT(IF(C1555=0,1,C1555),IF(D1555=0,1,D1555),IF(E1555=0,1,E1555),IF(F1555=0,1,F1555),IF(G1555=0,1,G1555))),2)</f>
        <v>7.84</v>
      </c>
      <c r="I1555" s="5"/>
    </row>
    <row r="1556" spans="1:9" x14ac:dyDescent="0.2">
      <c r="A1556" s="3"/>
      <c r="B1556" s="6"/>
      <c r="C1556" s="7"/>
      <c r="D1556" s="7"/>
      <c r="E1556" s="7"/>
      <c r="F1556" s="7"/>
      <c r="G1556" s="7"/>
      <c r="H1556" s="8">
        <f>ROUND(IF(PRODUCT(IF(C1556=0,1,C1556),IF(E1556=0,1,E1556),IF(F1556=0,1,F1556),IF(G1556=0,1,G1556))=1,0,PRODUCT(IF(C1556=0,1,C1556),IF(E1556=0,1,E1556),IF(F1556=0,1,F1556),IF(G1556=0,1,G1556))),2)</f>
        <v>0</v>
      </c>
      <c r="I1556" s="5"/>
    </row>
    <row r="1557" spans="1:9" x14ac:dyDescent="0.2">
      <c r="A1557" s="3"/>
      <c r="C1557" s="10"/>
      <c r="D1557" s="10"/>
      <c r="E1557" s="9"/>
      <c r="F1557" s="94" t="s">
        <v>11</v>
      </c>
      <c r="G1557" s="95" t="s">
        <v>264</v>
      </c>
      <c r="H1557" s="11">
        <f>SUM(H1555:H1555)</f>
        <v>7.84</v>
      </c>
      <c r="I1557" s="12" t="s">
        <v>17</v>
      </c>
    </row>
    <row r="1558" spans="1:9" ht="22.15" customHeight="1" x14ac:dyDescent="0.2">
      <c r="A1558" s="3" t="str">
        <f>'Orçamento Sintético'!A326</f>
        <v>17.1.4</v>
      </c>
      <c r="B1558" s="270" t="str">
        <f>'Orçamento Sintético'!D326</f>
        <v>FABRICAÇÃO, MONTAGEM E DESMONTAGEM DE FÔRMA PARA SAPATA, EM MADEIRA SERRADA, E=25 MM, 4UTILIZAÇÕES. AF_01/2024</v>
      </c>
      <c r="C1558" s="271"/>
      <c r="D1558" s="271"/>
      <c r="E1558" s="272"/>
      <c r="I1558" s="5"/>
    </row>
    <row r="1559" spans="1:9" x14ac:dyDescent="0.2">
      <c r="A1559" s="3"/>
      <c r="B1559" s="91" t="s">
        <v>260</v>
      </c>
      <c r="C1559" s="91" t="s">
        <v>8</v>
      </c>
      <c r="D1559" s="91" t="s">
        <v>266</v>
      </c>
      <c r="E1559" s="91" t="s">
        <v>261</v>
      </c>
      <c r="F1559" s="91" t="s">
        <v>262</v>
      </c>
      <c r="G1559" s="91" t="s">
        <v>263</v>
      </c>
      <c r="H1559" s="91" t="s">
        <v>11</v>
      </c>
      <c r="I1559" s="5"/>
    </row>
    <row r="1560" spans="1:9" x14ac:dyDescent="0.2">
      <c r="A1560" s="3"/>
      <c r="B1560" s="23" t="s">
        <v>722</v>
      </c>
      <c r="C1560" s="198"/>
      <c r="D1560" s="161">
        <v>4.8</v>
      </c>
      <c r="E1560" s="198"/>
      <c r="F1560" s="198"/>
      <c r="G1560" s="198"/>
      <c r="H1560" s="8">
        <f>ROUND(IF(PRODUCT(IF(C1560=0,1,C1560),IF(D1560=0,1,D1560),IF(E1560=0,1,E1560),IF(F1560=0,1,F1560),IF(G1560=0,1,G1560))=1,0,PRODUCT(IF(C1560=0,1,C1560),IF(D1560=0,1,D1560),IF(E1560=0,1,E1560),IF(F1560=0,1,F1560),IF(G1560=0,1,G1560))),2)</f>
        <v>4.8</v>
      </c>
      <c r="I1560" s="5"/>
    </row>
    <row r="1561" spans="1:9" x14ac:dyDescent="0.2">
      <c r="A1561" s="3"/>
      <c r="B1561" s="6"/>
      <c r="C1561" s="198"/>
      <c r="D1561" s="198"/>
      <c r="E1561" s="198"/>
      <c r="F1561" s="198"/>
      <c r="G1561" s="198"/>
      <c r="H1561" s="8"/>
      <c r="I1561" s="5"/>
    </row>
    <row r="1562" spans="1:9" x14ac:dyDescent="0.2">
      <c r="A1562" s="3"/>
      <c r="C1562" s="10"/>
      <c r="D1562" s="10"/>
      <c r="E1562" s="9"/>
      <c r="F1562" s="94" t="s">
        <v>11</v>
      </c>
      <c r="G1562" s="95" t="s">
        <v>264</v>
      </c>
      <c r="H1562" s="11">
        <f>SUM(H1560:H1561)</f>
        <v>4.8</v>
      </c>
      <c r="I1562" s="12" t="s">
        <v>17</v>
      </c>
    </row>
    <row r="1563" spans="1:9" ht="22.9" customHeight="1" x14ac:dyDescent="0.2">
      <c r="A1563" s="3" t="str">
        <f>'Orçamento Sintético'!A327</f>
        <v>17.1.5</v>
      </c>
      <c r="B1563" s="270" t="str">
        <f>'Orçamento Sintético'!D327</f>
        <v>ARMAÇÃO DE SAPATA ISOLADA, VIGA BALDRAME E SAPATA CORRIDA UTILIZANDO AÇO CA-50 DE 10 MM - MONTAGEM. AF_01/2024</v>
      </c>
      <c r="C1563" s="271"/>
      <c r="D1563" s="271"/>
      <c r="E1563" s="272"/>
      <c r="I1563" s="5"/>
    </row>
    <row r="1564" spans="1:9" x14ac:dyDescent="0.2">
      <c r="A1564" s="3"/>
      <c r="B1564" s="91" t="s">
        <v>260</v>
      </c>
      <c r="C1564" s="91" t="s">
        <v>8</v>
      </c>
      <c r="D1564" s="91" t="s">
        <v>676</v>
      </c>
      <c r="E1564" s="91" t="s">
        <v>261</v>
      </c>
      <c r="F1564" s="91" t="s">
        <v>262</v>
      </c>
      <c r="G1564" s="91" t="s">
        <v>263</v>
      </c>
      <c r="H1564" s="91" t="s">
        <v>11</v>
      </c>
      <c r="I1564" s="5"/>
    </row>
    <row r="1565" spans="1:9" x14ac:dyDescent="0.2">
      <c r="A1565" s="3"/>
      <c r="B1565" s="23" t="s">
        <v>722</v>
      </c>
      <c r="C1565" s="198"/>
      <c r="D1565" s="161">
        <v>39</v>
      </c>
      <c r="E1565" s="198"/>
      <c r="F1565" s="198"/>
      <c r="G1565" s="198"/>
      <c r="H1565" s="8">
        <f>ROUND(IF(PRODUCT(IF(C1565=0,1,C1565),IF(D1565=0,1,D1565),IF(E1565=0,1,E1565),IF(F1565=0,1,F1565),IF(G1565=0,1,G1565))=1,0,PRODUCT(IF(C1565=0,1,C1565),IF(D1565=0,1,D1565),IF(E1565=0,1,E1565),IF(F1565=0,1,F1565),IF(G1565=0,1,G1565))),2)</f>
        <v>39</v>
      </c>
      <c r="I1565" s="5"/>
    </row>
    <row r="1566" spans="1:9" x14ac:dyDescent="0.2">
      <c r="A1566" s="3"/>
      <c r="B1566" s="6"/>
      <c r="C1566" s="198"/>
      <c r="D1566" s="198"/>
      <c r="E1566" s="198"/>
      <c r="F1566" s="198"/>
      <c r="G1566" s="198"/>
      <c r="H1566" s="8"/>
      <c r="I1566" s="5"/>
    </row>
    <row r="1567" spans="1:9" x14ac:dyDescent="0.2">
      <c r="A1567" s="3"/>
      <c r="C1567" s="10"/>
      <c r="D1567" s="10"/>
      <c r="E1567" s="9"/>
      <c r="F1567" s="94" t="s">
        <v>11</v>
      </c>
      <c r="G1567" s="95" t="s">
        <v>264</v>
      </c>
      <c r="H1567" s="11">
        <f>SUM(H1565:H1566)</f>
        <v>39</v>
      </c>
      <c r="I1567" s="12" t="s">
        <v>299</v>
      </c>
    </row>
    <row r="1568" spans="1:9" ht="22.9" customHeight="1" x14ac:dyDescent="0.2">
      <c r="A1568" s="3" t="str">
        <f>'Orçamento Sintético'!A328</f>
        <v>17.1.6</v>
      </c>
      <c r="B1568" s="270" t="str">
        <f>'Orçamento Sintético'!D328</f>
        <v>ARMAÇÃO DE BLOCO, SAPATA ISOLADA, VIGA BALDRAME E SAPATA CORRIDA UTILIZANDO AÇO CA-50 DE 12,5 MM - MONTAGEM. AF_01/2024</v>
      </c>
      <c r="C1568" s="271"/>
      <c r="D1568" s="271"/>
      <c r="E1568" s="272"/>
      <c r="I1568" s="5"/>
    </row>
    <row r="1569" spans="1:10" x14ac:dyDescent="0.2">
      <c r="A1569" s="3"/>
      <c r="B1569" s="91" t="s">
        <v>260</v>
      </c>
      <c r="C1569" s="91" t="s">
        <v>8</v>
      </c>
      <c r="D1569" s="91" t="s">
        <v>676</v>
      </c>
      <c r="E1569" s="91" t="s">
        <v>261</v>
      </c>
      <c r="F1569" s="91" t="s">
        <v>262</v>
      </c>
      <c r="G1569" s="91" t="s">
        <v>263</v>
      </c>
      <c r="H1569" s="91" t="s">
        <v>11</v>
      </c>
      <c r="I1569" s="5"/>
    </row>
    <row r="1570" spans="1:10" x14ac:dyDescent="0.2">
      <c r="A1570" s="3"/>
      <c r="B1570" s="23" t="s">
        <v>722</v>
      </c>
      <c r="C1570" s="198"/>
      <c r="D1570" s="161">
        <v>12</v>
      </c>
      <c r="E1570" s="198"/>
      <c r="F1570" s="198"/>
      <c r="G1570" s="198"/>
      <c r="H1570" s="8">
        <f>ROUND(IF(PRODUCT(IF(C1570=0,1,C1570),IF(D1570=0,1,D1570),IF(E1570=0,1,E1570),IF(F1570=0,1,F1570),IF(G1570=0,1,G1570))=1,0,PRODUCT(IF(C1570=0,1,C1570),IF(D1570=0,1,D1570),IF(E1570=0,1,E1570),IF(F1570=0,1,F1570),IF(G1570=0,1,G1570))),2)</f>
        <v>12</v>
      </c>
      <c r="I1570" s="5"/>
    </row>
    <row r="1571" spans="1:10" x14ac:dyDescent="0.2">
      <c r="A1571" s="3"/>
      <c r="B1571" s="6"/>
      <c r="C1571" s="7"/>
      <c r="D1571" s="7"/>
      <c r="E1571" s="7"/>
      <c r="F1571" s="7"/>
      <c r="G1571" s="7"/>
      <c r="H1571" s="8">
        <f>ROUND(IF(PRODUCT(IF(C1571=0,1,C1571),IF(E1571=0,1,E1571),IF(F1571=0,1,F1571),IF(G1571=0,1,G1571))=1,0,PRODUCT(IF(C1571=0,1,C1571),IF(E1571=0,1,E1571),IF(F1571=0,1,F1571),IF(G1571=0,1,G1571))),2)</f>
        <v>0</v>
      </c>
      <c r="I1571" s="5"/>
    </row>
    <row r="1572" spans="1:10" x14ac:dyDescent="0.2">
      <c r="A1572" s="3"/>
      <c r="C1572" s="10"/>
      <c r="D1572" s="10"/>
      <c r="E1572" s="9"/>
      <c r="F1572" s="94" t="s">
        <v>11</v>
      </c>
      <c r="G1572" s="95" t="s">
        <v>264</v>
      </c>
      <c r="H1572" s="11">
        <f>SUM(H1570:H1570)</f>
        <v>12</v>
      </c>
      <c r="I1572" s="12" t="s">
        <v>299</v>
      </c>
    </row>
    <row r="1573" spans="1:10" ht="21.6" customHeight="1" x14ac:dyDescent="0.2">
      <c r="A1573" s="3" t="str">
        <f>'Orçamento Sintético'!A329</f>
        <v>17.1.7</v>
      </c>
      <c r="B1573" s="270" t="str">
        <f>'Orçamento Sintético'!D329</f>
        <v>ARMAÇÃO DE SAPATA ISOLADA, VIGA BALDRAME E SAPATA CORRIDA UTILIZANDO AÇO CA-60 DE 5 MM - MONTAGEM. AF_01/2024</v>
      </c>
      <c r="C1573" s="271"/>
      <c r="D1573" s="271"/>
      <c r="E1573" s="272"/>
      <c r="I1573" s="5"/>
    </row>
    <row r="1574" spans="1:10" x14ac:dyDescent="0.2">
      <c r="A1574" s="3"/>
      <c r="B1574" s="91" t="s">
        <v>260</v>
      </c>
      <c r="C1574" s="91" t="s">
        <v>8</v>
      </c>
      <c r="D1574" s="91" t="s">
        <v>676</v>
      </c>
      <c r="E1574" s="91" t="s">
        <v>261</v>
      </c>
      <c r="F1574" s="91" t="s">
        <v>262</v>
      </c>
      <c r="G1574" s="91" t="s">
        <v>263</v>
      </c>
      <c r="H1574" s="91" t="s">
        <v>11</v>
      </c>
      <c r="I1574" s="5"/>
    </row>
    <row r="1575" spans="1:10" x14ac:dyDescent="0.2">
      <c r="A1575" s="3"/>
      <c r="B1575" s="23" t="s">
        <v>722</v>
      </c>
      <c r="C1575" s="198"/>
      <c r="D1575" s="161">
        <v>3</v>
      </c>
      <c r="E1575" s="198"/>
      <c r="F1575" s="198"/>
      <c r="G1575" s="198"/>
      <c r="H1575" s="8">
        <f>ROUND(IF(PRODUCT(IF(C1575=0,1,C1575),IF(D1575=0,1,D1575),IF(E1575=0,1,E1575),IF(F1575=0,1,F1575),IF(G1575=0,1,G1575))=1,0,PRODUCT(IF(C1575=0,1,C1575),IF(D1575=0,1,D1575),IF(E1575=0,1,E1575),IF(F1575=0,1,F1575),IF(G1575=0,1,G1575))),2)</f>
        <v>3</v>
      </c>
      <c r="I1575" s="5"/>
    </row>
    <row r="1576" spans="1:10" x14ac:dyDescent="0.2">
      <c r="A1576" s="3"/>
      <c r="B1576" s="6"/>
      <c r="C1576" s="198"/>
      <c r="D1576" s="198"/>
      <c r="E1576" s="198"/>
      <c r="F1576" s="198"/>
      <c r="G1576" s="198"/>
      <c r="H1576" s="8"/>
      <c r="I1576" s="5"/>
    </row>
    <row r="1577" spans="1:10" x14ac:dyDescent="0.2">
      <c r="A1577" s="3"/>
      <c r="C1577" s="10"/>
      <c r="D1577" s="10"/>
      <c r="E1577" s="9"/>
      <c r="F1577" s="94" t="s">
        <v>11</v>
      </c>
      <c r="G1577" s="95" t="s">
        <v>264</v>
      </c>
      <c r="H1577" s="11">
        <f>SUM(H1575:H1576)</f>
        <v>3</v>
      </c>
      <c r="I1577" s="12" t="s">
        <v>299</v>
      </c>
    </row>
    <row r="1578" spans="1:10" ht="24.75" customHeight="1" x14ac:dyDescent="0.2">
      <c r="A1578" s="3" t="str">
        <f>'Orçamento Sintético'!A330</f>
        <v>17.1.8</v>
      </c>
      <c r="B1578" s="270" t="str">
        <f>'Orçamento Sintético'!D330</f>
        <v>CONCRETAGEM DE SAPATA, FCK 30 MPA, COM USO DE BOMBA - LANÇAMENTO, ADENSAMENTO E ACABAMENTO. AF_01/2024</v>
      </c>
      <c r="C1578" s="271"/>
      <c r="D1578" s="271"/>
      <c r="E1578" s="272"/>
      <c r="I1578" s="5"/>
    </row>
    <row r="1579" spans="1:10" x14ac:dyDescent="0.2">
      <c r="A1579" s="3"/>
      <c r="B1579" s="91" t="s">
        <v>260</v>
      </c>
      <c r="C1579" s="91" t="s">
        <v>8</v>
      </c>
      <c r="D1579" s="91" t="s">
        <v>266</v>
      </c>
      <c r="E1579" s="91" t="s">
        <v>261</v>
      </c>
      <c r="F1579" s="91" t="s">
        <v>262</v>
      </c>
      <c r="G1579" s="91" t="s">
        <v>263</v>
      </c>
      <c r="H1579" s="91" t="s">
        <v>11</v>
      </c>
      <c r="I1579" s="5"/>
    </row>
    <row r="1580" spans="1:10" x14ac:dyDescent="0.2">
      <c r="A1580" s="3"/>
      <c r="B1580" s="23" t="s">
        <v>722</v>
      </c>
      <c r="C1580" s="161"/>
      <c r="D1580" s="161"/>
      <c r="E1580" s="161"/>
      <c r="F1580" s="161"/>
      <c r="G1580" s="7"/>
      <c r="H1580" s="8"/>
      <c r="I1580" s="5"/>
    </row>
    <row r="1581" spans="1:10" x14ac:dyDescent="0.2">
      <c r="A1581" s="3"/>
      <c r="B1581" s="6" t="s">
        <v>723</v>
      </c>
      <c r="C1581" s="161">
        <v>1</v>
      </c>
      <c r="D1581" s="161"/>
      <c r="E1581" s="161">
        <v>0.95</v>
      </c>
      <c r="F1581" s="161">
        <v>0.95</v>
      </c>
      <c r="G1581" s="7">
        <f>0.3</f>
        <v>0.3</v>
      </c>
      <c r="H1581" s="8">
        <f>ROUND(IF(PRODUCT(IF(C1581=0,1,C1581),IF(D1581=0,1,D1581),IF(E1581=0,1,E1581),IF(F1581=0,1,F1581),IF(G1581=0,1,G1581))=1,0,PRODUCT(IF(C1581=0,1,C1581),IF(D1581=0,1,D1581),IF(E1581=0,1,E1581),IF(F1581=0,1,F1581),IF(G1581=0,1,G1581))),2)</f>
        <v>0.27</v>
      </c>
      <c r="I1581" s="5"/>
    </row>
    <row r="1582" spans="1:10" x14ac:dyDescent="0.2">
      <c r="A1582" s="3"/>
      <c r="B1582" s="6" t="s">
        <v>724</v>
      </c>
      <c r="C1582" s="161">
        <v>1</v>
      </c>
      <c r="D1582" s="161"/>
      <c r="E1582" s="161">
        <v>1.05</v>
      </c>
      <c r="F1582" s="161">
        <v>1.05</v>
      </c>
      <c r="G1582" s="7">
        <f t="shared" ref="G1582:G1583" si="24">0.3</f>
        <v>0.3</v>
      </c>
      <c r="H1582" s="8">
        <f>ROUND(IF(PRODUCT(IF(C1582=0,1,C1582),IF(D1582=0,1,D1582),IF(E1582=0,1,E1582),IF(F1582=0,1,F1582),IF(G1582=0,1,G1582))=1,0,PRODUCT(IF(C1582=0,1,C1582),IF(D1582=0,1,D1582),IF(E1582=0,1,E1582),IF(F1582=0,1,F1582),IF(G1582=0,1,G1582))),2)</f>
        <v>0.33</v>
      </c>
      <c r="I1582" s="5"/>
    </row>
    <row r="1583" spans="1:10" x14ac:dyDescent="0.2">
      <c r="A1583" s="3"/>
      <c r="B1583" s="6" t="s">
        <v>725</v>
      </c>
      <c r="C1583" s="161">
        <v>2</v>
      </c>
      <c r="D1583" s="161"/>
      <c r="E1583" s="161">
        <v>1</v>
      </c>
      <c r="F1583" s="161">
        <v>1</v>
      </c>
      <c r="G1583" s="7">
        <f t="shared" si="24"/>
        <v>0.3</v>
      </c>
      <c r="H1583" s="8">
        <f>ROUND(IF(PRODUCT(IF(C1583=0,1,C1583),IF(D1583=0,1,D1583),IF(E1583=0,1,E1583),IF(F1583=0,1,F1583),IF(G1583=0,1,G1583))=1,0,PRODUCT(IF(C1583=0,1,C1583),IF(D1583=0,1,D1583),IF(E1583=0,1,E1583),IF(F1583=0,1,F1583),IF(G1583=0,1,G1583))),2)</f>
        <v>0.6</v>
      </c>
      <c r="I1583" s="5"/>
      <c r="J1583" s="19"/>
    </row>
    <row r="1584" spans="1:10" x14ac:dyDescent="0.2">
      <c r="A1584" s="3"/>
      <c r="B1584" s="6"/>
      <c r="C1584" s="7"/>
      <c r="D1584" s="7"/>
      <c r="E1584" s="7"/>
      <c r="F1584" s="7"/>
      <c r="G1584" s="7"/>
      <c r="H1584" s="8">
        <f>ROUND(IF(PRODUCT(IF(C1584=0,1,C1584),IF(E1584=0,1,E1584),IF(F1584=0,1,F1584),IF(G1584=0,1,G1584))=1,0,PRODUCT(IF(C1584=0,1,C1584),IF(E1584=0,1,E1584),IF(F1584=0,1,F1584),IF(G1584=0,1,G1584))),2)</f>
        <v>0</v>
      </c>
      <c r="I1584" s="5"/>
    </row>
    <row r="1585" spans="1:10" x14ac:dyDescent="0.2">
      <c r="A1585" s="3"/>
      <c r="C1585" s="10"/>
      <c r="D1585" s="10"/>
      <c r="E1585" s="9"/>
      <c r="F1585" s="94" t="s">
        <v>11</v>
      </c>
      <c r="G1585" s="95" t="s">
        <v>264</v>
      </c>
      <c r="H1585" s="11">
        <f>SUM(H1580:H1584)</f>
        <v>1.2000000000000002</v>
      </c>
      <c r="I1585" s="12" t="s">
        <v>24</v>
      </c>
    </row>
    <row r="1586" spans="1:10" ht="15.75" customHeight="1" x14ac:dyDescent="0.2">
      <c r="A1586" s="3" t="str">
        <f>'Orçamento Sintético'!A331</f>
        <v>17.1.9</v>
      </c>
      <c r="B1586" s="270" t="str">
        <f>'Orçamento Sintético'!D331</f>
        <v>REATERRO MANUAL DE VALAS, COM COMPACTADOR DE SOLOS DE PERCUSSÃO. AF_08/2023</v>
      </c>
      <c r="C1586" s="271"/>
      <c r="D1586" s="271"/>
      <c r="E1586" s="272"/>
      <c r="I1586" s="5"/>
    </row>
    <row r="1587" spans="1:10" x14ac:dyDescent="0.2">
      <c r="A1587" s="3"/>
      <c r="B1587" s="91" t="s">
        <v>260</v>
      </c>
      <c r="C1587" s="91" t="s">
        <v>8</v>
      </c>
      <c r="D1587" s="91" t="s">
        <v>266</v>
      </c>
      <c r="E1587" s="91" t="s">
        <v>261</v>
      </c>
      <c r="F1587" s="91" t="s">
        <v>262</v>
      </c>
      <c r="G1587" s="91" t="s">
        <v>263</v>
      </c>
      <c r="H1587" s="91" t="s">
        <v>11</v>
      </c>
      <c r="I1587" s="5"/>
    </row>
    <row r="1588" spans="1:10" x14ac:dyDescent="0.2">
      <c r="A1588" s="3"/>
      <c r="B1588" s="6" t="s">
        <v>279</v>
      </c>
      <c r="C1588" s="15">
        <f>H1544</f>
        <v>12.16</v>
      </c>
      <c r="D1588" s="15"/>
      <c r="E1588" s="15"/>
      <c r="F1588" s="15"/>
      <c r="G1588" s="7"/>
      <c r="H1588" s="8">
        <f>ROUND(IF(PRODUCT(IF(C1588=0,1,C1588),IF(D1588=0,1,D1588),IF(E1588=0,1,E1588),IF(F1588=0,1,F1588),IF(G1588=0,1,G1588))=1,0,PRODUCT(IF(C1588=0,1,C1588),IF(D1588=0,1,D1588),IF(E1588=0,1,E1588),IF(F1588=0,1,F1588),IF(G1588=0,1,G1588))),2)</f>
        <v>12.16</v>
      </c>
      <c r="I1588" s="5"/>
    </row>
    <row r="1589" spans="1:10" x14ac:dyDescent="0.2">
      <c r="A1589" s="3"/>
      <c r="B1589" s="16" t="s">
        <v>280</v>
      </c>
      <c r="C1589" s="17">
        <f>H1557*0.05</f>
        <v>0.39200000000000002</v>
      </c>
      <c r="D1589" s="15"/>
      <c r="E1589" s="15"/>
      <c r="F1589" s="15"/>
      <c r="G1589" s="7"/>
      <c r="H1589" s="17">
        <f t="shared" ref="H1589:H1592" si="25">-ROUND(IF(PRODUCT(IF(C1589=0,1,C1589),IF(D1589=0,1,D1589),IF(E1589=0,1,E1589),IF(F1589=0,1,F1589),IF(G1589=0,1,G1589))=1,0,PRODUCT(IF(C1589=0,1,C1589),IF(D1589=0,1,D1589),IF(E1589=0,1,E1589),IF(F1589=0,1,F1589),IF(G1589=0,1,G1589))),2)</f>
        <v>-0.39</v>
      </c>
      <c r="I1589" s="5"/>
      <c r="J1589" s="19"/>
    </row>
    <row r="1590" spans="1:10" x14ac:dyDescent="0.2">
      <c r="A1590" s="3"/>
      <c r="B1590" s="16" t="s">
        <v>281</v>
      </c>
      <c r="C1590" s="17">
        <f>H1585</f>
        <v>1.2000000000000002</v>
      </c>
      <c r="D1590" s="15"/>
      <c r="E1590" s="15"/>
      <c r="F1590" s="15"/>
      <c r="G1590" s="7"/>
      <c r="H1590" s="17">
        <f t="shared" si="25"/>
        <v>-1.2</v>
      </c>
      <c r="I1590" s="5"/>
    </row>
    <row r="1591" spans="1:10" ht="28.15" customHeight="1" x14ac:dyDescent="0.2">
      <c r="A1591" s="3"/>
      <c r="B1591" s="18" t="s">
        <v>727</v>
      </c>
      <c r="C1591" s="17">
        <v>4</v>
      </c>
      <c r="D1591" s="17"/>
      <c r="E1591" s="17">
        <v>0.3</v>
      </c>
      <c r="F1591" s="17">
        <v>0.15</v>
      </c>
      <c r="G1591" s="17">
        <v>1.2</v>
      </c>
      <c r="H1591" s="17">
        <f t="shared" si="25"/>
        <v>-0.22</v>
      </c>
      <c r="I1591" s="5"/>
    </row>
    <row r="1592" spans="1:10" ht="28.15" customHeight="1" x14ac:dyDescent="0.2">
      <c r="A1592" s="3"/>
      <c r="B1592" s="18" t="s">
        <v>728</v>
      </c>
      <c r="C1592" s="17">
        <v>2</v>
      </c>
      <c r="D1592" s="17"/>
      <c r="E1592" s="17">
        <v>0.35</v>
      </c>
      <c r="F1592" s="17">
        <v>0.35</v>
      </c>
      <c r="G1592" s="17">
        <v>1.2</v>
      </c>
      <c r="H1592" s="17">
        <f t="shared" si="25"/>
        <v>-0.28999999999999998</v>
      </c>
      <c r="I1592" s="5"/>
    </row>
    <row r="1593" spans="1:10" x14ac:dyDescent="0.2">
      <c r="A1593" s="3"/>
      <c r="B1593" s="6"/>
      <c r="C1593" s="7"/>
      <c r="D1593" s="7"/>
      <c r="E1593" s="7"/>
      <c r="F1593" s="7"/>
      <c r="G1593" s="7"/>
      <c r="H1593" s="8">
        <f>ROUND(IF(PRODUCT(IF(C1593=0,1,C1593),IF(E1593=0,1,E1593),IF(F1593=0,1,F1593),IF(G1593=0,1,G1593))=1,0,PRODUCT(IF(C1593=0,1,C1593),IF(E1593=0,1,E1593),IF(F1593=0,1,F1593),IF(G1593=0,1,G1593))),2)</f>
        <v>0</v>
      </c>
      <c r="I1593" s="5"/>
    </row>
    <row r="1594" spans="1:10" x14ac:dyDescent="0.2">
      <c r="A1594" s="3"/>
      <c r="C1594" s="10"/>
      <c r="D1594" s="10"/>
      <c r="E1594" s="9"/>
      <c r="F1594" s="94" t="s">
        <v>11</v>
      </c>
      <c r="G1594" s="95" t="s">
        <v>264</v>
      </c>
      <c r="H1594" s="11">
        <f>SUM(H1588:H1592)</f>
        <v>10.06</v>
      </c>
      <c r="I1594" s="12" t="s">
        <v>24</v>
      </c>
    </row>
    <row r="1595" spans="1:10" x14ac:dyDescent="0.2">
      <c r="A1595" s="96" t="str">
        <f>'Orçamento Sintético'!A332</f>
        <v>17.2</v>
      </c>
      <c r="B1595" s="97" t="str">
        <f>'Orçamento Sintético'!D332</f>
        <v>VIGAS BALDRAMES</v>
      </c>
      <c r="C1595" s="273"/>
      <c r="D1595" s="274"/>
      <c r="E1595" s="274"/>
      <c r="F1595" s="274"/>
      <c r="G1595" s="274"/>
      <c r="H1595" s="274"/>
      <c r="I1595" s="275"/>
    </row>
    <row r="1596" spans="1:10" ht="25.5" customHeight="1" x14ac:dyDescent="0.2">
      <c r="A1596" s="3" t="str">
        <f>'Orçamento Sintético'!A333</f>
        <v>17.2.1</v>
      </c>
      <c r="B1596" s="270" t="str">
        <f>'Orçamento Sintético'!D333</f>
        <v>ESCAVAÇÃO MECANIZADA PARA VIGA BALDRAME OU SAPATA CORRIDA COM MINI-ESCAVADEIRA (INCLUINDO ESCAVAÇÃO PARA COLOCAÇÃO DE FÔRMAS). AF_01/2024</v>
      </c>
      <c r="C1596" s="271"/>
      <c r="D1596" s="271"/>
      <c r="E1596" s="272"/>
      <c r="I1596" s="5"/>
    </row>
    <row r="1597" spans="1:10" x14ac:dyDescent="0.2">
      <c r="A1597" s="3"/>
      <c r="B1597" s="91" t="s">
        <v>260</v>
      </c>
      <c r="C1597" s="91" t="s">
        <v>8</v>
      </c>
      <c r="D1597" s="91" t="s">
        <v>266</v>
      </c>
      <c r="E1597" s="91" t="s">
        <v>261</v>
      </c>
      <c r="F1597" s="91" t="s">
        <v>262</v>
      </c>
      <c r="G1597" s="91" t="s">
        <v>263</v>
      </c>
      <c r="H1597" s="91" t="s">
        <v>11</v>
      </c>
      <c r="I1597" s="5"/>
    </row>
    <row r="1598" spans="1:10" x14ac:dyDescent="0.2">
      <c r="A1598" s="3"/>
      <c r="B1598" s="23" t="s">
        <v>722</v>
      </c>
      <c r="C1598" s="161"/>
      <c r="D1598" s="161"/>
      <c r="E1598" s="161"/>
      <c r="F1598" s="161"/>
      <c r="G1598" s="161"/>
      <c r="H1598" s="8"/>
      <c r="I1598" s="5"/>
    </row>
    <row r="1599" spans="1:10" x14ac:dyDescent="0.2">
      <c r="A1599" s="3"/>
      <c r="B1599" s="6" t="s">
        <v>324</v>
      </c>
      <c r="C1599" s="161"/>
      <c r="D1599" s="161"/>
      <c r="E1599" s="161">
        <f>4.5+4.15+4.7+5.1+1.38+1.03</f>
        <v>20.860000000000003</v>
      </c>
      <c r="F1599" s="161">
        <f>0.15+0.2+0.2</f>
        <v>0.55000000000000004</v>
      </c>
      <c r="G1599" s="161">
        <f>0.3+0.05</f>
        <v>0.35</v>
      </c>
      <c r="H1599" s="8">
        <f>ROUND(IF(PRODUCT(IF(C1599=0,1,C1599),IF(D1599=0,1,D1599),IF(E1599=0,1,E1599),IF(F1599=0,1,F1599),IF(G1599=0,1,G1599))=1,0,PRODUCT(IF(C1599=0,1,C1599),IF(D1599=0,1,D1599),IF(E1599=0,1,E1599),IF(F1599=0,1,F1599),IF(G1599=0,1,G1599))),2)</f>
        <v>4.0199999999999996</v>
      </c>
      <c r="I1599" s="5"/>
    </row>
    <row r="1600" spans="1:10" x14ac:dyDescent="0.2">
      <c r="A1600" s="3"/>
      <c r="B1600" s="6" t="s">
        <v>729</v>
      </c>
      <c r="C1600" s="161"/>
      <c r="D1600" s="161"/>
      <c r="E1600" s="161">
        <v>6.19</v>
      </c>
      <c r="F1600" s="161">
        <f>0.3+0.2+0.2</f>
        <v>0.7</v>
      </c>
      <c r="G1600" s="161">
        <f>0.3+0.05</f>
        <v>0.35</v>
      </c>
      <c r="H1600" s="8">
        <f>ROUND(IF(PRODUCT(IF(C1600=0,1,C1600),IF(D1600=0,1,D1600),IF(E1600=0,1,E1600),IF(F1600=0,1,F1600),IF(G1600=0,1,G1600))=1,0,PRODUCT(IF(C1600=0,1,C1600),IF(D1600=0,1,D1600),IF(E1600=0,1,E1600),IF(F1600=0,1,F1600),IF(G1600=0,1,G1600))),2)</f>
        <v>1.52</v>
      </c>
      <c r="I1600" s="5"/>
    </row>
    <row r="1601" spans="1:9" x14ac:dyDescent="0.2">
      <c r="A1601" s="3"/>
      <c r="B1601" s="6"/>
      <c r="C1601" s="7"/>
      <c r="D1601" s="7"/>
      <c r="E1601" s="7"/>
      <c r="F1601" s="7"/>
      <c r="G1601" s="7"/>
      <c r="H1601" s="8">
        <f>ROUND(IF(PRODUCT(IF(C1601=0,1,C1601),IF(E1601=0,1,E1601),IF(F1601=0,1,F1601),IF(G1601=0,1,G1601))=1,0,PRODUCT(IF(C1601=0,1,C1601),IF(E1601=0,1,E1601),IF(F1601=0,1,F1601),IF(G1601=0,1,G1601))),2)</f>
        <v>0</v>
      </c>
      <c r="I1601" s="5"/>
    </row>
    <row r="1602" spans="1:9" x14ac:dyDescent="0.2">
      <c r="A1602" s="3"/>
      <c r="C1602" s="10"/>
      <c r="D1602" s="10"/>
      <c r="E1602" s="9"/>
      <c r="F1602" s="94" t="s">
        <v>11</v>
      </c>
      <c r="G1602" s="95" t="s">
        <v>264</v>
      </c>
      <c r="H1602" s="11">
        <f>SUM(H1598:H1601)</f>
        <v>5.5399999999999991</v>
      </c>
      <c r="I1602" s="12" t="s">
        <v>24</v>
      </c>
    </row>
    <row r="1603" spans="1:9" ht="13.5" customHeight="1" x14ac:dyDescent="0.2">
      <c r="A1603" s="3" t="str">
        <f>'Orçamento Sintético'!A334</f>
        <v>17.2.2</v>
      </c>
      <c r="B1603" s="270" t="str">
        <f>'Orçamento Sintético'!D334</f>
        <v>PREPARO DE FUNDO DE VALA COM LARGURA MENOR QUE 1,5 M (ACERTO DO SOLO NATURAL). AF_08/2020</v>
      </c>
      <c r="C1603" s="271"/>
      <c r="D1603" s="271"/>
      <c r="E1603" s="272"/>
      <c r="I1603" s="5"/>
    </row>
    <row r="1604" spans="1:9" x14ac:dyDescent="0.2">
      <c r="A1604" s="3"/>
      <c r="B1604" s="91" t="s">
        <v>260</v>
      </c>
      <c r="C1604" s="91" t="s">
        <v>8</v>
      </c>
      <c r="D1604" s="91" t="s">
        <v>266</v>
      </c>
      <c r="E1604" s="91" t="s">
        <v>261</v>
      </c>
      <c r="F1604" s="91" t="s">
        <v>262</v>
      </c>
      <c r="G1604" s="91" t="s">
        <v>263</v>
      </c>
      <c r="H1604" s="91" t="s">
        <v>11</v>
      </c>
      <c r="I1604" s="5"/>
    </row>
    <row r="1605" spans="1:9" x14ac:dyDescent="0.2">
      <c r="A1605" s="3"/>
      <c r="B1605" s="23" t="s">
        <v>722</v>
      </c>
      <c r="C1605" s="161"/>
      <c r="D1605" s="161"/>
      <c r="E1605" s="161"/>
      <c r="F1605" s="161"/>
      <c r="G1605" s="161"/>
      <c r="H1605" s="8"/>
      <c r="I1605" s="5"/>
    </row>
    <row r="1606" spans="1:9" x14ac:dyDescent="0.2">
      <c r="A1606" s="3"/>
      <c r="B1606" s="6" t="s">
        <v>324</v>
      </c>
      <c r="C1606" s="161"/>
      <c r="D1606" s="161"/>
      <c r="E1606" s="161">
        <f>4.5+4.15+4.7+5.1+1.38+1.03</f>
        <v>20.860000000000003</v>
      </c>
      <c r="F1606" s="161">
        <f>0.15+0.2+0.2</f>
        <v>0.55000000000000004</v>
      </c>
      <c r="G1606" s="161"/>
      <c r="H1606" s="8">
        <f>ROUND(IF(PRODUCT(IF(C1606=0,1,C1606),IF(D1606=0,1,D1606),IF(E1606=0,1,E1606),IF(F1606=0,1,F1606),IF(G1606=0,1,G1606))=1,0,PRODUCT(IF(C1606=0,1,C1606),IF(D1606=0,1,D1606),IF(E1606=0,1,E1606),IF(F1606=0,1,F1606),IF(G1606=0,1,G1606))),2)</f>
        <v>11.47</v>
      </c>
      <c r="I1606" s="5"/>
    </row>
    <row r="1607" spans="1:9" x14ac:dyDescent="0.2">
      <c r="A1607" s="3"/>
      <c r="B1607" s="6" t="s">
        <v>729</v>
      </c>
      <c r="C1607" s="161"/>
      <c r="D1607" s="161"/>
      <c r="E1607" s="161">
        <v>6.19</v>
      </c>
      <c r="F1607" s="161">
        <f>0.3+0.2+0.2</f>
        <v>0.7</v>
      </c>
      <c r="G1607" s="161"/>
      <c r="H1607" s="8">
        <f>ROUND(IF(PRODUCT(IF(C1607=0,1,C1607),IF(D1607=0,1,D1607),IF(E1607=0,1,E1607),IF(F1607=0,1,F1607),IF(G1607=0,1,G1607))=1,0,PRODUCT(IF(C1607=0,1,C1607),IF(D1607=0,1,D1607),IF(E1607=0,1,E1607),IF(F1607=0,1,F1607),IF(G1607=0,1,G1607))),2)</f>
        <v>4.33</v>
      </c>
      <c r="I1607" s="5"/>
    </row>
    <row r="1608" spans="1:9" x14ac:dyDescent="0.2">
      <c r="A1608" s="3"/>
      <c r="B1608" s="6"/>
      <c r="C1608" s="7"/>
      <c r="D1608" s="7"/>
      <c r="E1608" s="7"/>
      <c r="F1608" s="7"/>
      <c r="G1608" s="7"/>
      <c r="H1608" s="8">
        <f>ROUND(IF(PRODUCT(IF(C1608=0,1,C1608),IF(E1608=0,1,E1608),IF(F1608=0,1,F1608),IF(G1608=0,1,G1608))=1,0,PRODUCT(IF(C1608=0,1,C1608),IF(E1608=0,1,E1608),IF(F1608=0,1,F1608),IF(G1608=0,1,G1608))),2)</f>
        <v>0</v>
      </c>
      <c r="I1608" s="5"/>
    </row>
    <row r="1609" spans="1:9" x14ac:dyDescent="0.2">
      <c r="A1609" s="3"/>
      <c r="C1609" s="10"/>
      <c r="D1609" s="10"/>
      <c r="E1609" s="9"/>
      <c r="F1609" s="94" t="s">
        <v>11</v>
      </c>
      <c r="G1609" s="95" t="s">
        <v>264</v>
      </c>
      <c r="H1609" s="11">
        <f>SUM(H1605:H1607)</f>
        <v>15.8</v>
      </c>
      <c r="I1609" s="12" t="s">
        <v>17</v>
      </c>
    </row>
    <row r="1610" spans="1:9" ht="15.75" customHeight="1" x14ac:dyDescent="0.2">
      <c r="A1610" s="3" t="str">
        <f>'Orçamento Sintético'!A335</f>
        <v>17.2.3</v>
      </c>
      <c r="B1610" s="270" t="str">
        <f>'Orçamento Sintético'!D335</f>
        <v>LASTRO DE CONCRETO MAGRO, APLICADO EM PISOS, LAJES SOBRE SOLO OU RADIERS, ESPESSURA DE 5 CM. AF_01/2024</v>
      </c>
      <c r="C1610" s="271"/>
      <c r="D1610" s="271"/>
      <c r="E1610" s="272"/>
      <c r="I1610" s="5"/>
    </row>
    <row r="1611" spans="1:9" x14ac:dyDescent="0.2">
      <c r="A1611" s="3"/>
      <c r="B1611" s="91" t="s">
        <v>260</v>
      </c>
      <c r="C1611" s="91" t="s">
        <v>8</v>
      </c>
      <c r="D1611" s="91" t="s">
        <v>266</v>
      </c>
      <c r="E1611" s="91" t="s">
        <v>261</v>
      </c>
      <c r="F1611" s="91" t="s">
        <v>262</v>
      </c>
      <c r="G1611" s="91" t="s">
        <v>263</v>
      </c>
      <c r="H1611" s="91" t="s">
        <v>11</v>
      </c>
      <c r="I1611" s="5"/>
    </row>
    <row r="1612" spans="1:9" x14ac:dyDescent="0.2">
      <c r="A1612" s="3"/>
      <c r="B1612" s="6"/>
      <c r="C1612" s="7"/>
      <c r="D1612" s="7">
        <f>H1609</f>
        <v>15.8</v>
      </c>
      <c r="E1612" s="7"/>
      <c r="F1612" s="7"/>
      <c r="G1612" s="7"/>
      <c r="H1612" s="8">
        <f>ROUND(IF(PRODUCT(IF(C1612=0,1,C1612),IF(D1612=0,1,D1612),IF(E1612=0,1,E1612),IF(F1612=0,1,F1612),IF(G1612=0,1,G1612))=1,0,PRODUCT(IF(C1612=0,1,C1612),IF(D1612=0,1,D1612),IF(E1612=0,1,E1612),IF(F1612=0,1,F1612),IF(G1612=0,1,G1612))),2)</f>
        <v>15.8</v>
      </c>
      <c r="I1612" s="5"/>
    </row>
    <row r="1613" spans="1:9" x14ac:dyDescent="0.2">
      <c r="A1613" s="3"/>
      <c r="B1613" s="6"/>
      <c r="C1613" s="7"/>
      <c r="D1613" s="7"/>
      <c r="E1613" s="7"/>
      <c r="F1613" s="7"/>
      <c r="G1613" s="7"/>
      <c r="H1613" s="8">
        <f>ROUND(IF(PRODUCT(IF(C1613=0,1,C1613),IF(E1613=0,1,E1613),IF(F1613=0,1,F1613),IF(G1613=0,1,G1613))=1,0,PRODUCT(IF(C1613=0,1,C1613),IF(E1613=0,1,E1613),IF(F1613=0,1,F1613),IF(G1613=0,1,G1613))),2)</f>
        <v>0</v>
      </c>
      <c r="I1613" s="5"/>
    </row>
    <row r="1614" spans="1:9" x14ac:dyDescent="0.2">
      <c r="A1614" s="3"/>
      <c r="C1614" s="10"/>
      <c r="D1614" s="10"/>
      <c r="E1614" s="9"/>
      <c r="F1614" s="94" t="s">
        <v>11</v>
      </c>
      <c r="G1614" s="95" t="s">
        <v>264</v>
      </c>
      <c r="H1614" s="11">
        <f>SUM(H1612:H1613)</f>
        <v>15.8</v>
      </c>
      <c r="I1614" s="12" t="s">
        <v>17</v>
      </c>
    </row>
    <row r="1615" spans="1:9" ht="22.15" customHeight="1" x14ac:dyDescent="0.2">
      <c r="A1615" s="3" t="str">
        <f>'Orçamento Sintético'!A336</f>
        <v>17.2.4</v>
      </c>
      <c r="B1615" s="270" t="str">
        <f>'Orçamento Sintético'!D336</f>
        <v>FABRICAÇÃO, MONTAGEM E DESMONTAGEM DE FÔRMA PARA VIGA BALDRAME, EM MADEIRA SERRADA, E=25 MM, 4 UTILIZAÇÕES. AF_06/2017</v>
      </c>
      <c r="C1615" s="271"/>
      <c r="D1615" s="271"/>
      <c r="E1615" s="272"/>
      <c r="I1615" s="5"/>
    </row>
    <row r="1616" spans="1:9" x14ac:dyDescent="0.2">
      <c r="A1616" s="3"/>
      <c r="B1616" s="91" t="s">
        <v>260</v>
      </c>
      <c r="C1616" s="91" t="s">
        <v>8</v>
      </c>
      <c r="D1616" s="91" t="s">
        <v>266</v>
      </c>
      <c r="E1616" s="91" t="s">
        <v>261</v>
      </c>
      <c r="F1616" s="91" t="s">
        <v>262</v>
      </c>
      <c r="G1616" s="91" t="s">
        <v>263</v>
      </c>
      <c r="H1616" s="91" t="s">
        <v>11</v>
      </c>
      <c r="I1616" s="5"/>
    </row>
    <row r="1617" spans="1:9" x14ac:dyDescent="0.2">
      <c r="A1617" s="3"/>
      <c r="B1617" s="23" t="s">
        <v>722</v>
      </c>
      <c r="C1617" s="161"/>
      <c r="D1617" s="161">
        <v>16.079999999999998</v>
      </c>
      <c r="E1617" s="161"/>
      <c r="F1617" s="161"/>
      <c r="G1617" s="7"/>
      <c r="H1617" s="8">
        <f>ROUND(IF(PRODUCT(IF(C1617=0,1,C1617),IF(D1617=0,1,D1617),IF(E1617=0,1,E1617),IF(F1617=0,1,F1617),IF(G1617=0,1,G1617))=1,0,PRODUCT(IF(C1617=0,1,C1617),IF(D1617=0,1,D1617),IF(E1617=0,1,E1617),IF(F1617=0,1,F1617),IF(G1617=0,1,G1617))),2)</f>
        <v>16.079999999999998</v>
      </c>
      <c r="I1617" s="5"/>
    </row>
    <row r="1618" spans="1:9" x14ac:dyDescent="0.2">
      <c r="A1618" s="3"/>
      <c r="B1618" s="6"/>
      <c r="C1618" s="161"/>
      <c r="D1618" s="161"/>
      <c r="E1618" s="161"/>
      <c r="F1618" s="161"/>
      <c r="G1618" s="7"/>
      <c r="H1618" s="8"/>
      <c r="I1618" s="5"/>
    </row>
    <row r="1619" spans="1:9" x14ac:dyDescent="0.2">
      <c r="A1619" s="3"/>
      <c r="C1619" s="10"/>
      <c r="D1619" s="10"/>
      <c r="E1619" s="9"/>
      <c r="F1619" s="94" t="s">
        <v>11</v>
      </c>
      <c r="G1619" s="95" t="s">
        <v>264</v>
      </c>
      <c r="H1619" s="11">
        <f>SUM(H1617:H1618)</f>
        <v>16.079999999999998</v>
      </c>
      <c r="I1619" s="12" t="s">
        <v>17</v>
      </c>
    </row>
    <row r="1620" spans="1:9" ht="22.9" customHeight="1" x14ac:dyDescent="0.2">
      <c r="A1620" s="3" t="str">
        <f>'Orçamento Sintético'!A337</f>
        <v>17.2.5</v>
      </c>
      <c r="B1620" s="270" t="str">
        <f>'Orçamento Sintético'!D337</f>
        <v>ARMAÇÃO DE SAPATA ISOLADA, VIGA BALDRAME E SAPATA CORRIDA UTILIZANDO AÇO CA-60 DE 5 MM - MONTAGEM. AF_01/2024</v>
      </c>
      <c r="C1620" s="271"/>
      <c r="D1620" s="271"/>
      <c r="E1620" s="272"/>
      <c r="I1620" s="5"/>
    </row>
    <row r="1621" spans="1:9" x14ac:dyDescent="0.2">
      <c r="A1621" s="3"/>
      <c r="B1621" s="91" t="s">
        <v>260</v>
      </c>
      <c r="C1621" s="91" t="s">
        <v>8</v>
      </c>
      <c r="D1621" s="91" t="s">
        <v>676</v>
      </c>
      <c r="E1621" s="91" t="s">
        <v>261</v>
      </c>
      <c r="F1621" s="91" t="s">
        <v>262</v>
      </c>
      <c r="G1621" s="91" t="s">
        <v>263</v>
      </c>
      <c r="H1621" s="91" t="s">
        <v>11</v>
      </c>
      <c r="I1621" s="5"/>
    </row>
    <row r="1622" spans="1:9" x14ac:dyDescent="0.2">
      <c r="A1622" s="3"/>
      <c r="B1622" s="23" t="s">
        <v>722</v>
      </c>
      <c r="C1622" s="161"/>
      <c r="D1622" s="161">
        <v>27</v>
      </c>
      <c r="E1622" s="161"/>
      <c r="F1622" s="161"/>
      <c r="G1622" s="7"/>
      <c r="H1622" s="8">
        <f>ROUND(IF(PRODUCT(IF(C1622=0,1,C1622),IF(D1622=0,1,D1622),IF(E1622=0,1,E1622),IF(F1622=0,1,F1622),IF(G1622=0,1,G1622))=1,0,PRODUCT(IF(C1622=0,1,C1622),IF(D1622=0,1,D1622),IF(E1622=0,1,E1622),IF(F1622=0,1,F1622),IF(G1622=0,1,G1622))),2)</f>
        <v>27</v>
      </c>
      <c r="I1622" s="5"/>
    </row>
    <row r="1623" spans="1:9" x14ac:dyDescent="0.2">
      <c r="A1623" s="3"/>
      <c r="B1623" s="6"/>
      <c r="C1623" s="7"/>
      <c r="D1623" s="7"/>
      <c r="E1623" s="7"/>
      <c r="F1623" s="7"/>
      <c r="G1623" s="7"/>
      <c r="H1623" s="8">
        <f>ROUND(IF(PRODUCT(IF(C1623=0,1,C1623),IF(E1623=0,1,E1623),IF(F1623=0,1,F1623),IF(G1623=0,1,G1623))=1,0,PRODUCT(IF(C1623=0,1,C1623),IF(E1623=0,1,E1623),IF(F1623=0,1,F1623),IF(G1623=0,1,G1623))),2)</f>
        <v>0</v>
      </c>
      <c r="I1623" s="5"/>
    </row>
    <row r="1624" spans="1:9" x14ac:dyDescent="0.2">
      <c r="A1624" s="3"/>
      <c r="C1624" s="10"/>
      <c r="D1624" s="10"/>
      <c r="E1624" s="9"/>
      <c r="F1624" s="94" t="s">
        <v>11</v>
      </c>
      <c r="G1624" s="95" t="s">
        <v>264</v>
      </c>
      <c r="H1624" s="11">
        <f>SUM(H1622:H1622)</f>
        <v>27</v>
      </c>
      <c r="I1624" s="12" t="s">
        <v>299</v>
      </c>
    </row>
    <row r="1625" spans="1:9" ht="21.6" customHeight="1" x14ac:dyDescent="0.2">
      <c r="A1625" s="3" t="str">
        <f>'Orçamento Sintético'!A338</f>
        <v>17.2.6</v>
      </c>
      <c r="B1625" s="270" t="str">
        <f>'Orçamento Sintético'!D338</f>
        <v>ARMAÇÃO DE SAPATA ISOLADA, VIGA BALDRAME E SAPATA CORRIDA UTILIZANDO AÇO CA-50 DE 6,3 MM - MONTAGEM. AF_01/2024</v>
      </c>
      <c r="C1625" s="271"/>
      <c r="D1625" s="271"/>
      <c r="E1625" s="272"/>
      <c r="I1625" s="5"/>
    </row>
    <row r="1626" spans="1:9" x14ac:dyDescent="0.2">
      <c r="A1626" s="3"/>
      <c r="B1626" s="91" t="s">
        <v>260</v>
      </c>
      <c r="C1626" s="91" t="s">
        <v>8</v>
      </c>
      <c r="D1626" s="91" t="s">
        <v>676</v>
      </c>
      <c r="E1626" s="91" t="s">
        <v>261</v>
      </c>
      <c r="F1626" s="91" t="s">
        <v>262</v>
      </c>
      <c r="G1626" s="91" t="s">
        <v>263</v>
      </c>
      <c r="H1626" s="91" t="s">
        <v>11</v>
      </c>
      <c r="I1626" s="5"/>
    </row>
    <row r="1627" spans="1:9" x14ac:dyDescent="0.2">
      <c r="A1627" s="3"/>
      <c r="B1627" s="23" t="s">
        <v>722</v>
      </c>
      <c r="C1627" s="161"/>
      <c r="D1627" s="161">
        <v>39</v>
      </c>
      <c r="E1627" s="161"/>
      <c r="F1627" s="161"/>
      <c r="G1627" s="7"/>
      <c r="H1627" s="8">
        <f>ROUND(IF(PRODUCT(IF(C1627=0,1,C1627),IF(D1627=0,1,D1627),IF(E1627=0,1,E1627),IF(F1627=0,1,F1627),IF(G1627=0,1,G1627))=1,0,PRODUCT(IF(C1627=0,1,C1627),IF(D1627=0,1,D1627),IF(E1627=0,1,E1627),IF(F1627=0,1,F1627),IF(G1627=0,1,G1627))),2)</f>
        <v>39</v>
      </c>
      <c r="I1627" s="5"/>
    </row>
    <row r="1628" spans="1:9" x14ac:dyDescent="0.2">
      <c r="A1628" s="3"/>
      <c r="B1628" s="6"/>
      <c r="C1628" s="161"/>
      <c r="D1628" s="161"/>
      <c r="E1628" s="161"/>
      <c r="F1628" s="161"/>
      <c r="G1628" s="7"/>
      <c r="H1628" s="8"/>
      <c r="I1628" s="5"/>
    </row>
    <row r="1629" spans="1:9" x14ac:dyDescent="0.2">
      <c r="A1629" s="3"/>
      <c r="C1629" s="10"/>
      <c r="D1629" s="10"/>
      <c r="E1629" s="9"/>
      <c r="F1629" s="94" t="s">
        <v>11</v>
      </c>
      <c r="G1629" s="95" t="s">
        <v>264</v>
      </c>
      <c r="H1629" s="11">
        <f>SUM(H1627:H1628)</f>
        <v>39</v>
      </c>
      <c r="I1629" s="12" t="s">
        <v>299</v>
      </c>
    </row>
    <row r="1630" spans="1:9" ht="21.6" customHeight="1" x14ac:dyDescent="0.2">
      <c r="A1630" s="3" t="str">
        <f>'Orçamento Sintético'!A339</f>
        <v>17.2.7</v>
      </c>
      <c r="B1630" s="270" t="str">
        <f>'Orçamento Sintético'!D339</f>
        <v>ARMAÇÃO DE SAPATA ISOLADA, VIGA BALDRAME E SAPATA CORRIDA UTILIZANDO AÇO CA-50 DE 8 MM - MONTAGEM. AF_01/2024</v>
      </c>
      <c r="C1630" s="271"/>
      <c r="D1630" s="271"/>
      <c r="E1630" s="272"/>
      <c r="I1630" s="5"/>
    </row>
    <row r="1631" spans="1:9" x14ac:dyDescent="0.2">
      <c r="A1631" s="3"/>
      <c r="B1631" s="91" t="s">
        <v>260</v>
      </c>
      <c r="C1631" s="91" t="s">
        <v>8</v>
      </c>
      <c r="D1631" s="91" t="s">
        <v>676</v>
      </c>
      <c r="E1631" s="91" t="s">
        <v>261</v>
      </c>
      <c r="F1631" s="91" t="s">
        <v>262</v>
      </c>
      <c r="G1631" s="91" t="s">
        <v>263</v>
      </c>
      <c r="H1631" s="91" t="s">
        <v>11</v>
      </c>
      <c r="I1631" s="5"/>
    </row>
    <row r="1632" spans="1:9" x14ac:dyDescent="0.2">
      <c r="A1632" s="3"/>
      <c r="B1632" s="23" t="s">
        <v>722</v>
      </c>
      <c r="C1632" s="161"/>
      <c r="D1632" s="161">
        <v>17</v>
      </c>
      <c r="E1632" s="161"/>
      <c r="F1632" s="161"/>
      <c r="G1632" s="7"/>
      <c r="H1632" s="8">
        <f>ROUND(IF(PRODUCT(IF(C1632=0,1,C1632),IF(D1632=0,1,D1632),IF(E1632=0,1,E1632),IF(F1632=0,1,F1632),IF(G1632=0,1,G1632))=1,0,PRODUCT(IF(C1632=0,1,C1632),IF(D1632=0,1,D1632),IF(E1632=0,1,E1632),IF(F1632=0,1,F1632),IF(G1632=0,1,G1632))),2)</f>
        <v>17</v>
      </c>
      <c r="I1632" s="5"/>
    </row>
    <row r="1633" spans="1:9" x14ac:dyDescent="0.2">
      <c r="A1633" s="3"/>
      <c r="B1633" s="6"/>
      <c r="C1633" s="7"/>
      <c r="D1633" s="7"/>
      <c r="E1633" s="7"/>
      <c r="F1633" s="7"/>
      <c r="G1633" s="7"/>
      <c r="H1633" s="8">
        <f>ROUND(IF(PRODUCT(IF(C1633=0,1,C1633),IF(E1633=0,1,E1633),IF(F1633=0,1,F1633),IF(G1633=0,1,G1633))=1,0,PRODUCT(IF(C1633=0,1,C1633),IF(E1633=0,1,E1633),IF(F1633=0,1,F1633),IF(G1633=0,1,G1633))),2)</f>
        <v>0</v>
      </c>
      <c r="I1633" s="5"/>
    </row>
    <row r="1634" spans="1:9" x14ac:dyDescent="0.2">
      <c r="A1634" s="3"/>
      <c r="C1634" s="10"/>
      <c r="D1634" s="10"/>
      <c r="E1634" s="9"/>
      <c r="F1634" s="94" t="s">
        <v>11</v>
      </c>
      <c r="G1634" s="95" t="s">
        <v>264</v>
      </c>
      <c r="H1634" s="11">
        <f>SUM(H1632:H1632)</f>
        <v>17</v>
      </c>
      <c r="I1634" s="12" t="s">
        <v>299</v>
      </c>
    </row>
    <row r="1635" spans="1:9" ht="21.6" customHeight="1" x14ac:dyDescent="0.2">
      <c r="A1635" s="3" t="str">
        <f>'Orçamento Sintético'!A340</f>
        <v>17.2.8</v>
      </c>
      <c r="B1635" s="270" t="str">
        <f>'Orçamento Sintético'!D340</f>
        <v>ARMAÇÃO DE SAPATA ISOLADA, VIGA BALDRAME E SAPATA CORRIDA UTILIZANDO AÇO CA-50 DE 10 MM - MONTAGEM. AF_01/2024</v>
      </c>
      <c r="C1635" s="271"/>
      <c r="D1635" s="271"/>
      <c r="E1635" s="272"/>
      <c r="I1635" s="5"/>
    </row>
    <row r="1636" spans="1:9" x14ac:dyDescent="0.2">
      <c r="A1636" s="3"/>
      <c r="B1636" s="91" t="s">
        <v>260</v>
      </c>
      <c r="C1636" s="91" t="s">
        <v>8</v>
      </c>
      <c r="D1636" s="91" t="s">
        <v>676</v>
      </c>
      <c r="E1636" s="91" t="s">
        <v>261</v>
      </c>
      <c r="F1636" s="91" t="s">
        <v>262</v>
      </c>
      <c r="G1636" s="91" t="s">
        <v>263</v>
      </c>
      <c r="H1636" s="91" t="s">
        <v>11</v>
      </c>
      <c r="I1636" s="5"/>
    </row>
    <row r="1637" spans="1:9" x14ac:dyDescent="0.2">
      <c r="A1637" s="3"/>
      <c r="B1637" s="23" t="s">
        <v>722</v>
      </c>
      <c r="C1637" s="161"/>
      <c r="D1637" s="161">
        <v>4</v>
      </c>
      <c r="E1637" s="161"/>
      <c r="F1637" s="161"/>
      <c r="G1637" s="7"/>
      <c r="H1637" s="8">
        <f>ROUND(IF(PRODUCT(IF(C1637=0,1,C1637),IF(D1637=0,1,D1637),IF(E1637=0,1,E1637),IF(F1637=0,1,F1637),IF(G1637=0,1,G1637))=1,0,PRODUCT(IF(C1637=0,1,C1637),IF(D1637=0,1,D1637),IF(E1637=0,1,E1637),IF(F1637=0,1,F1637),IF(G1637=0,1,G1637))),2)</f>
        <v>4</v>
      </c>
      <c r="I1637" s="5"/>
    </row>
    <row r="1638" spans="1:9" x14ac:dyDescent="0.2">
      <c r="A1638" s="3"/>
      <c r="B1638" s="6"/>
      <c r="C1638" s="7"/>
      <c r="D1638" s="7"/>
      <c r="E1638" s="7"/>
      <c r="F1638" s="7"/>
      <c r="G1638" s="7"/>
      <c r="H1638" s="8">
        <f>ROUND(IF(PRODUCT(IF(C1638=0,1,C1638),IF(E1638=0,1,E1638),IF(F1638=0,1,F1638),IF(G1638=0,1,G1638))=1,0,PRODUCT(IF(C1638=0,1,C1638),IF(E1638=0,1,E1638),IF(F1638=0,1,F1638),IF(G1638=0,1,G1638))),2)</f>
        <v>0</v>
      </c>
      <c r="I1638" s="5"/>
    </row>
    <row r="1639" spans="1:9" x14ac:dyDescent="0.2">
      <c r="A1639" s="3"/>
      <c r="C1639" s="10"/>
      <c r="D1639" s="10"/>
      <c r="E1639" s="9"/>
      <c r="F1639" s="94" t="s">
        <v>11</v>
      </c>
      <c r="G1639" s="95" t="s">
        <v>264</v>
      </c>
      <c r="H1639" s="11">
        <f>SUM(H1637:H1637)</f>
        <v>4</v>
      </c>
      <c r="I1639" s="12" t="s">
        <v>299</v>
      </c>
    </row>
    <row r="1640" spans="1:9" ht="21.6" customHeight="1" x14ac:dyDescent="0.2">
      <c r="A1640" s="3" t="str">
        <f>'Orçamento Sintético'!A341</f>
        <v>17.2.9</v>
      </c>
      <c r="B1640" s="270" t="str">
        <f>'Orçamento Sintético'!D341</f>
        <v>ARMAÇÃO DE BLOCO, SAPATA ISOLADA, VIGA BALDRAME E SAPATA CORRIDA UTILIZANDO AÇO CA-50 DE 12,5 MM - MONTAGEM. AF_01/2024</v>
      </c>
      <c r="C1640" s="271"/>
      <c r="D1640" s="271"/>
      <c r="E1640" s="272"/>
      <c r="I1640" s="5"/>
    </row>
    <row r="1641" spans="1:9" x14ac:dyDescent="0.2">
      <c r="A1641" s="3"/>
      <c r="B1641" s="91" t="s">
        <v>260</v>
      </c>
      <c r="C1641" s="91" t="s">
        <v>8</v>
      </c>
      <c r="D1641" s="91" t="s">
        <v>676</v>
      </c>
      <c r="E1641" s="91" t="s">
        <v>261</v>
      </c>
      <c r="F1641" s="91" t="s">
        <v>262</v>
      </c>
      <c r="G1641" s="91" t="s">
        <v>263</v>
      </c>
      <c r="H1641" s="91" t="s">
        <v>11</v>
      </c>
      <c r="I1641" s="5"/>
    </row>
    <row r="1642" spans="1:9" x14ac:dyDescent="0.2">
      <c r="A1642" s="3"/>
      <c r="B1642" s="23" t="s">
        <v>722</v>
      </c>
      <c r="C1642" s="161"/>
      <c r="D1642" s="161">
        <v>8</v>
      </c>
      <c r="E1642" s="161"/>
      <c r="F1642" s="161"/>
      <c r="G1642" s="7"/>
      <c r="H1642" s="8">
        <f>ROUND(IF(PRODUCT(IF(C1642=0,1,C1642),IF(D1642=0,1,D1642),IF(E1642=0,1,E1642),IF(F1642=0,1,F1642),IF(G1642=0,1,G1642))=1,0,PRODUCT(IF(C1642=0,1,C1642),IF(D1642=0,1,D1642),IF(E1642=0,1,E1642),IF(F1642=0,1,F1642),IF(G1642=0,1,G1642))),2)</f>
        <v>8</v>
      </c>
      <c r="I1642" s="5"/>
    </row>
    <row r="1643" spans="1:9" x14ac:dyDescent="0.2">
      <c r="A1643" s="3"/>
      <c r="B1643" s="6"/>
      <c r="C1643" s="7"/>
      <c r="D1643" s="7"/>
      <c r="E1643" s="7"/>
      <c r="F1643" s="7"/>
      <c r="G1643" s="7"/>
      <c r="H1643" s="8">
        <f>ROUND(IF(PRODUCT(IF(C1643=0,1,C1643),IF(E1643=0,1,E1643),IF(F1643=0,1,F1643),IF(G1643=0,1,G1643))=1,0,PRODUCT(IF(C1643=0,1,C1643),IF(E1643=0,1,E1643),IF(F1643=0,1,F1643),IF(G1643=0,1,G1643))),2)</f>
        <v>0</v>
      </c>
      <c r="I1643" s="5"/>
    </row>
    <row r="1644" spans="1:9" x14ac:dyDescent="0.2">
      <c r="A1644" s="3"/>
      <c r="C1644" s="10"/>
      <c r="D1644" s="10"/>
      <c r="E1644" s="9"/>
      <c r="F1644" s="94" t="s">
        <v>11</v>
      </c>
      <c r="G1644" s="95" t="s">
        <v>264</v>
      </c>
      <c r="H1644" s="11">
        <f>SUM(H1642:H1642)</f>
        <v>8</v>
      </c>
      <c r="I1644" s="12" t="s">
        <v>299</v>
      </c>
    </row>
    <row r="1645" spans="1:9" ht="23.25" customHeight="1" x14ac:dyDescent="0.2">
      <c r="A1645" s="3" t="str">
        <f>'Orçamento Sintético'!A342</f>
        <v>17.2.10</v>
      </c>
      <c r="B1645" s="270" t="str">
        <f>'Orçamento Sintético'!D342</f>
        <v>CONCRETAGEM DE BLOCO DE COROAMENTO OU VIGA BALDRAME, FCK 30 MPA, COM USO DE BOMBA - LANÇAMENTO, ADENSAMENTO E ACABAMENTO. AF_01/2024</v>
      </c>
      <c r="C1645" s="271"/>
      <c r="D1645" s="271"/>
      <c r="E1645" s="272"/>
      <c r="I1645" s="5"/>
    </row>
    <row r="1646" spans="1:9" x14ac:dyDescent="0.2">
      <c r="A1646" s="3"/>
      <c r="B1646" s="91" t="s">
        <v>260</v>
      </c>
      <c r="C1646" s="91" t="s">
        <v>8</v>
      </c>
      <c r="D1646" s="91" t="s">
        <v>677</v>
      </c>
      <c r="E1646" s="91" t="s">
        <v>261</v>
      </c>
      <c r="F1646" s="91" t="s">
        <v>262</v>
      </c>
      <c r="G1646" s="91" t="s">
        <v>263</v>
      </c>
      <c r="H1646" s="91" t="s">
        <v>11</v>
      </c>
      <c r="I1646" s="5"/>
    </row>
    <row r="1647" spans="1:9" x14ac:dyDescent="0.2">
      <c r="A1647" s="3"/>
      <c r="B1647" s="23" t="s">
        <v>722</v>
      </c>
      <c r="C1647" s="7"/>
      <c r="D1647" s="7"/>
      <c r="E1647" s="7"/>
      <c r="F1647" s="7"/>
      <c r="G1647" s="7"/>
      <c r="H1647" s="8"/>
      <c r="I1647" s="5"/>
    </row>
    <row r="1648" spans="1:9" x14ac:dyDescent="0.2">
      <c r="A1648" s="3"/>
      <c r="B1648" s="6" t="s">
        <v>566</v>
      </c>
      <c r="C1648" s="7"/>
      <c r="D1648" s="7">
        <v>1.67</v>
      </c>
      <c r="E1648" s="7"/>
      <c r="F1648" s="7"/>
      <c r="G1648" s="7"/>
      <c r="H1648" s="8">
        <f>ROUND(IF(PRODUCT(IF(C1648=0,1,C1648),IF(D1648=0,1,D1648),IF(E1648=0,1,E1648),IF(F1648=0,1,F1648),IF(G1648=0,1,G1648))=1,0,PRODUCT(IF(C1648=0,1,C1648),IF(D1648=0,1,D1648),IF(E1648=0,1,E1648),IF(F1648=0,1,F1648),IF(G1648=0,1,G1648))),2)</f>
        <v>1.67</v>
      </c>
      <c r="I1648" s="5"/>
    </row>
    <row r="1649" spans="1:9" x14ac:dyDescent="0.2">
      <c r="A1649" s="3"/>
      <c r="B1649" s="6"/>
      <c r="C1649" s="161"/>
      <c r="D1649" s="161"/>
      <c r="E1649" s="161"/>
      <c r="F1649" s="161"/>
      <c r="G1649" s="161"/>
      <c r="H1649" s="8"/>
      <c r="I1649" s="5"/>
    </row>
    <row r="1650" spans="1:9" x14ac:dyDescent="0.2">
      <c r="A1650" s="3"/>
      <c r="C1650" s="10"/>
      <c r="D1650" s="10"/>
      <c r="E1650" s="9"/>
      <c r="F1650" s="94" t="s">
        <v>11</v>
      </c>
      <c r="G1650" s="95" t="s">
        <v>264</v>
      </c>
      <c r="H1650" s="11">
        <f>SUM(H1647:H1649)</f>
        <v>1.67</v>
      </c>
      <c r="I1650" s="12" t="s">
        <v>24</v>
      </c>
    </row>
    <row r="1651" spans="1:9" ht="14.25" customHeight="1" x14ac:dyDescent="0.2">
      <c r="A1651" s="3" t="str">
        <f>'Orçamento Sintético'!A343</f>
        <v>17.2.11</v>
      </c>
      <c r="B1651" s="270" t="str">
        <f>'Orçamento Sintético'!D343</f>
        <v>REATERRO MANUAL DE VALAS, COM COMPACTADOR DE SOLOS DE PERCUSSÃO. AF_08/2023</v>
      </c>
      <c r="C1651" s="271"/>
      <c r="D1651" s="271"/>
      <c r="E1651" s="272"/>
      <c r="I1651" s="5"/>
    </row>
    <row r="1652" spans="1:9" x14ac:dyDescent="0.2">
      <c r="A1652" s="3"/>
      <c r="B1652" s="91" t="s">
        <v>260</v>
      </c>
      <c r="C1652" s="91" t="s">
        <v>8</v>
      </c>
      <c r="D1652" s="91" t="s">
        <v>266</v>
      </c>
      <c r="E1652" s="91" t="s">
        <v>261</v>
      </c>
      <c r="F1652" s="91" t="s">
        <v>262</v>
      </c>
      <c r="G1652" s="91" t="s">
        <v>263</v>
      </c>
      <c r="H1652" s="91" t="s">
        <v>11</v>
      </c>
      <c r="I1652" s="5"/>
    </row>
    <row r="1653" spans="1:9" x14ac:dyDescent="0.2">
      <c r="A1653" s="3"/>
      <c r="B1653" s="23" t="s">
        <v>559</v>
      </c>
      <c r="C1653" s="15"/>
      <c r="D1653" s="7"/>
      <c r="E1653" s="7"/>
      <c r="F1653" s="7"/>
      <c r="G1653" s="7"/>
      <c r="H1653" s="8"/>
      <c r="I1653" s="5"/>
    </row>
    <row r="1654" spans="1:9" x14ac:dyDescent="0.2">
      <c r="A1654" s="3"/>
      <c r="B1654" s="23"/>
      <c r="C1654" s="15"/>
      <c r="D1654" s="7"/>
      <c r="E1654" s="7"/>
      <c r="F1654" s="7"/>
      <c r="G1654" s="7"/>
      <c r="H1654" s="8"/>
      <c r="I1654" s="5"/>
    </row>
    <row r="1655" spans="1:9" x14ac:dyDescent="0.2">
      <c r="A1655" s="3"/>
      <c r="B1655" s="6" t="s">
        <v>283</v>
      </c>
      <c r="C1655" s="15">
        <f>H1602</f>
        <v>5.5399999999999991</v>
      </c>
      <c r="D1655" s="7"/>
      <c r="E1655" s="7"/>
      <c r="F1655" s="7"/>
      <c r="G1655" s="7"/>
      <c r="H1655" s="8">
        <f>ROUND(IF(PRODUCT(IF(C1655=0,1,C1655),IF(D1655=0,1,D1655),IF(E1655=0,1,E1655),IF(F1655=0,1,F1655),IF(G1655=0,1,G1655))=1,0,PRODUCT(IF(C1655=0,1,C1655),IF(D1655=0,1,D1655),IF(E1655=0,1,E1655),IF(F1655=0,1,F1655),IF(G1655=0,1,G1655))),2)</f>
        <v>5.54</v>
      </c>
      <c r="I1655" s="5"/>
    </row>
    <row r="1656" spans="1:9" x14ac:dyDescent="0.2">
      <c r="A1656" s="3"/>
      <c r="B1656" s="16" t="s">
        <v>280</v>
      </c>
      <c r="C1656" s="17">
        <f>H1614*0.05</f>
        <v>0.79</v>
      </c>
      <c r="D1656" s="7"/>
      <c r="E1656" s="7"/>
      <c r="F1656" s="7"/>
      <c r="G1656" s="7"/>
      <c r="H1656" s="17">
        <f>-ROUND(IF(PRODUCT(IF(C1656=0,1,C1656),IF(D1656=0,1,D1656),IF(E1656=0,1,E1656),IF(F1656=0,1,F1656),IF(G1656=0,1,G1656))=1,0,PRODUCT(IF(C1656=0,1,C1656),IF(D1656=0,1,D1656),IF(E1656=0,1,E1656),IF(F1656=0,1,F1656),IF(G1656=0,1,G1656))),2)</f>
        <v>-0.79</v>
      </c>
      <c r="I1656" s="5"/>
    </row>
    <row r="1657" spans="1:9" x14ac:dyDescent="0.2">
      <c r="A1657" s="3"/>
      <c r="B1657" s="16" t="s">
        <v>284</v>
      </c>
      <c r="C1657" s="17">
        <f>H1650</f>
        <v>1.67</v>
      </c>
      <c r="D1657" s="7"/>
      <c r="E1657" s="7"/>
      <c r="F1657" s="7"/>
      <c r="G1657" s="7"/>
      <c r="H1657" s="17">
        <f>-ROUND(IF(PRODUCT(IF(C1657=0,1,C1657),IF(D1657=0,1,D1657),IF(E1657=0,1,E1657),IF(F1657=0,1,F1657),IF(G1657=0,1,G1657))=1,0,PRODUCT(IF(C1657=0,1,C1657),IF(D1657=0,1,D1657),IF(E1657=0,1,E1657),IF(F1657=0,1,F1657),IF(G1657=0,1,G1657))),2)</f>
        <v>-1.67</v>
      </c>
      <c r="I1657" s="5"/>
    </row>
    <row r="1658" spans="1:9" x14ac:dyDescent="0.2">
      <c r="A1658" s="3"/>
      <c r="B1658" s="6"/>
      <c r="C1658" s="7"/>
      <c r="D1658" s="7"/>
      <c r="E1658" s="7"/>
      <c r="F1658" s="7"/>
      <c r="G1658" s="7"/>
      <c r="H1658" s="8">
        <f>ROUND(IF(PRODUCT(IF(C1658=0,1,C1658),IF(E1658=0,1,E1658),IF(F1658=0,1,F1658),IF(G1658=0,1,G1658))=1,0,PRODUCT(IF(C1658=0,1,C1658),IF(E1658=0,1,E1658),IF(F1658=0,1,F1658),IF(G1658=0,1,G1658))),2)</f>
        <v>0</v>
      </c>
      <c r="I1658" s="5"/>
    </row>
    <row r="1659" spans="1:9" x14ac:dyDescent="0.2">
      <c r="A1659" s="3"/>
      <c r="C1659" s="10"/>
      <c r="D1659" s="10"/>
      <c r="E1659" s="9"/>
      <c r="F1659" s="94" t="s">
        <v>11</v>
      </c>
      <c r="G1659" s="95" t="s">
        <v>264</v>
      </c>
      <c r="H1659" s="11">
        <f>SUM(H1655:H1657)</f>
        <v>3.08</v>
      </c>
      <c r="I1659" s="12" t="s">
        <v>24</v>
      </c>
    </row>
    <row r="1660" spans="1:9" x14ac:dyDescent="0.2">
      <c r="A1660" s="96" t="str">
        <f>'Orçamento Sintético'!A344</f>
        <v>17.3</v>
      </c>
      <c r="B1660" s="97" t="str">
        <f>'Orçamento Sintético'!D344</f>
        <v>PILARES</v>
      </c>
      <c r="C1660" s="273"/>
      <c r="D1660" s="274"/>
      <c r="E1660" s="274"/>
      <c r="F1660" s="274"/>
      <c r="G1660" s="274"/>
      <c r="H1660" s="274"/>
      <c r="I1660" s="275"/>
    </row>
    <row r="1661" spans="1:9" ht="22.15" customHeight="1" x14ac:dyDescent="0.2">
      <c r="A1661" s="3" t="str">
        <f>'Orçamento Sintético'!A345</f>
        <v>17.3.1</v>
      </c>
      <c r="B1661" s="270" t="str">
        <f>'Orçamento Sintético'!D345</f>
        <v>MONTAGEM E DESMONTAGEM DE FÔRMA DE PILARES RETANGULARES E ESTRUTURAS SIMILARES, PÉ-DIREITO SIMPLES, EM CHAPA DE MADEIRA COMPENSADA PLASTIFICADA, 18 UTILIZAÇÕES. AF_09/2020</v>
      </c>
      <c r="C1661" s="271"/>
      <c r="D1661" s="271"/>
      <c r="E1661" s="272"/>
      <c r="I1661" s="5"/>
    </row>
    <row r="1662" spans="1:9" x14ac:dyDescent="0.2">
      <c r="A1662" s="3"/>
      <c r="B1662" s="91" t="s">
        <v>260</v>
      </c>
      <c r="C1662" s="91" t="s">
        <v>8</v>
      </c>
      <c r="D1662" s="91" t="s">
        <v>266</v>
      </c>
      <c r="E1662" s="91" t="s">
        <v>261</v>
      </c>
      <c r="F1662" s="91" t="s">
        <v>262</v>
      </c>
      <c r="G1662" s="91" t="s">
        <v>263</v>
      </c>
      <c r="H1662" s="91" t="s">
        <v>11</v>
      </c>
      <c r="I1662" s="5"/>
    </row>
    <row r="1663" spans="1:9" x14ac:dyDescent="0.2">
      <c r="A1663" s="3"/>
      <c r="B1663" s="23" t="s">
        <v>722</v>
      </c>
      <c r="C1663" s="161"/>
      <c r="D1663" s="7"/>
      <c r="E1663" s="161"/>
      <c r="F1663" s="161"/>
      <c r="G1663" s="161"/>
      <c r="H1663" s="8"/>
      <c r="I1663" s="5"/>
    </row>
    <row r="1664" spans="1:9" x14ac:dyDescent="0.2">
      <c r="A1664" s="3"/>
      <c r="B1664" s="6" t="s">
        <v>566</v>
      </c>
      <c r="C1664" s="161"/>
      <c r="D1664" s="7">
        <v>21.76</v>
      </c>
      <c r="E1664" s="198"/>
      <c r="F1664" s="161"/>
      <c r="G1664" s="161"/>
      <c r="H1664" s="8">
        <f>ROUND(IF(PRODUCT(IF(C1664=0,1,C1664),IF(D1664=0,1,D1664),IF(E1664=0,1,E1664),IF(F1664=0,1,F1664),IF(G1664=0,1,G1664))=1,0,PRODUCT(IF(C1664=0,1,C1664),IF(D1664=0,1,D1664),IF(E1664=0,1,E1664),IF(F1664=0,1,F1664),IF(G1664=0,1,G1664))),2)</f>
        <v>21.76</v>
      </c>
      <c r="I1664" s="5"/>
    </row>
    <row r="1665" spans="1:9" x14ac:dyDescent="0.2">
      <c r="A1665" s="3"/>
      <c r="B1665" s="6"/>
      <c r="C1665" s="7"/>
      <c r="D1665" s="7"/>
      <c r="E1665" s="7"/>
      <c r="F1665" s="7"/>
      <c r="G1665" s="7"/>
      <c r="H1665" s="8">
        <f>ROUND(IF(PRODUCT(IF(C1665=0,1,C1665),IF(E1665=0,1,E1665),IF(F1665=0,1,F1665),IF(G1665=0,1,G1665))=1,0,PRODUCT(IF(C1665=0,1,C1665),IF(E1665=0,1,E1665),IF(F1665=0,1,F1665),IF(G1665=0,1,G1665))),2)</f>
        <v>0</v>
      </c>
      <c r="I1665" s="5"/>
    </row>
    <row r="1666" spans="1:9" x14ac:dyDescent="0.2">
      <c r="A1666" s="3"/>
      <c r="C1666" s="10"/>
      <c r="D1666" s="10"/>
      <c r="E1666" s="9"/>
      <c r="F1666" s="94" t="s">
        <v>11</v>
      </c>
      <c r="G1666" s="95" t="s">
        <v>264</v>
      </c>
      <c r="H1666" s="11">
        <f>SUM(H1663:H1664)</f>
        <v>21.76</v>
      </c>
      <c r="I1666" s="12" t="s">
        <v>17</v>
      </c>
    </row>
    <row r="1667" spans="1:9" ht="22.9" customHeight="1" x14ac:dyDescent="0.2">
      <c r="A1667" s="3" t="str">
        <f>'Orçamento Sintético'!A346</f>
        <v>17.3.2</v>
      </c>
      <c r="B1667" s="270" t="str">
        <f>'Orçamento Sintético'!D346</f>
        <v>ARMAÇÃO DE PILAR OU VIGA DE ESTRUTURA CONVENCIONAL DE CONCRETO ARMADO UTILIZANDO AÇO CA-60 DE 5,0 MM - MONTAGEM. AF_06/2022</v>
      </c>
      <c r="C1667" s="271"/>
      <c r="D1667" s="271"/>
      <c r="E1667" s="272"/>
      <c r="I1667" s="5"/>
    </row>
    <row r="1668" spans="1:9" x14ac:dyDescent="0.2">
      <c r="A1668" s="3"/>
      <c r="B1668" s="91" t="s">
        <v>260</v>
      </c>
      <c r="C1668" s="91" t="s">
        <v>8</v>
      </c>
      <c r="D1668" s="91" t="s">
        <v>676</v>
      </c>
      <c r="E1668" s="91" t="s">
        <v>261</v>
      </c>
      <c r="F1668" s="91" t="s">
        <v>262</v>
      </c>
      <c r="G1668" s="91" t="s">
        <v>263</v>
      </c>
      <c r="H1668" s="91" t="s">
        <v>11</v>
      </c>
      <c r="I1668" s="5"/>
    </row>
    <row r="1669" spans="1:9" x14ac:dyDescent="0.2">
      <c r="A1669" s="3"/>
      <c r="B1669" s="23" t="s">
        <v>722</v>
      </c>
      <c r="C1669" s="161"/>
      <c r="D1669" s="7"/>
      <c r="E1669" s="161"/>
      <c r="F1669" s="161"/>
      <c r="G1669" s="161"/>
      <c r="H1669" s="8"/>
      <c r="I1669" s="5"/>
    </row>
    <row r="1670" spans="1:9" x14ac:dyDescent="0.2">
      <c r="A1670" s="3"/>
      <c r="B1670" s="6" t="s">
        <v>566</v>
      </c>
      <c r="C1670" s="161"/>
      <c r="D1670" s="7">
        <v>33</v>
      </c>
      <c r="E1670" s="198"/>
      <c r="F1670" s="161"/>
      <c r="G1670" s="161"/>
      <c r="H1670" s="8">
        <f>ROUND(IF(PRODUCT(IF(C1670=0,1,C1670),IF(D1670=0,1,D1670),IF(E1670=0,1,E1670),IF(F1670=0,1,F1670),IF(G1670=0,1,G1670))=1,0,PRODUCT(IF(C1670=0,1,C1670),IF(D1670=0,1,D1670),IF(E1670=0,1,E1670),IF(F1670=0,1,F1670),IF(G1670=0,1,G1670))),2)</f>
        <v>33</v>
      </c>
      <c r="I1670" s="5"/>
    </row>
    <row r="1671" spans="1:9" x14ac:dyDescent="0.2">
      <c r="A1671" s="3"/>
      <c r="B1671" s="6"/>
      <c r="C1671" s="7"/>
      <c r="D1671" s="7"/>
      <c r="E1671" s="7"/>
      <c r="F1671" s="7"/>
      <c r="G1671" s="7"/>
      <c r="H1671" s="8">
        <f>ROUND(IF(PRODUCT(IF(C1671=0,1,C1671),IF(E1671=0,1,E1671),IF(F1671=0,1,F1671),IF(G1671=0,1,G1671))=1,0,PRODUCT(IF(C1671=0,1,C1671),IF(E1671=0,1,E1671),IF(F1671=0,1,F1671),IF(G1671=0,1,G1671))),2)</f>
        <v>0</v>
      </c>
      <c r="I1671" s="5"/>
    </row>
    <row r="1672" spans="1:9" x14ac:dyDescent="0.2">
      <c r="A1672" s="3"/>
      <c r="C1672" s="10"/>
      <c r="D1672" s="10"/>
      <c r="E1672" s="9"/>
      <c r="F1672" s="94" t="s">
        <v>11</v>
      </c>
      <c r="G1672" s="95" t="s">
        <v>264</v>
      </c>
      <c r="H1672" s="11">
        <f>SUM(H1669:H1670)</f>
        <v>33</v>
      </c>
      <c r="I1672" s="12" t="s">
        <v>299</v>
      </c>
    </row>
    <row r="1673" spans="1:9" ht="21.6" customHeight="1" x14ac:dyDescent="0.2">
      <c r="A1673" s="3" t="str">
        <f>'Orçamento Sintético'!A347</f>
        <v>17.3.3</v>
      </c>
      <c r="B1673" s="270" t="str">
        <f>'Orçamento Sintético'!D347</f>
        <v>ARMAÇÃO DE PILAR OU VIGA DE ESTRUTURA CONVENCIONAL DE CONCRETO ARMADO UTILIZANDO AÇO CA-50 DE 10,0 MM - MONTAGEM. AF_06/2022</v>
      </c>
      <c r="C1673" s="271"/>
      <c r="D1673" s="271"/>
      <c r="E1673" s="272"/>
      <c r="I1673" s="5"/>
    </row>
    <row r="1674" spans="1:9" x14ac:dyDescent="0.2">
      <c r="A1674" s="3"/>
      <c r="B1674" s="91" t="s">
        <v>260</v>
      </c>
      <c r="C1674" s="91" t="s">
        <v>8</v>
      </c>
      <c r="D1674" s="91" t="s">
        <v>676</v>
      </c>
      <c r="E1674" s="91" t="s">
        <v>261</v>
      </c>
      <c r="F1674" s="91" t="s">
        <v>262</v>
      </c>
      <c r="G1674" s="91" t="s">
        <v>263</v>
      </c>
      <c r="H1674" s="91" t="s">
        <v>11</v>
      </c>
      <c r="I1674" s="5"/>
    </row>
    <row r="1675" spans="1:9" x14ac:dyDescent="0.2">
      <c r="A1675" s="3"/>
      <c r="B1675" s="23" t="s">
        <v>722</v>
      </c>
      <c r="C1675" s="161"/>
      <c r="D1675" s="7"/>
      <c r="E1675" s="161"/>
      <c r="F1675" s="161"/>
      <c r="G1675" s="161"/>
      <c r="H1675" s="8"/>
      <c r="I1675" s="5"/>
    </row>
    <row r="1676" spans="1:9" x14ac:dyDescent="0.2">
      <c r="A1676" s="3"/>
      <c r="B1676" s="6" t="s">
        <v>566</v>
      </c>
      <c r="C1676" s="161"/>
      <c r="D1676" s="7">
        <v>57</v>
      </c>
      <c r="E1676" s="198"/>
      <c r="F1676" s="161"/>
      <c r="G1676" s="161"/>
      <c r="H1676" s="8">
        <f>ROUND(IF(PRODUCT(IF(C1676=0,1,C1676),IF(D1676=0,1,D1676),IF(E1676=0,1,E1676),IF(F1676=0,1,F1676),IF(G1676=0,1,G1676))=1,0,PRODUCT(IF(C1676=0,1,C1676),IF(D1676=0,1,D1676),IF(E1676=0,1,E1676),IF(F1676=0,1,F1676),IF(G1676=0,1,G1676))),2)</f>
        <v>57</v>
      </c>
      <c r="I1676" s="5"/>
    </row>
    <row r="1677" spans="1:9" x14ac:dyDescent="0.2">
      <c r="A1677" s="3"/>
      <c r="B1677" s="6"/>
      <c r="C1677" s="7"/>
      <c r="D1677" s="7"/>
      <c r="E1677" s="7"/>
      <c r="F1677" s="7"/>
      <c r="G1677" s="7"/>
      <c r="H1677" s="8">
        <f>ROUND(IF(PRODUCT(IF(C1677=0,1,C1677),IF(E1677=0,1,E1677),IF(F1677=0,1,F1677),IF(G1677=0,1,G1677))=1,0,PRODUCT(IF(C1677=0,1,C1677),IF(E1677=0,1,E1677),IF(F1677=0,1,F1677),IF(G1677=0,1,G1677))),2)</f>
        <v>0</v>
      </c>
      <c r="I1677" s="5"/>
    </row>
    <row r="1678" spans="1:9" x14ac:dyDescent="0.2">
      <c r="A1678" s="3"/>
      <c r="C1678" s="10"/>
      <c r="D1678" s="10"/>
      <c r="E1678" s="9"/>
      <c r="F1678" s="94" t="s">
        <v>11</v>
      </c>
      <c r="G1678" s="95" t="s">
        <v>264</v>
      </c>
      <c r="H1678" s="11">
        <f>SUM(H1675:H1676)</f>
        <v>57</v>
      </c>
      <c r="I1678" s="12" t="s">
        <v>299</v>
      </c>
    </row>
    <row r="1679" spans="1:9" ht="21.6" customHeight="1" x14ac:dyDescent="0.2">
      <c r="A1679" s="3" t="str">
        <f>'Orçamento Sintético'!A348</f>
        <v>17.3.4</v>
      </c>
      <c r="B1679" s="270" t="str">
        <f>'Orçamento Sintético'!D348</f>
        <v>ARMAÇÃO DE PILAR OU VIGA DE ESTRUTURA CONVENCIONAL DE CONCRETO ARMADO UTILIZANDO AÇO CA-50 DE 12,5 MM - MONTAGEM. AF_06/2022</v>
      </c>
      <c r="C1679" s="271"/>
      <c r="D1679" s="271"/>
      <c r="E1679" s="272"/>
      <c r="I1679" s="5"/>
    </row>
    <row r="1680" spans="1:9" x14ac:dyDescent="0.2">
      <c r="A1680" s="3"/>
      <c r="B1680" s="91" t="s">
        <v>260</v>
      </c>
      <c r="C1680" s="91" t="s">
        <v>8</v>
      </c>
      <c r="D1680" s="91" t="s">
        <v>676</v>
      </c>
      <c r="E1680" s="91" t="s">
        <v>261</v>
      </c>
      <c r="F1680" s="91" t="s">
        <v>262</v>
      </c>
      <c r="G1680" s="91" t="s">
        <v>263</v>
      </c>
      <c r="H1680" s="91" t="s">
        <v>11</v>
      </c>
      <c r="I1680" s="5"/>
    </row>
    <row r="1681" spans="1:9" x14ac:dyDescent="0.2">
      <c r="A1681" s="3"/>
      <c r="B1681" s="23" t="s">
        <v>722</v>
      </c>
      <c r="C1681" s="161"/>
      <c r="D1681" s="161"/>
      <c r="E1681" s="161"/>
      <c r="F1681" s="161"/>
      <c r="G1681" s="161"/>
      <c r="H1681" s="8"/>
      <c r="I1681" s="5"/>
    </row>
    <row r="1682" spans="1:9" x14ac:dyDescent="0.2">
      <c r="A1682" s="3"/>
      <c r="B1682" s="6" t="s">
        <v>566</v>
      </c>
      <c r="C1682" s="161"/>
      <c r="D1682" s="161">
        <v>46</v>
      </c>
      <c r="E1682" s="198"/>
      <c r="F1682" s="161"/>
      <c r="G1682" s="161"/>
      <c r="H1682" s="8">
        <f>ROUND(IF(PRODUCT(IF(C1682=0,1,C1682),IF(D1682=0,1,D1682),IF(E1682=0,1,E1682),IF(F1682=0,1,F1682),IF(G1682=0,1,G1682))=1,0,PRODUCT(IF(C1682=0,1,C1682),IF(D1682=0,1,D1682),IF(E1682=0,1,E1682),IF(F1682=0,1,F1682),IF(G1682=0,1,G1682))),2)</f>
        <v>46</v>
      </c>
      <c r="I1682" s="5"/>
    </row>
    <row r="1683" spans="1:9" x14ac:dyDescent="0.2">
      <c r="A1683" s="3"/>
      <c r="B1683" s="6"/>
      <c r="C1683" s="7"/>
      <c r="D1683" s="7"/>
      <c r="E1683" s="7"/>
      <c r="F1683" s="7"/>
      <c r="G1683" s="7"/>
      <c r="H1683" s="8">
        <f>ROUND(IF(PRODUCT(IF(C1683=0,1,C1683),IF(E1683=0,1,E1683),IF(F1683=0,1,F1683),IF(G1683=0,1,G1683))=1,0,PRODUCT(IF(C1683=0,1,C1683),IF(E1683=0,1,E1683),IF(F1683=0,1,F1683),IF(G1683=0,1,G1683))),2)</f>
        <v>0</v>
      </c>
      <c r="I1683" s="5"/>
    </row>
    <row r="1684" spans="1:9" x14ac:dyDescent="0.2">
      <c r="A1684" s="3"/>
      <c r="C1684" s="10"/>
      <c r="D1684" s="10"/>
      <c r="E1684" s="9"/>
      <c r="F1684" s="94" t="s">
        <v>11</v>
      </c>
      <c r="G1684" s="95" t="s">
        <v>264</v>
      </c>
      <c r="H1684" s="11">
        <f>SUM(H1681:H1682)</f>
        <v>46</v>
      </c>
      <c r="I1684" s="12" t="s">
        <v>299</v>
      </c>
    </row>
    <row r="1685" spans="1:9" ht="23.25" customHeight="1" x14ac:dyDescent="0.2">
      <c r="A1685" s="3" t="str">
        <f>'Orçamento Sintético'!A349</f>
        <v>17.3.5</v>
      </c>
      <c r="B1685" s="270" t="str">
        <f>'Orçamento Sintético'!D349</f>
        <v>CONCRETAGEM DE PILARES, FCK = 25 MPA, COM USO DE BOMBA - LANÇAMENTO, ADENSAMENTO E ACABAMENTO. AF_02/2022_PS</v>
      </c>
      <c r="C1685" s="271"/>
      <c r="D1685" s="271"/>
      <c r="E1685" s="272"/>
      <c r="I1685" s="5"/>
    </row>
    <row r="1686" spans="1:9" x14ac:dyDescent="0.2">
      <c r="A1686" s="3"/>
      <c r="B1686" s="91" t="s">
        <v>260</v>
      </c>
      <c r="C1686" s="91" t="s">
        <v>8</v>
      </c>
      <c r="D1686" s="91" t="s">
        <v>677</v>
      </c>
      <c r="E1686" s="91" t="s">
        <v>261</v>
      </c>
      <c r="F1686" s="91" t="s">
        <v>262</v>
      </c>
      <c r="G1686" s="91" t="s">
        <v>263</v>
      </c>
      <c r="H1686" s="91" t="s">
        <v>11</v>
      </c>
      <c r="I1686" s="5"/>
    </row>
    <row r="1687" spans="1:9" x14ac:dyDescent="0.2">
      <c r="A1687" s="3"/>
      <c r="B1687" s="23" t="s">
        <v>722</v>
      </c>
      <c r="C1687" s="161"/>
      <c r="D1687" s="7"/>
      <c r="E1687" s="161"/>
      <c r="F1687" s="161"/>
      <c r="G1687" s="161"/>
      <c r="H1687" s="8"/>
      <c r="I1687" s="5"/>
    </row>
    <row r="1688" spans="1:9" x14ac:dyDescent="0.2">
      <c r="A1688" s="3"/>
      <c r="B1688" s="6" t="s">
        <v>566</v>
      </c>
      <c r="C1688" s="161"/>
      <c r="D1688" s="7">
        <v>1.44</v>
      </c>
      <c r="E1688" s="198"/>
      <c r="F1688" s="161"/>
      <c r="G1688" s="161"/>
      <c r="H1688" s="8">
        <f>ROUND(IF(PRODUCT(IF(C1688=0,1,C1688),IF(D1688=0,1,D1688),IF(E1688=0,1,E1688),IF(F1688=0,1,F1688),IF(G1688=0,1,G1688))=1,0,PRODUCT(IF(C1688=0,1,C1688),IF(D1688=0,1,D1688),IF(E1688=0,1,E1688),IF(F1688=0,1,F1688),IF(G1688=0,1,G1688))),2)</f>
        <v>1.44</v>
      </c>
      <c r="I1688" s="5"/>
    </row>
    <row r="1689" spans="1:9" x14ac:dyDescent="0.2">
      <c r="A1689" s="3"/>
      <c r="B1689" s="6"/>
      <c r="C1689" s="161"/>
      <c r="D1689" s="161"/>
      <c r="E1689" s="161"/>
      <c r="F1689" s="161"/>
      <c r="G1689" s="161"/>
      <c r="H1689" s="8">
        <f>ROUND(IF(PRODUCT(IF(C1689=0,1,C1689),IF(E1689=0,1,E1689),IF(F1689=0,1,F1689),IF(G1689=0,1,G1689))=1,0,PRODUCT(IF(C1689=0,1,C1689),IF(E1689=0,1,E1689),IF(F1689=0,1,F1689),IF(G1689=0,1,G1689))),2)</f>
        <v>0</v>
      </c>
      <c r="I1689" s="5"/>
    </row>
    <row r="1690" spans="1:9" x14ac:dyDescent="0.2">
      <c r="A1690" s="3"/>
      <c r="C1690" s="10"/>
      <c r="D1690" s="10"/>
      <c r="E1690" s="9"/>
      <c r="F1690" s="94" t="s">
        <v>11</v>
      </c>
      <c r="G1690" s="95" t="s">
        <v>264</v>
      </c>
      <c r="H1690" s="11">
        <f>SUM(H1687:H1688)</f>
        <v>1.44</v>
      </c>
      <c r="I1690" s="12" t="s">
        <v>24</v>
      </c>
    </row>
    <row r="1691" spans="1:9" x14ac:dyDescent="0.2">
      <c r="A1691" s="96" t="str">
        <f>'Orçamento Sintético'!A350</f>
        <v>17.4</v>
      </c>
      <c r="B1691" s="97" t="str">
        <f>'Orçamento Sintético'!D350</f>
        <v>VIGAS SUPERIORES</v>
      </c>
      <c r="C1691" s="273"/>
      <c r="D1691" s="274"/>
      <c r="E1691" s="274"/>
      <c r="F1691" s="274"/>
      <c r="G1691" s="274"/>
      <c r="H1691" s="274"/>
      <c r="I1691" s="275"/>
    </row>
    <row r="1692" spans="1:9" ht="22.15" customHeight="1" x14ac:dyDescent="0.2">
      <c r="A1692" s="3" t="str">
        <f>'Orçamento Sintético'!A351</f>
        <v>17.4.1</v>
      </c>
      <c r="B1692" s="270" t="str">
        <f>'Orçamento Sintético'!D351</f>
        <v>MONTAGEM E DESMONTAGEM DE FÔRMA DE VIGA, ESCORAMENTO COM GARFO DE MADEIRA, PÉ-DIREITO SIMPLES, EM CHAPA DE MADEIRA PLASTIFICADA, 18 UTILIZAÇÕES. AF_09/2020</v>
      </c>
      <c r="C1692" s="271"/>
      <c r="D1692" s="271"/>
      <c r="E1692" s="272"/>
      <c r="I1692" s="5"/>
    </row>
    <row r="1693" spans="1:9" x14ac:dyDescent="0.2">
      <c r="A1693" s="3"/>
      <c r="B1693" s="91" t="s">
        <v>260</v>
      </c>
      <c r="C1693" s="91" t="s">
        <v>8</v>
      </c>
      <c r="D1693" s="91" t="s">
        <v>266</v>
      </c>
      <c r="E1693" s="91" t="s">
        <v>261</v>
      </c>
      <c r="F1693" s="91" t="s">
        <v>262</v>
      </c>
      <c r="G1693" s="91" t="s">
        <v>263</v>
      </c>
      <c r="H1693" s="91" t="s">
        <v>11</v>
      </c>
      <c r="I1693" s="5"/>
    </row>
    <row r="1694" spans="1:9" x14ac:dyDescent="0.2">
      <c r="A1694" s="3"/>
      <c r="B1694" s="23" t="s">
        <v>722</v>
      </c>
      <c r="C1694" s="161"/>
      <c r="D1694" s="161">
        <v>14.84</v>
      </c>
      <c r="E1694" s="161"/>
      <c r="F1694" s="161"/>
      <c r="G1694" s="161"/>
      <c r="H1694" s="8">
        <f>ROUND(IF(PRODUCT(IF(C1694=0,1,C1694),IF(D1694=0,1,D1694),IF(E1694=0,1,E1694),IF(F1694=0,1,F1694),IF(G1694=0,1,G1694))=1,0,PRODUCT(IF(C1694=0,1,C1694),IF(D1694=0,1,D1694),IF(E1694=0,1,E1694),IF(F1694=0,1,F1694),IF(G1694=0,1,G1694))),2)</f>
        <v>14.84</v>
      </c>
      <c r="I1694" s="5"/>
    </row>
    <row r="1695" spans="1:9" x14ac:dyDescent="0.2">
      <c r="A1695" s="3"/>
      <c r="B1695" s="6"/>
      <c r="C1695" s="198"/>
      <c r="D1695" s="198"/>
      <c r="E1695" s="198"/>
      <c r="F1695" s="161"/>
      <c r="G1695" s="161"/>
      <c r="H1695" s="8"/>
      <c r="I1695" s="5"/>
    </row>
    <row r="1696" spans="1:9" x14ac:dyDescent="0.2">
      <c r="A1696" s="3"/>
      <c r="C1696" s="10"/>
      <c r="D1696" s="10"/>
      <c r="E1696" s="9"/>
      <c r="F1696" s="94" t="s">
        <v>11</v>
      </c>
      <c r="G1696" s="95" t="s">
        <v>264</v>
      </c>
      <c r="H1696" s="11">
        <f>SUM(H1694:H1695)</f>
        <v>14.84</v>
      </c>
      <c r="I1696" s="12" t="s">
        <v>17</v>
      </c>
    </row>
    <row r="1697" spans="1:9" ht="22.9" customHeight="1" x14ac:dyDescent="0.2">
      <c r="A1697" s="3" t="str">
        <f>'Orçamento Sintético'!A352</f>
        <v>17.4.2</v>
      </c>
      <c r="B1697" s="270" t="str">
        <f>'Orçamento Sintético'!D352</f>
        <v>ARMAÇÃO DE PILAR OU VIGA DE ESTRUTURA CONVENCIONAL DE CONCRETO ARMADOUTILIZANDO AÇO CA-60 DE 5,0 MM - MONTAGEM. AF_06/2022</v>
      </c>
      <c r="C1697" s="271"/>
      <c r="D1697" s="271"/>
      <c r="E1697" s="272"/>
      <c r="I1697" s="5"/>
    </row>
    <row r="1698" spans="1:9" x14ac:dyDescent="0.2">
      <c r="A1698" s="3"/>
      <c r="B1698" s="91" t="s">
        <v>260</v>
      </c>
      <c r="C1698" s="91" t="s">
        <v>8</v>
      </c>
      <c r="D1698" s="91" t="s">
        <v>676</v>
      </c>
      <c r="E1698" s="91" t="s">
        <v>261</v>
      </c>
      <c r="F1698" s="91" t="s">
        <v>262</v>
      </c>
      <c r="G1698" s="91" t="s">
        <v>263</v>
      </c>
      <c r="H1698" s="91" t="s">
        <v>11</v>
      </c>
      <c r="I1698" s="5"/>
    </row>
    <row r="1699" spans="1:9" x14ac:dyDescent="0.2">
      <c r="A1699" s="3"/>
      <c r="B1699" s="23" t="s">
        <v>722</v>
      </c>
      <c r="C1699" s="161"/>
      <c r="D1699" s="161">
        <v>27</v>
      </c>
      <c r="E1699" s="161"/>
      <c r="F1699" s="161"/>
      <c r="G1699" s="161"/>
      <c r="H1699" s="8">
        <f>ROUND(IF(PRODUCT(IF(C1699=0,1,C1699),IF(D1699=0,1,D1699),IF(E1699=0,1,E1699),IF(F1699=0,1,F1699),IF(G1699=0,1,G1699))=1,0,PRODUCT(IF(C1699=0,1,C1699),IF(D1699=0,1,D1699),IF(E1699=0,1,E1699),IF(F1699=0,1,F1699),IF(G1699=0,1,G1699))),2)</f>
        <v>27</v>
      </c>
      <c r="I1699" s="5"/>
    </row>
    <row r="1700" spans="1:9" x14ac:dyDescent="0.2">
      <c r="A1700" s="3"/>
      <c r="B1700" s="6"/>
      <c r="C1700" s="7"/>
      <c r="D1700" s="7"/>
      <c r="E1700" s="7"/>
      <c r="F1700" s="7"/>
      <c r="G1700" s="7"/>
      <c r="H1700" s="8">
        <f>ROUND(IF(PRODUCT(IF(C1700=0,1,C1700),IF(E1700=0,1,E1700),IF(F1700=0,1,F1700),IF(G1700=0,1,G1700))=1,0,PRODUCT(IF(C1700=0,1,C1700),IF(E1700=0,1,E1700),IF(F1700=0,1,F1700),IF(G1700=0,1,G1700))),2)</f>
        <v>0</v>
      </c>
      <c r="I1700" s="5"/>
    </row>
    <row r="1701" spans="1:9" x14ac:dyDescent="0.2">
      <c r="A1701" s="3"/>
      <c r="C1701" s="10"/>
      <c r="D1701" s="10"/>
      <c r="E1701" s="9"/>
      <c r="F1701" s="94" t="s">
        <v>11</v>
      </c>
      <c r="G1701" s="95" t="s">
        <v>264</v>
      </c>
      <c r="H1701" s="11">
        <f>SUM(H1699:H1700)</f>
        <v>27</v>
      </c>
      <c r="I1701" s="12" t="s">
        <v>299</v>
      </c>
    </row>
    <row r="1702" spans="1:9" ht="22.9" customHeight="1" x14ac:dyDescent="0.2">
      <c r="A1702" s="3" t="str">
        <f>'Orçamento Sintético'!A353</f>
        <v>17.4.3</v>
      </c>
      <c r="B1702" s="270" t="str">
        <f>'Orçamento Sintético'!D353</f>
        <v>ARMAÇÃO DE PILAR OU VIGA DE ESTRUTURA CONVENCIONAL DE CONCRETO ARMADO UTILIZANDO AÇO CA-50 DE 6,3 MM - MONTAGEM. AF_06/2022</v>
      </c>
      <c r="C1702" s="271"/>
      <c r="D1702" s="271"/>
      <c r="E1702" s="272"/>
      <c r="I1702" s="5"/>
    </row>
    <row r="1703" spans="1:9" x14ac:dyDescent="0.2">
      <c r="A1703" s="3"/>
      <c r="B1703" s="91" t="s">
        <v>260</v>
      </c>
      <c r="C1703" s="91" t="s">
        <v>8</v>
      </c>
      <c r="D1703" s="91" t="s">
        <v>676</v>
      </c>
      <c r="E1703" s="91" t="s">
        <v>261</v>
      </c>
      <c r="F1703" s="91" t="s">
        <v>262</v>
      </c>
      <c r="G1703" s="91" t="s">
        <v>263</v>
      </c>
      <c r="H1703" s="91" t="s">
        <v>11</v>
      </c>
      <c r="I1703" s="5"/>
    </row>
    <row r="1704" spans="1:9" x14ac:dyDescent="0.2">
      <c r="A1704" s="3"/>
      <c r="B1704" s="23" t="s">
        <v>722</v>
      </c>
      <c r="C1704" s="161"/>
      <c r="D1704" s="161">
        <v>42</v>
      </c>
      <c r="E1704" s="161"/>
      <c r="F1704" s="161"/>
      <c r="G1704" s="161"/>
      <c r="H1704" s="8">
        <f>ROUND(IF(PRODUCT(IF(C1704=0,1,C1704),IF(D1704=0,1,D1704),IF(E1704=0,1,E1704),IF(F1704=0,1,F1704),IF(G1704=0,1,G1704))=1,0,PRODUCT(IF(C1704=0,1,C1704),IF(D1704=0,1,D1704),IF(E1704=0,1,E1704),IF(F1704=0,1,F1704),IF(G1704=0,1,G1704))),2)</f>
        <v>42</v>
      </c>
      <c r="I1704" s="5"/>
    </row>
    <row r="1705" spans="1:9" x14ac:dyDescent="0.2">
      <c r="A1705" s="3"/>
      <c r="B1705" s="6"/>
      <c r="C1705" s="7"/>
      <c r="D1705" s="7"/>
      <c r="E1705" s="7"/>
      <c r="F1705" s="7"/>
      <c r="G1705" s="7"/>
      <c r="H1705" s="8">
        <f>ROUND(IF(PRODUCT(IF(C1705=0,1,C1705),IF(E1705=0,1,E1705),IF(F1705=0,1,F1705),IF(G1705=0,1,G1705))=1,0,PRODUCT(IF(C1705=0,1,C1705),IF(E1705=0,1,E1705),IF(F1705=0,1,F1705),IF(G1705=0,1,G1705))),2)</f>
        <v>0</v>
      </c>
      <c r="I1705" s="5"/>
    </row>
    <row r="1706" spans="1:9" x14ac:dyDescent="0.2">
      <c r="A1706" s="3"/>
      <c r="C1706" s="10"/>
      <c r="D1706" s="10"/>
      <c r="E1706" s="9"/>
      <c r="F1706" s="94" t="s">
        <v>11</v>
      </c>
      <c r="G1706" s="95" t="s">
        <v>264</v>
      </c>
      <c r="H1706" s="11">
        <f>SUM(H1704:H1704)</f>
        <v>42</v>
      </c>
      <c r="I1706" s="12" t="s">
        <v>299</v>
      </c>
    </row>
    <row r="1707" spans="1:9" ht="22.9" customHeight="1" x14ac:dyDescent="0.2">
      <c r="A1707" s="3" t="str">
        <f>'Orçamento Sintético'!A354</f>
        <v>17.4.4</v>
      </c>
      <c r="B1707" s="270" t="str">
        <f>'Orçamento Sintético'!D354</f>
        <v>ARMAÇÃO DE PILAR OU VIGA DE ESTRUTURA CONVENCIONAL DE CONCRETO ARMADO UTILIZANDO AÇO CA-50 DE 10,0 MM - MONTAGEM. AF_06/2022</v>
      </c>
      <c r="C1707" s="271"/>
      <c r="D1707" s="271"/>
      <c r="E1707" s="272"/>
      <c r="I1707" s="5"/>
    </row>
    <row r="1708" spans="1:9" x14ac:dyDescent="0.2">
      <c r="A1708" s="3"/>
      <c r="B1708" s="91" t="s">
        <v>260</v>
      </c>
      <c r="C1708" s="91" t="s">
        <v>8</v>
      </c>
      <c r="D1708" s="91" t="s">
        <v>676</v>
      </c>
      <c r="E1708" s="91" t="s">
        <v>261</v>
      </c>
      <c r="F1708" s="91" t="s">
        <v>262</v>
      </c>
      <c r="G1708" s="91" t="s">
        <v>263</v>
      </c>
      <c r="H1708" s="91" t="s">
        <v>11</v>
      </c>
      <c r="I1708" s="5"/>
    </row>
    <row r="1709" spans="1:9" x14ac:dyDescent="0.2">
      <c r="A1709" s="3"/>
      <c r="B1709" s="23" t="s">
        <v>722</v>
      </c>
      <c r="C1709" s="161"/>
      <c r="D1709" s="161">
        <v>6</v>
      </c>
      <c r="E1709" s="161"/>
      <c r="F1709" s="161"/>
      <c r="G1709" s="161"/>
      <c r="H1709" s="8">
        <f>ROUND(IF(PRODUCT(IF(C1709=0,1,C1709),IF(D1709=0,1,D1709),IF(E1709=0,1,E1709),IF(F1709=0,1,F1709),IF(G1709=0,1,G1709))=1,0,PRODUCT(IF(C1709=0,1,C1709),IF(D1709=0,1,D1709),IF(E1709=0,1,E1709),IF(F1709=0,1,F1709),IF(G1709=0,1,G1709))),2)</f>
        <v>6</v>
      </c>
      <c r="I1709" s="5"/>
    </row>
    <row r="1710" spans="1:9" x14ac:dyDescent="0.2">
      <c r="A1710" s="3"/>
      <c r="B1710" s="6"/>
      <c r="C1710" s="7"/>
      <c r="D1710" s="7"/>
      <c r="E1710" s="7"/>
      <c r="F1710" s="7"/>
      <c r="G1710" s="7"/>
      <c r="H1710" s="8">
        <f>ROUND(IF(PRODUCT(IF(C1710=0,1,C1710),IF(E1710=0,1,E1710),IF(F1710=0,1,F1710),IF(G1710=0,1,G1710))=1,0,PRODUCT(IF(C1710=0,1,C1710),IF(E1710=0,1,E1710),IF(F1710=0,1,F1710),IF(G1710=0,1,G1710))),2)</f>
        <v>0</v>
      </c>
      <c r="I1710" s="5"/>
    </row>
    <row r="1711" spans="1:9" x14ac:dyDescent="0.2">
      <c r="A1711" s="3"/>
      <c r="C1711" s="10"/>
      <c r="D1711" s="10"/>
      <c r="E1711" s="9"/>
      <c r="F1711" s="94" t="s">
        <v>11</v>
      </c>
      <c r="G1711" s="95" t="s">
        <v>264</v>
      </c>
      <c r="H1711" s="11">
        <f>SUM(H1709:H1709)</f>
        <v>6</v>
      </c>
      <c r="I1711" s="12" t="s">
        <v>299</v>
      </c>
    </row>
    <row r="1712" spans="1:9" ht="24.75" customHeight="1" x14ac:dyDescent="0.2">
      <c r="A1712" s="3" t="str">
        <f>'Orçamento Sintético'!A355</f>
        <v>17.4.5</v>
      </c>
      <c r="B1712" s="270" t="str">
        <f>'Orçamento Sintético'!D355</f>
        <v>CONCRETAGEM DE VIGAS E LAJES, FCK=25 MPA, PARA LAJES PREMOLDADAS COM USO DE BOMBA - LANÇAMENTO, ADENSAMENTO E ACABAMENTO. AF_02/2022_PS</v>
      </c>
      <c r="C1712" s="271"/>
      <c r="D1712" s="271"/>
      <c r="E1712" s="272"/>
      <c r="I1712" s="5"/>
    </row>
    <row r="1713" spans="1:9" x14ac:dyDescent="0.2">
      <c r="A1713" s="3"/>
      <c r="B1713" s="91" t="s">
        <v>260</v>
      </c>
      <c r="C1713" s="91" t="s">
        <v>8</v>
      </c>
      <c r="D1713" s="91" t="s">
        <v>266</v>
      </c>
      <c r="E1713" s="91" t="s">
        <v>261</v>
      </c>
      <c r="F1713" s="91" t="s">
        <v>262</v>
      </c>
      <c r="G1713" s="91" t="s">
        <v>263</v>
      </c>
      <c r="H1713" s="91" t="s">
        <v>11</v>
      </c>
      <c r="I1713" s="5"/>
    </row>
    <row r="1714" spans="1:9" x14ac:dyDescent="0.2">
      <c r="A1714" s="3"/>
      <c r="B1714" s="23" t="s">
        <v>722</v>
      </c>
      <c r="C1714" s="161"/>
      <c r="D1714" s="161"/>
      <c r="E1714" s="161"/>
      <c r="F1714" s="161"/>
      <c r="G1714" s="161"/>
      <c r="H1714" s="8"/>
      <c r="I1714" s="5"/>
    </row>
    <row r="1715" spans="1:9" x14ac:dyDescent="0.2">
      <c r="A1715" s="3"/>
      <c r="B1715" s="6" t="s">
        <v>566</v>
      </c>
      <c r="C1715" s="161"/>
      <c r="D1715" s="161">
        <v>1.67</v>
      </c>
      <c r="E1715" s="198"/>
      <c r="F1715" s="161"/>
      <c r="G1715" s="161"/>
      <c r="H1715" s="8">
        <f>ROUND(IF(PRODUCT(IF(C1715=0,1,C1715),IF(D1715=0,1,D1715),IF(E1715=0,1,E1715),IF(F1715=0,1,F1715),IF(G1715=0,1,G1715))=1,0,PRODUCT(IF(C1715=0,1,C1715),IF(D1715=0,1,D1715),IF(E1715=0,1,E1715),IF(F1715=0,1,F1715),IF(G1715=0,1,G1715))),2)</f>
        <v>1.67</v>
      </c>
      <c r="I1715" s="5"/>
    </row>
    <row r="1716" spans="1:9" x14ac:dyDescent="0.2">
      <c r="A1716" s="3"/>
      <c r="B1716" s="6"/>
      <c r="C1716" s="198"/>
      <c r="D1716" s="198"/>
      <c r="E1716" s="198"/>
      <c r="F1716" s="161"/>
      <c r="G1716" s="161"/>
      <c r="H1716" s="8"/>
      <c r="I1716" s="5"/>
    </row>
    <row r="1717" spans="1:9" x14ac:dyDescent="0.2">
      <c r="A1717" s="3"/>
      <c r="C1717" s="10"/>
      <c r="D1717" s="10"/>
      <c r="E1717" s="9"/>
      <c r="F1717" s="94" t="s">
        <v>11</v>
      </c>
      <c r="G1717" s="95" t="s">
        <v>264</v>
      </c>
      <c r="H1717" s="11">
        <f>SUM(H1714:H1716)</f>
        <v>1.67</v>
      </c>
      <c r="I1717" s="12" t="s">
        <v>24</v>
      </c>
    </row>
    <row r="1718" spans="1:9" x14ac:dyDescent="0.2">
      <c r="A1718" s="96" t="str">
        <f>'Orçamento Sintético'!A356</f>
        <v>17.5</v>
      </c>
      <c r="B1718" s="97" t="str">
        <f>'Orçamento Sintético'!D356</f>
        <v>LAJES</v>
      </c>
      <c r="C1718" s="273"/>
      <c r="D1718" s="274"/>
      <c r="E1718" s="274"/>
      <c r="F1718" s="274"/>
      <c r="G1718" s="274"/>
      <c r="H1718" s="274"/>
      <c r="I1718" s="275"/>
    </row>
    <row r="1719" spans="1:9" ht="24.75" customHeight="1" x14ac:dyDescent="0.2">
      <c r="A1719" s="3" t="str">
        <f>'Orçamento Sintético'!A357</f>
        <v>17.5.1</v>
      </c>
      <c r="B1719" s="270" t="str">
        <f>'Orçamento Sintético'!D357</f>
        <v>LAJE PRÉ-FABRICADA TRELIÇADA PARA PISO OU COBERTURA, INTEREIXO 38CM, H=12CM, EL. ENCHIMENTO EM EPS H=8CM, INCLUSIVE ESCORAMENTO EM MADEIRA E CAPEAMENTO 4CM</v>
      </c>
      <c r="C1719" s="271"/>
      <c r="D1719" s="271"/>
      <c r="E1719" s="272"/>
      <c r="I1719" s="5"/>
    </row>
    <row r="1720" spans="1:9" x14ac:dyDescent="0.2">
      <c r="A1720" s="3"/>
      <c r="B1720" s="91" t="s">
        <v>260</v>
      </c>
      <c r="C1720" s="91" t="s">
        <v>8</v>
      </c>
      <c r="D1720" s="91" t="s">
        <v>266</v>
      </c>
      <c r="E1720" s="91" t="s">
        <v>261</v>
      </c>
      <c r="F1720" s="91" t="s">
        <v>262</v>
      </c>
      <c r="G1720" s="91" t="s">
        <v>263</v>
      </c>
      <c r="H1720" s="91" t="s">
        <v>11</v>
      </c>
      <c r="I1720" s="5"/>
    </row>
    <row r="1721" spans="1:9" x14ac:dyDescent="0.2">
      <c r="A1721" s="3"/>
      <c r="B1721" s="23" t="s">
        <v>722</v>
      </c>
      <c r="C1721" s="161"/>
      <c r="D1721" s="161"/>
      <c r="E1721" s="161"/>
      <c r="F1721" s="161"/>
      <c r="G1721" s="161"/>
      <c r="H1721" s="8"/>
      <c r="I1721" s="5"/>
    </row>
    <row r="1722" spans="1:9" x14ac:dyDescent="0.2">
      <c r="A1722" s="3"/>
      <c r="B1722" s="6" t="s">
        <v>566</v>
      </c>
      <c r="C1722" s="161"/>
      <c r="D1722" s="161">
        <v>1.08</v>
      </c>
      <c r="E1722" s="198"/>
      <c r="F1722" s="161"/>
      <c r="G1722" s="161"/>
      <c r="H1722" s="8">
        <f>ROUND(IF(PRODUCT(IF(C1722=0,1,C1722),IF(D1722=0,1,D1722),IF(E1722=0,1,E1722),IF(F1722=0,1,F1722),IF(G1722=0,1,G1722))=1,0,PRODUCT(IF(C1722=0,1,C1722),IF(D1722=0,1,D1722),IF(E1722=0,1,E1722),IF(F1722=0,1,F1722),IF(G1722=0,1,G1722))),2)</f>
        <v>1.08</v>
      </c>
      <c r="I1722" s="5"/>
    </row>
    <row r="1723" spans="1:9" x14ac:dyDescent="0.2">
      <c r="A1723" s="3"/>
      <c r="B1723" s="6"/>
      <c r="C1723" s="7"/>
      <c r="D1723" s="7"/>
      <c r="E1723" s="7"/>
      <c r="F1723" s="7"/>
      <c r="G1723" s="7"/>
      <c r="H1723" s="8">
        <f>ROUND(IF(PRODUCT(IF(C1723=0,1,C1723),IF(E1723=0,1,E1723),IF(F1723=0,1,F1723),IF(G1723=0,1,G1723))=1,0,PRODUCT(IF(C1723=0,1,C1723),IF(E1723=0,1,E1723),IF(F1723=0,1,F1723),IF(G1723=0,1,G1723))),2)</f>
        <v>0</v>
      </c>
      <c r="I1723" s="5"/>
    </row>
    <row r="1724" spans="1:9" x14ac:dyDescent="0.2">
      <c r="A1724" s="3"/>
      <c r="C1724" s="10"/>
      <c r="D1724" s="10"/>
      <c r="E1724" s="9"/>
      <c r="F1724" s="94" t="s">
        <v>11</v>
      </c>
      <c r="G1724" s="95" t="s">
        <v>264</v>
      </c>
      <c r="H1724" s="11">
        <f>SUM(H1721:H1722)</f>
        <v>1.08</v>
      </c>
      <c r="I1724" s="12" t="s">
        <v>17</v>
      </c>
    </row>
    <row r="1725" spans="1:9" x14ac:dyDescent="0.2">
      <c r="A1725" s="96" t="str">
        <f>'Orçamento Sintético'!A358</f>
        <v>17.6</v>
      </c>
      <c r="B1725" s="97" t="str">
        <f>'Orçamento Sintético'!D358</f>
        <v>ALVENARIA E VEDAÇÕES</v>
      </c>
      <c r="C1725" s="273"/>
      <c r="D1725" s="274"/>
      <c r="E1725" s="274"/>
      <c r="F1725" s="274"/>
      <c r="G1725" s="274"/>
      <c r="H1725" s="274"/>
      <c r="I1725" s="275"/>
    </row>
    <row r="1726" spans="1:9" ht="23.25" customHeight="1" x14ac:dyDescent="0.2">
      <c r="A1726" s="3" t="str">
        <f>'Orçamento Sintético'!A359</f>
        <v>17.6.1</v>
      </c>
      <c r="B1726" s="270" t="str">
        <f>'Orçamento Sintético'!D359</f>
        <v>ALVENARIA DE VEDAÇÃO DE BLOCOS CERÂMICOS FURADOS NA HORIZONTAL DE 9X19X19 CM (ESPESSURA 9 CM) E ARGAMASSA DE ASSENTAMENTO COM PREPARO EM BETONEIRA. AF_12/2021</v>
      </c>
      <c r="C1726" s="271"/>
      <c r="D1726" s="271"/>
      <c r="E1726" s="272"/>
      <c r="I1726" s="5"/>
    </row>
    <row r="1727" spans="1:9" x14ac:dyDescent="0.2">
      <c r="A1727" s="3"/>
      <c r="B1727" s="91" t="s">
        <v>260</v>
      </c>
      <c r="C1727" s="91" t="s">
        <v>8</v>
      </c>
      <c r="D1727" s="91" t="s">
        <v>266</v>
      </c>
      <c r="E1727" s="91" t="s">
        <v>261</v>
      </c>
      <c r="F1727" s="91" t="s">
        <v>262</v>
      </c>
      <c r="G1727" s="91" t="s">
        <v>263</v>
      </c>
      <c r="H1727" s="91" t="s">
        <v>11</v>
      </c>
      <c r="I1727" s="5"/>
    </row>
    <row r="1728" spans="1:9" x14ac:dyDescent="0.2">
      <c r="A1728" s="3"/>
      <c r="B1728" s="23" t="s">
        <v>722</v>
      </c>
      <c r="C1728" s="7"/>
      <c r="D1728" s="7"/>
      <c r="E1728" s="7"/>
      <c r="F1728" s="7"/>
      <c r="G1728" s="7"/>
      <c r="H1728" s="8"/>
      <c r="I1728" s="5"/>
    </row>
    <row r="1729" spans="1:11" x14ac:dyDescent="0.2">
      <c r="A1729" s="3"/>
      <c r="B1729" s="6" t="s">
        <v>732</v>
      </c>
      <c r="C1729" s="7"/>
      <c r="D1729" s="7"/>
      <c r="E1729" s="161">
        <f>4.44+0.2+0.9+0.85+4.94+0.35+1.79+0.9+0.2+1.29+0.85+0.35</f>
        <v>17.060000000000006</v>
      </c>
      <c r="F1729" s="161"/>
      <c r="G1729" s="161">
        <v>2.85</v>
      </c>
      <c r="H1729" s="8">
        <f>ROUND(IF(PRODUCT(IF(C1729=0,1,C1729),IF(D1729=0,1,D1729),IF(E1729=0,1,E1729),IF(F1729=0,1,F1729),IF(G1729=0,1,G1729))=1,0,PRODUCT(IF(C1729=0,1,C1729),IF(D1729=0,1,D1729),IF(E1729=0,1,E1729),IF(F1729=0,1,F1729),IF(G1729=0,1,G1729))),2)</f>
        <v>48.62</v>
      </c>
      <c r="I1729" s="5"/>
    </row>
    <row r="1730" spans="1:11" x14ac:dyDescent="0.2">
      <c r="A1730" s="3"/>
      <c r="B1730" s="6" t="s">
        <v>733</v>
      </c>
      <c r="C1730" s="7"/>
      <c r="D1730" s="7"/>
      <c r="E1730" s="161">
        <f>4.3+0.2</f>
        <v>4.5</v>
      </c>
      <c r="F1730" s="161"/>
      <c r="G1730" s="161">
        <v>0.3</v>
      </c>
      <c r="H1730" s="8">
        <f>ROUND(IF(PRODUCT(IF(C1730=0,1,C1730),IF(D1730=0,1,D1730),IF(E1730=0,1,E1730),IF(F1730=0,1,F1730),IF(G1730=0,1,G1730))=1,0,PRODUCT(IF(C1730=0,1,C1730),IF(D1730=0,1,D1730),IF(E1730=0,1,E1730),IF(F1730=0,1,F1730),IF(G1730=0,1,G1730))),2)</f>
        <v>1.35</v>
      </c>
      <c r="I1730" s="5"/>
    </row>
    <row r="1731" spans="1:11" x14ac:dyDescent="0.2">
      <c r="A1731" s="3"/>
      <c r="B1731" s="6"/>
      <c r="C1731" s="7"/>
      <c r="D1731" s="7"/>
      <c r="E1731" s="7"/>
      <c r="F1731" s="7"/>
      <c r="G1731" s="7"/>
      <c r="H1731" s="8">
        <f>ROUND(IF(PRODUCT(IF(C1731=0,1,C1731),IF(E1731=0,1,E1731),IF(F1731=0,1,F1731),IF(G1731=0,1,G1731))=1,0,PRODUCT(IF(C1731=0,1,C1731),IF(E1731=0,1,E1731),IF(F1731=0,1,F1731),IF(G1731=0,1,G1731))),2)</f>
        <v>0</v>
      </c>
      <c r="I1731" s="5"/>
    </row>
    <row r="1732" spans="1:11" x14ac:dyDescent="0.2">
      <c r="A1732" s="3"/>
      <c r="C1732" s="10"/>
      <c r="D1732" s="10"/>
      <c r="E1732" s="9"/>
      <c r="F1732" s="94" t="s">
        <v>11</v>
      </c>
      <c r="G1732" s="95" t="s">
        <v>264</v>
      </c>
      <c r="H1732" s="11">
        <f>SUM(H1728:H1730)</f>
        <v>49.97</v>
      </c>
      <c r="I1732" s="12" t="s">
        <v>17</v>
      </c>
    </row>
    <row r="1733" spans="1:11" x14ac:dyDescent="0.2">
      <c r="A1733" s="96" t="str">
        <f>'Orçamento Sintético'!A360</f>
        <v>17.7</v>
      </c>
      <c r="B1733" s="97" t="str">
        <f>'Orçamento Sintético'!D360</f>
        <v>CHAPISCO / REBOCO</v>
      </c>
      <c r="C1733" s="273"/>
      <c r="D1733" s="274"/>
      <c r="E1733" s="274"/>
      <c r="F1733" s="274"/>
      <c r="G1733" s="274"/>
      <c r="H1733" s="274"/>
      <c r="I1733" s="275"/>
    </row>
    <row r="1734" spans="1:11" ht="24" customHeight="1" x14ac:dyDescent="0.2">
      <c r="A1734" s="3" t="str">
        <f>'Orçamento Sintético'!A361</f>
        <v>17.7.1</v>
      </c>
      <c r="B1734" s="270" t="str">
        <f>'Orçamento Sintético'!D361</f>
        <v>CHAPISCO APLICADO EM ALVENARIA (COM PRESENÇA DE VÃOS) E ESTRUTURAS DE CONCRETO DE FACHADA, COM COLHER DE PEDREIRO. ARGAMASSA TRAÇO 1:3 COM PREPARO EM BETONEIRA 400L. AF_10/2022</v>
      </c>
      <c r="C1734" s="271"/>
      <c r="D1734" s="271"/>
      <c r="E1734" s="272"/>
      <c r="I1734" s="5"/>
    </row>
    <row r="1735" spans="1:11" x14ac:dyDescent="0.2">
      <c r="A1735" s="3"/>
      <c r="B1735" s="91" t="s">
        <v>260</v>
      </c>
      <c r="C1735" s="91" t="s">
        <v>8</v>
      </c>
      <c r="D1735" s="91" t="s">
        <v>266</v>
      </c>
      <c r="E1735" s="91" t="s">
        <v>261</v>
      </c>
      <c r="F1735" s="91" t="s">
        <v>262</v>
      </c>
      <c r="G1735" s="91" t="s">
        <v>263</v>
      </c>
      <c r="H1735" s="91" t="s">
        <v>11</v>
      </c>
      <c r="I1735" s="5"/>
    </row>
    <row r="1736" spans="1:11" x14ac:dyDescent="0.2">
      <c r="A1736" s="3"/>
      <c r="B1736" s="23" t="s">
        <v>722</v>
      </c>
      <c r="C1736" s="7"/>
      <c r="D1736" s="7"/>
      <c r="E1736" s="7"/>
      <c r="F1736" s="7"/>
      <c r="G1736" s="7"/>
      <c r="H1736" s="8"/>
      <c r="I1736" s="5"/>
      <c r="J1736" s="19"/>
    </row>
    <row r="1737" spans="1:11" x14ac:dyDescent="0.2">
      <c r="A1737" s="3"/>
      <c r="B1737" s="6" t="s">
        <v>554</v>
      </c>
      <c r="C1737" s="7"/>
      <c r="D1737" s="7"/>
      <c r="E1737" s="161">
        <f>12.28+6</f>
        <v>18.28</v>
      </c>
      <c r="F1737" s="161"/>
      <c r="G1737" s="161">
        <v>2.85</v>
      </c>
      <c r="H1737" s="8">
        <f>ROUND(IF(PRODUCT(IF(C1737=0,1,C1737),IF(D1737=0,1,D1737),IF(E1737=0,1,E1737),IF(F1737=0,1,F1737),IF(G1737=0,1,G1737))=1,0,PRODUCT(IF(C1737=0,1,C1737),IF(D1737=0,1,D1737),IF(E1737=0,1,E1737),IF(F1737=0,1,F1737),IF(G1737=0,1,G1737))),2)</f>
        <v>52.1</v>
      </c>
      <c r="I1737" s="5"/>
      <c r="J1737" s="19"/>
      <c r="K1737" s="19"/>
    </row>
    <row r="1738" spans="1:11" x14ac:dyDescent="0.2">
      <c r="A1738" s="3"/>
      <c r="B1738" s="6" t="s">
        <v>733</v>
      </c>
      <c r="C1738" s="7">
        <v>2</v>
      </c>
      <c r="D1738" s="7"/>
      <c r="E1738" s="161">
        <f>4.3+0.35</f>
        <v>4.6499999999999995</v>
      </c>
      <c r="F1738" s="161"/>
      <c r="G1738" s="161">
        <v>0.3</v>
      </c>
      <c r="H1738" s="8">
        <f>ROUND(IF(PRODUCT(IF(C1738=0,1,C1738),IF(D1738=0,1,D1738),IF(E1738=0,1,E1738),IF(F1738=0,1,F1738),IF(G1738=0,1,G1738))=1,0,PRODUCT(IF(C1738=0,1,C1738),IF(D1738=0,1,D1738),IF(E1738=0,1,E1738),IF(F1738=0,1,F1738),IF(G1738=0,1,G1738))),2)</f>
        <v>2.79</v>
      </c>
      <c r="I1738" s="5"/>
    </row>
    <row r="1739" spans="1:11" x14ac:dyDescent="0.2">
      <c r="A1739" s="3"/>
      <c r="B1739" s="6"/>
      <c r="C1739" s="7"/>
      <c r="D1739" s="7"/>
      <c r="E1739" s="7"/>
      <c r="F1739" s="7"/>
      <c r="G1739" s="7"/>
      <c r="H1739" s="8">
        <f>ROUND(IF(PRODUCT(IF(C1739=0,1,C1739),IF(E1739=0,1,E1739),IF(F1739=0,1,F1739),IF(G1739=0,1,G1739))=1,0,PRODUCT(IF(C1739=0,1,C1739),IF(E1739=0,1,E1739),IF(F1739=0,1,F1739),IF(G1739=0,1,G1739))),2)</f>
        <v>0</v>
      </c>
      <c r="I1739" s="5"/>
    </row>
    <row r="1740" spans="1:11" x14ac:dyDescent="0.2">
      <c r="A1740" s="3"/>
      <c r="C1740" s="10"/>
      <c r="D1740" s="10"/>
      <c r="E1740" s="9"/>
      <c r="F1740" s="94" t="s">
        <v>11</v>
      </c>
      <c r="G1740" s="95" t="s">
        <v>264</v>
      </c>
      <c r="H1740" s="11">
        <f>SUM(H1736:H1738)</f>
        <v>54.89</v>
      </c>
      <c r="I1740" s="12" t="s">
        <v>17</v>
      </c>
    </row>
    <row r="1741" spans="1:11" ht="24.75" customHeight="1" x14ac:dyDescent="0.2">
      <c r="A1741" s="3" t="str">
        <f>'Orçamento Sintético'!A362</f>
        <v>17.7.2</v>
      </c>
      <c r="B1741" s="270" t="str">
        <f>'Orçamento Sintético'!D362</f>
        <v>EMBOÇO OU MASSA ÚNICA EM ARGAMASSA TRAÇO 1:2:8, PREPARO MANUAL, APLICADA MANUALMENTE EM PANOS DE FACHADA COM PRESENÇA DE VÃOS, ESPESSURA DE 25 MM. AF_08/2022</v>
      </c>
      <c r="C1741" s="271"/>
      <c r="D1741" s="271"/>
      <c r="E1741" s="272"/>
      <c r="I1741" s="5"/>
    </row>
    <row r="1742" spans="1:11" x14ac:dyDescent="0.2">
      <c r="A1742" s="3"/>
      <c r="B1742" s="91" t="s">
        <v>260</v>
      </c>
      <c r="C1742" s="91" t="s">
        <v>8</v>
      </c>
      <c r="D1742" s="91" t="s">
        <v>266</v>
      </c>
      <c r="E1742" s="91" t="s">
        <v>261</v>
      </c>
      <c r="F1742" s="91" t="s">
        <v>262</v>
      </c>
      <c r="G1742" s="91" t="s">
        <v>263</v>
      </c>
      <c r="H1742" s="91" t="s">
        <v>11</v>
      </c>
      <c r="I1742" s="5"/>
    </row>
    <row r="1743" spans="1:11" x14ac:dyDescent="0.2">
      <c r="A1743" s="3"/>
      <c r="B1743" s="6"/>
      <c r="C1743" s="7"/>
      <c r="D1743" s="7">
        <f>H1740</f>
        <v>54.89</v>
      </c>
      <c r="E1743" s="7"/>
      <c r="F1743" s="7"/>
      <c r="G1743" s="7"/>
      <c r="H1743" s="8">
        <f>ROUND(IF(PRODUCT(IF(C1743=0,1,C1743),IF(D1743=0,1,D1743),IF(E1743=0,1,E1743),IF(F1743=0,1,F1743),IF(G1743=0,1,G1743))=1,0,PRODUCT(IF(C1743=0,1,C1743),IF(D1743=0,1,D1743),IF(E1743=0,1,E1743),IF(F1743=0,1,F1743),IF(G1743=0,1,G1743))),2)</f>
        <v>54.89</v>
      </c>
      <c r="I1743" s="5"/>
    </row>
    <row r="1744" spans="1:11" x14ac:dyDescent="0.2">
      <c r="A1744" s="3"/>
      <c r="B1744" s="6"/>
      <c r="C1744" s="7"/>
      <c r="D1744" s="7"/>
      <c r="E1744" s="7"/>
      <c r="F1744" s="7"/>
      <c r="G1744" s="7"/>
      <c r="H1744" s="8">
        <f>ROUND(IF(PRODUCT(IF(C1744=0,1,C1744),IF(E1744=0,1,E1744),IF(F1744=0,1,F1744),IF(G1744=0,1,G1744))=1,0,PRODUCT(IF(C1744=0,1,C1744),IF(E1744=0,1,E1744),IF(F1744=0,1,F1744),IF(G1744=0,1,G1744))),2)</f>
        <v>0</v>
      </c>
      <c r="I1744" s="5"/>
    </row>
    <row r="1745" spans="1:11" x14ac:dyDescent="0.2">
      <c r="A1745" s="3"/>
      <c r="C1745" s="10"/>
      <c r="D1745" s="10"/>
      <c r="E1745" s="9"/>
      <c r="F1745" s="94" t="s">
        <v>11</v>
      </c>
      <c r="G1745" s="95" t="s">
        <v>264</v>
      </c>
      <c r="H1745" s="11">
        <f>SUM(H1743:H1743)</f>
        <v>54.89</v>
      </c>
      <c r="I1745" s="12" t="s">
        <v>17</v>
      </c>
    </row>
    <row r="1746" spans="1:11" ht="15" customHeight="1" x14ac:dyDescent="0.2">
      <c r="A1746" s="96" t="str">
        <f>'Orçamento Sintético'!A363</f>
        <v>17.8</v>
      </c>
      <c r="B1746" s="97" t="str">
        <f>'Orçamento Sintético'!D363</f>
        <v>REVESTIMENTO EM RIPADO DO PORTICO</v>
      </c>
      <c r="C1746" s="273"/>
      <c r="D1746" s="274"/>
      <c r="E1746" s="274"/>
      <c r="F1746" s="274"/>
      <c r="G1746" s="274"/>
      <c r="H1746" s="274"/>
      <c r="I1746" s="275"/>
    </row>
    <row r="1747" spans="1:11" ht="14.25" customHeight="1" x14ac:dyDescent="0.2">
      <c r="A1747" s="3" t="str">
        <f>'Orçamento Sintético'!A364</f>
        <v>17.8.1</v>
      </c>
      <c r="B1747" s="270" t="str">
        <f>'Orçamento Sintético'!D364</f>
        <v>PAINEL RIPADO EM ALUMÍNIO AMADEIRADO, NO PADRÃO FREIJÓ, INSTALADO.</v>
      </c>
      <c r="C1747" s="271"/>
      <c r="D1747" s="271"/>
      <c r="E1747" s="272"/>
      <c r="I1747" s="5"/>
    </row>
    <row r="1748" spans="1:11" x14ac:dyDescent="0.2">
      <c r="A1748" s="3"/>
      <c r="B1748" s="91" t="s">
        <v>260</v>
      </c>
      <c r="C1748" s="91" t="s">
        <v>8</v>
      </c>
      <c r="D1748" s="91" t="s">
        <v>266</v>
      </c>
      <c r="E1748" s="91" t="s">
        <v>261</v>
      </c>
      <c r="F1748" s="91" t="s">
        <v>262</v>
      </c>
      <c r="G1748" s="91" t="s">
        <v>263</v>
      </c>
      <c r="H1748" s="91" t="s">
        <v>11</v>
      </c>
      <c r="I1748" s="5"/>
    </row>
    <row r="1749" spans="1:11" x14ac:dyDescent="0.2">
      <c r="A1749" s="3"/>
      <c r="B1749" s="6"/>
      <c r="C1749" s="7"/>
      <c r="D1749" s="161"/>
      <c r="E1749" s="7">
        <v>4.5</v>
      </c>
      <c r="F1749" s="7"/>
      <c r="G1749" s="7">
        <v>2.5499999999999998</v>
      </c>
      <c r="H1749" s="8">
        <f>ROUND(IF(PRODUCT(IF(C1749=0,1,C1749),IF(D1749=0,1,D1749),IF(E1749=0,1,E1749),IF(F1749=0,1,F1749),IF(G1749=0,1,G1749))=1,0,PRODUCT(IF(C1749=0,1,C1749),IF(D1749=0,1,D1749),IF(E1749=0,1,E1749),IF(F1749=0,1,F1749),IF(G1749=0,1,G1749))),2)</f>
        <v>11.48</v>
      </c>
      <c r="I1749" s="5"/>
    </row>
    <row r="1750" spans="1:11" x14ac:dyDescent="0.2">
      <c r="A1750" s="3"/>
      <c r="B1750" s="6"/>
      <c r="C1750" s="7"/>
      <c r="D1750" s="7"/>
      <c r="E1750" s="7"/>
      <c r="F1750" s="7"/>
      <c r="G1750" s="7"/>
      <c r="H1750" s="8">
        <f>ROUND(IF(PRODUCT(IF(C1750=0,1,C1750),IF(E1750=0,1,E1750),IF(F1750=0,1,F1750),IF(G1750=0,1,G1750))=1,0,PRODUCT(IF(C1750=0,1,C1750),IF(E1750=0,1,E1750),IF(F1750=0,1,F1750),IF(G1750=0,1,G1750))),2)</f>
        <v>0</v>
      </c>
      <c r="I1750" s="5"/>
    </row>
    <row r="1751" spans="1:11" x14ac:dyDescent="0.2">
      <c r="A1751" s="3"/>
      <c r="C1751" s="10"/>
      <c r="D1751" s="10"/>
      <c r="E1751" s="9"/>
      <c r="F1751" s="94" t="s">
        <v>11</v>
      </c>
      <c r="G1751" s="95" t="s">
        <v>264</v>
      </c>
      <c r="H1751" s="11">
        <f>SUM(H1749:H1749)</f>
        <v>11.48</v>
      </c>
      <c r="I1751" s="12" t="s">
        <v>17</v>
      </c>
    </row>
    <row r="1752" spans="1:11" ht="15" customHeight="1" x14ac:dyDescent="0.2">
      <c r="A1752" s="96" t="str">
        <f>'Orçamento Sintético'!A365</f>
        <v>17.9</v>
      </c>
      <c r="B1752" s="97" t="str">
        <f>'Orçamento Sintético'!D365</f>
        <v>PINTURA</v>
      </c>
      <c r="C1752" s="273"/>
      <c r="D1752" s="274"/>
      <c r="E1752" s="274"/>
      <c r="F1752" s="274"/>
      <c r="G1752" s="274"/>
      <c r="H1752" s="274"/>
      <c r="I1752" s="275"/>
    </row>
    <row r="1753" spans="1:11" ht="14.25" customHeight="1" x14ac:dyDescent="0.2">
      <c r="A1753" s="3" t="str">
        <f>'Orçamento Sintético'!A366</f>
        <v>17.9.1</v>
      </c>
      <c r="B1753" s="270" t="str">
        <f>'Orçamento Sintético'!D366</f>
        <v>FUNDO SELADOR ACRÍLICO, APLICAÇÃO MANUAL EM PAREDE, UMA DEMÃO. AF_04/2023</v>
      </c>
      <c r="C1753" s="271"/>
      <c r="D1753" s="271"/>
      <c r="E1753" s="272"/>
      <c r="I1753" s="5"/>
    </row>
    <row r="1754" spans="1:11" x14ac:dyDescent="0.2">
      <c r="A1754" s="3"/>
      <c r="B1754" s="91" t="s">
        <v>260</v>
      </c>
      <c r="C1754" s="91" t="s">
        <v>8</v>
      </c>
      <c r="D1754" s="91" t="s">
        <v>266</v>
      </c>
      <c r="E1754" s="91" t="s">
        <v>261</v>
      </c>
      <c r="F1754" s="91" t="s">
        <v>262</v>
      </c>
      <c r="G1754" s="91" t="s">
        <v>263</v>
      </c>
      <c r="H1754" s="91" t="s">
        <v>11</v>
      </c>
      <c r="I1754" s="5"/>
    </row>
    <row r="1755" spans="1:11" x14ac:dyDescent="0.2">
      <c r="A1755" s="3"/>
      <c r="B1755" s="23" t="s">
        <v>722</v>
      </c>
      <c r="C1755" s="7"/>
      <c r="D1755" s="7"/>
      <c r="E1755" s="7"/>
      <c r="F1755" s="7"/>
      <c r="G1755" s="7"/>
      <c r="H1755" s="8"/>
      <c r="I1755" s="5"/>
      <c r="J1755" s="19"/>
    </row>
    <row r="1756" spans="1:11" x14ac:dyDescent="0.2">
      <c r="A1756" s="3"/>
      <c r="B1756" s="6" t="s">
        <v>554</v>
      </c>
      <c r="C1756" s="7"/>
      <c r="D1756" s="7"/>
      <c r="E1756" s="161">
        <f>12.28+6</f>
        <v>18.28</v>
      </c>
      <c r="F1756" s="161"/>
      <c r="G1756" s="161">
        <v>2.85</v>
      </c>
      <c r="H1756" s="8">
        <f>ROUND(IF(PRODUCT(IF(C1756=0,1,C1756),IF(D1756=0,1,D1756),IF(E1756=0,1,E1756),IF(F1756=0,1,F1756),IF(G1756=0,1,G1756))=1,0,PRODUCT(IF(C1756=0,1,C1756),IF(D1756=0,1,D1756),IF(E1756=0,1,E1756),IF(F1756=0,1,F1756),IF(G1756=0,1,G1756))),2)</f>
        <v>52.1</v>
      </c>
      <c r="I1756" s="5"/>
      <c r="J1756" s="19"/>
      <c r="K1756" s="19"/>
    </row>
    <row r="1757" spans="1:11" x14ac:dyDescent="0.2">
      <c r="A1757" s="3"/>
      <c r="B1757" s="6" t="s">
        <v>733</v>
      </c>
      <c r="C1757" s="7">
        <v>2</v>
      </c>
      <c r="D1757" s="7"/>
      <c r="E1757" s="161">
        <f>4.3+0.35</f>
        <v>4.6499999999999995</v>
      </c>
      <c r="F1757" s="161"/>
      <c r="G1757" s="161">
        <v>0.3</v>
      </c>
      <c r="H1757" s="8">
        <f>ROUND(IF(PRODUCT(IF(C1757=0,1,C1757),IF(D1757=0,1,D1757),IF(E1757=0,1,E1757),IF(F1757=0,1,F1757),IF(G1757=0,1,G1757))=1,0,PRODUCT(IF(C1757=0,1,C1757),IF(D1757=0,1,D1757),IF(E1757=0,1,E1757),IF(F1757=0,1,F1757),IF(G1757=0,1,G1757))),2)</f>
        <v>2.79</v>
      </c>
      <c r="I1757" s="5"/>
    </row>
    <row r="1758" spans="1:11" x14ac:dyDescent="0.2">
      <c r="A1758" s="3"/>
      <c r="B1758" s="6"/>
      <c r="C1758" s="7"/>
      <c r="D1758" s="7"/>
      <c r="E1758" s="7"/>
      <c r="F1758" s="7"/>
      <c r="G1758" s="7"/>
      <c r="H1758" s="8"/>
      <c r="I1758" s="5"/>
    </row>
    <row r="1759" spans="1:11" x14ac:dyDescent="0.2">
      <c r="A1759" s="3"/>
      <c r="C1759" s="10"/>
      <c r="D1759" s="10"/>
      <c r="E1759" s="9"/>
      <c r="F1759" s="94" t="s">
        <v>11</v>
      </c>
      <c r="G1759" s="95" t="s">
        <v>264</v>
      </c>
      <c r="H1759" s="11">
        <f>SUM(H1755:H1758)</f>
        <v>54.89</v>
      </c>
      <c r="I1759" s="12" t="s">
        <v>17</v>
      </c>
    </row>
    <row r="1760" spans="1:11" ht="14.25" customHeight="1" x14ac:dyDescent="0.2">
      <c r="A1760" s="3" t="str">
        <f>'Orçamento Sintético'!A367</f>
        <v>17.9.2</v>
      </c>
      <c r="B1760" s="270" t="str">
        <f>'Orçamento Sintético'!D367</f>
        <v>APLICAÇÃO MANUAL DE MASSA ACRÍLICA EM PAREDES EXTERNAS DE CASAS, DUAS DEMÃOS. AF_03/2024</v>
      </c>
      <c r="C1760" s="271"/>
      <c r="D1760" s="271"/>
      <c r="E1760" s="272"/>
      <c r="I1760" s="5"/>
    </row>
    <row r="1761" spans="1:11" x14ac:dyDescent="0.2">
      <c r="A1761" s="3"/>
      <c r="B1761" s="91" t="s">
        <v>260</v>
      </c>
      <c r="C1761" s="91" t="s">
        <v>8</v>
      </c>
      <c r="D1761" s="91" t="s">
        <v>266</v>
      </c>
      <c r="E1761" s="91" t="s">
        <v>261</v>
      </c>
      <c r="F1761" s="91" t="s">
        <v>262</v>
      </c>
      <c r="G1761" s="91" t="s">
        <v>263</v>
      </c>
      <c r="H1761" s="91" t="s">
        <v>11</v>
      </c>
      <c r="I1761" s="5"/>
    </row>
    <row r="1762" spans="1:11" x14ac:dyDescent="0.2">
      <c r="A1762" s="3"/>
      <c r="B1762" s="6"/>
      <c r="C1762" s="7"/>
      <c r="D1762" s="7">
        <f>H1759</f>
        <v>54.89</v>
      </c>
      <c r="E1762" s="161"/>
      <c r="F1762" s="161"/>
      <c r="G1762" s="161"/>
      <c r="H1762" s="8">
        <f>ROUND(IF(PRODUCT(IF(C1762=0,1,C1762),IF(D1762=0,1,D1762),IF(E1762=0,1,E1762),IF(F1762=0,1,F1762),IF(G1762=0,1,G1762))=1,0,PRODUCT(IF(C1762=0,1,C1762),IF(D1762=0,1,D1762),IF(E1762=0,1,E1762),IF(F1762=0,1,F1762),IF(G1762=0,1,G1762))),2)</f>
        <v>54.89</v>
      </c>
      <c r="I1762" s="5"/>
      <c r="J1762" s="19"/>
      <c r="K1762" s="19"/>
    </row>
    <row r="1763" spans="1:11" x14ac:dyDescent="0.2">
      <c r="A1763" s="3"/>
      <c r="B1763" s="6"/>
      <c r="C1763" s="7"/>
      <c r="D1763" s="7"/>
      <c r="E1763" s="7"/>
      <c r="F1763" s="7"/>
      <c r="G1763" s="7"/>
      <c r="H1763" s="8">
        <f>ROUND(IF(PRODUCT(IF(C1763=0,1,C1763),IF(E1763=0,1,E1763),IF(F1763=0,1,F1763),IF(G1763=0,1,G1763))=1,0,PRODUCT(IF(C1763=0,1,C1763),IF(E1763=0,1,E1763),IF(F1763=0,1,F1763),IF(G1763=0,1,G1763))),2)</f>
        <v>0</v>
      </c>
      <c r="I1763" s="5"/>
    </row>
    <row r="1764" spans="1:11" x14ac:dyDescent="0.2">
      <c r="A1764" s="3"/>
      <c r="C1764" s="10"/>
      <c r="D1764" s="10"/>
      <c r="E1764" s="9"/>
      <c r="F1764" s="94" t="s">
        <v>11</v>
      </c>
      <c r="G1764" s="95" t="s">
        <v>264</v>
      </c>
      <c r="H1764" s="11">
        <f>SUM(H1762:H1763)</f>
        <v>54.89</v>
      </c>
      <c r="I1764" s="12" t="s">
        <v>17</v>
      </c>
    </row>
    <row r="1765" spans="1:11" ht="24.6" customHeight="1" x14ac:dyDescent="0.2">
      <c r="A1765" s="3" t="str">
        <f>'Orçamento Sintético'!A368</f>
        <v>17.9.3</v>
      </c>
      <c r="B1765" s="270" t="str">
        <f>'Orçamento Sintético'!D368</f>
        <v>APLICAÇÃO DE TEXTURA CIMENTO QUEIMADO DIA DE CHUVA SUVINIL PARA ÁREAS INTERNAS OU EXTERNAS OU SIMILAR, 5KG, RENDIMENTO DE ATÉ 9M² ACABADO, DUAS DEMÃOS (1,8M²/KG)</v>
      </c>
      <c r="C1765" s="271"/>
      <c r="D1765" s="271"/>
      <c r="E1765" s="272"/>
      <c r="I1765" s="5"/>
    </row>
    <row r="1766" spans="1:11" x14ac:dyDescent="0.2">
      <c r="A1766" s="3"/>
      <c r="B1766" s="91" t="s">
        <v>260</v>
      </c>
      <c r="C1766" s="91" t="s">
        <v>8</v>
      </c>
      <c r="D1766" s="91" t="s">
        <v>266</v>
      </c>
      <c r="E1766" s="91" t="s">
        <v>261</v>
      </c>
      <c r="F1766" s="91" t="s">
        <v>262</v>
      </c>
      <c r="G1766" s="91" t="s">
        <v>263</v>
      </c>
      <c r="H1766" s="91" t="s">
        <v>11</v>
      </c>
      <c r="I1766" s="5"/>
    </row>
    <row r="1767" spans="1:11" x14ac:dyDescent="0.2">
      <c r="A1767" s="3"/>
      <c r="B1767" s="23" t="s">
        <v>722</v>
      </c>
      <c r="C1767" s="7"/>
      <c r="D1767" s="7"/>
      <c r="E1767" s="7"/>
      <c r="F1767" s="7"/>
      <c r="G1767" s="7"/>
      <c r="H1767" s="8"/>
      <c r="I1767" s="5"/>
      <c r="J1767" s="19"/>
    </row>
    <row r="1768" spans="1:11" x14ac:dyDescent="0.2">
      <c r="A1768" s="3"/>
      <c r="B1768" s="6" t="s">
        <v>842</v>
      </c>
      <c r="C1768" s="7"/>
      <c r="D1768" s="7">
        <f>(6.6*0.3)+(2.55*0.4*2)</f>
        <v>4.0199999999999996</v>
      </c>
      <c r="E1768" s="161"/>
      <c r="F1768" s="161"/>
      <c r="G1768" s="161"/>
      <c r="H1768" s="8">
        <f>ROUND(IF(PRODUCT(IF(C1768=0,1,C1768),IF(D1768=0,1,D1768),IF(E1768=0,1,E1768),IF(F1768=0,1,F1768),IF(G1768=0,1,G1768))=1,0,PRODUCT(IF(C1768=0,1,C1768),IF(D1768=0,1,D1768),IF(E1768=0,1,E1768),IF(F1768=0,1,F1768),IF(G1768=0,1,G1768))),2)</f>
        <v>4.0199999999999996</v>
      </c>
      <c r="I1768" s="5"/>
      <c r="J1768" s="19"/>
      <c r="K1768" s="19"/>
    </row>
    <row r="1769" spans="1:11" x14ac:dyDescent="0.2">
      <c r="A1769" s="3"/>
      <c r="B1769" s="6"/>
      <c r="C1769" s="7"/>
      <c r="D1769" s="7"/>
      <c r="E1769" s="7"/>
      <c r="F1769" s="7"/>
      <c r="G1769" s="7"/>
      <c r="H1769" s="8">
        <f>ROUND(IF(PRODUCT(IF(C1769=0,1,C1769),IF(E1769=0,1,E1769),IF(F1769=0,1,F1769),IF(G1769=0,1,G1769))=1,0,PRODUCT(IF(C1769=0,1,C1769),IF(E1769=0,1,E1769),IF(F1769=0,1,F1769),IF(G1769=0,1,G1769))),2)</f>
        <v>0</v>
      </c>
      <c r="I1769" s="5"/>
    </row>
    <row r="1770" spans="1:11" x14ac:dyDescent="0.2">
      <c r="A1770" s="3"/>
      <c r="C1770" s="10"/>
      <c r="D1770" s="10"/>
      <c r="E1770" s="9"/>
      <c r="F1770" s="94" t="s">
        <v>11</v>
      </c>
      <c r="G1770" s="95" t="s">
        <v>264</v>
      </c>
      <c r="H1770" s="11">
        <f>SUM(H1768:H1769)</f>
        <v>4.0199999999999996</v>
      </c>
      <c r="I1770" s="12" t="s">
        <v>17</v>
      </c>
    </row>
    <row r="1771" spans="1:11" ht="12.75" customHeight="1" x14ac:dyDescent="0.2">
      <c r="A1771" s="3" t="str">
        <f>'Orçamento Sintético'!A369</f>
        <v>17.9.4</v>
      </c>
      <c r="B1771" s="270" t="str">
        <f>'Orçamento Sintético'!D369</f>
        <v>APLICAÇÃO MANUAL DE TINTA LÁTEX ACRÍLICA EM PAREDE EXTERNAS DE CASAS, DUAS DEMÃOS. AF_03/2024</v>
      </c>
      <c r="C1771" s="271"/>
      <c r="D1771" s="271"/>
      <c r="E1771" s="272"/>
      <c r="I1771" s="5"/>
    </row>
    <row r="1772" spans="1:11" x14ac:dyDescent="0.2">
      <c r="A1772" s="3"/>
      <c r="B1772" s="91" t="s">
        <v>260</v>
      </c>
      <c r="C1772" s="91" t="s">
        <v>8</v>
      </c>
      <c r="D1772" s="91" t="s">
        <v>266</v>
      </c>
      <c r="E1772" s="91" t="s">
        <v>261</v>
      </c>
      <c r="F1772" s="91" t="s">
        <v>262</v>
      </c>
      <c r="G1772" s="91" t="s">
        <v>263</v>
      </c>
      <c r="H1772" s="91" t="s">
        <v>11</v>
      </c>
      <c r="I1772" s="5"/>
    </row>
    <row r="1773" spans="1:11" x14ac:dyDescent="0.2">
      <c r="A1773" s="3"/>
      <c r="B1773" s="6"/>
      <c r="C1773" s="7"/>
      <c r="D1773" s="161">
        <f>H1759</f>
        <v>54.89</v>
      </c>
      <c r="E1773" s="7"/>
      <c r="F1773" s="7"/>
      <c r="G1773" s="7"/>
      <c r="H1773" s="8">
        <f>ROUND(IF(PRODUCT(IF(C1773=0,1,C1773),IF(D1773=0,1,D1773),IF(E1773=0,1,E1773),IF(F1773=0,1,F1773),IF(G1773=0,1,G1773))=1,0,PRODUCT(IF(C1773=0,1,C1773),IF(D1773=0,1,D1773),IF(E1773=0,1,E1773),IF(F1773=0,1,F1773),IF(G1773=0,1,G1773))),2)</f>
        <v>54.89</v>
      </c>
      <c r="I1773" s="5"/>
    </row>
    <row r="1774" spans="1:11" x14ac:dyDescent="0.2">
      <c r="A1774" s="3"/>
      <c r="B1774" s="16" t="s">
        <v>843</v>
      </c>
      <c r="C1774" s="25"/>
      <c r="D1774" s="25">
        <f>H1770</f>
        <v>4.0199999999999996</v>
      </c>
      <c r="E1774" s="25"/>
      <c r="F1774" s="25"/>
      <c r="G1774" s="25"/>
      <c r="H1774" s="17">
        <f>-ROUND(IF(PRODUCT(IF(C1774=0,1,C1774),IF(D1774=0,1,D1774),IF(E1774=0,1,E1774),IF(F1774=0,1,F1774),IF(G1774=0,1,G1774))=1,0,PRODUCT(IF(C1774=0,1,C1774),IF(D1774=0,1,D1774),IF(E1774=0,1,E1774),IF(F1774=0,1,F1774),IF(G1774=0,1,G1774))),2)</f>
        <v>-4.0199999999999996</v>
      </c>
      <c r="I1774" s="5"/>
      <c r="J1774" s="19"/>
      <c r="K1774" s="19"/>
    </row>
    <row r="1775" spans="1:11" x14ac:dyDescent="0.2">
      <c r="A1775" s="3"/>
      <c r="B1775" s="6"/>
      <c r="C1775" s="7"/>
      <c r="D1775" s="7"/>
      <c r="E1775" s="7"/>
      <c r="F1775" s="7"/>
      <c r="G1775" s="7"/>
      <c r="H1775" s="8">
        <f>ROUND(IF(PRODUCT(IF(C1775=0,1,C1775),IF(E1775=0,1,E1775),IF(F1775=0,1,F1775),IF(G1775=0,1,G1775))=1,0,PRODUCT(IF(C1775=0,1,C1775),IF(E1775=0,1,E1775),IF(F1775=0,1,F1775),IF(G1775=0,1,G1775))),2)</f>
        <v>0</v>
      </c>
      <c r="I1775" s="5"/>
    </row>
    <row r="1776" spans="1:11" x14ac:dyDescent="0.2">
      <c r="A1776" s="3"/>
      <c r="C1776" s="10"/>
      <c r="D1776" s="10"/>
      <c r="E1776" s="9"/>
      <c r="F1776" s="94" t="s">
        <v>11</v>
      </c>
      <c r="G1776" s="95" t="s">
        <v>264</v>
      </c>
      <c r="H1776" s="11">
        <f>SUM(H1773:H1774)</f>
        <v>50.870000000000005</v>
      </c>
      <c r="I1776" s="12" t="s">
        <v>17</v>
      </c>
    </row>
    <row r="1777" spans="1:9" ht="15" customHeight="1" x14ac:dyDescent="0.2">
      <c r="A1777" s="96" t="str">
        <f>'Orçamento Sintético'!A370</f>
        <v>17.10</v>
      </c>
      <c r="B1777" s="97" t="str">
        <f>'Orçamento Sintético'!D370</f>
        <v>GRADIL / PERFIL METÁLICO DA COBERTA / LETRAS</v>
      </c>
      <c r="C1777" s="273"/>
      <c r="D1777" s="274"/>
      <c r="E1777" s="274"/>
      <c r="F1777" s="274"/>
      <c r="G1777" s="274"/>
      <c r="H1777" s="274"/>
      <c r="I1777" s="275"/>
    </row>
    <row r="1778" spans="1:9" ht="24" customHeight="1" x14ac:dyDescent="0.2">
      <c r="A1778" s="3" t="str">
        <f>'Orçamento Sintético'!A371</f>
        <v>17.10.1</v>
      </c>
      <c r="B1778" s="270" t="str">
        <f>'Orçamento Sintético'!D371</f>
        <v>GRADIL NYLOFOR3D, MALHA 20X5CM, Ø 5MM 250X203 CM, BELGO OU SIMILAR, INCLUSIVE POSTES SECÇÃO 60X40MM E H=2,60M E ACESSÓRIOS (CONFORME COMPOSIÇÃO 10812 - ORSE - 06/2024)</v>
      </c>
      <c r="C1778" s="271"/>
      <c r="D1778" s="271"/>
      <c r="E1778" s="272"/>
      <c r="I1778" s="5"/>
    </row>
    <row r="1779" spans="1:9" x14ac:dyDescent="0.2">
      <c r="A1779" s="3"/>
      <c r="B1779" s="91" t="s">
        <v>260</v>
      </c>
      <c r="C1779" s="91" t="s">
        <v>8</v>
      </c>
      <c r="D1779" s="91" t="s">
        <v>266</v>
      </c>
      <c r="E1779" s="91" t="s">
        <v>261</v>
      </c>
      <c r="F1779" s="91" t="s">
        <v>262</v>
      </c>
      <c r="G1779" s="91" t="s">
        <v>263</v>
      </c>
      <c r="H1779" s="91" t="s">
        <v>11</v>
      </c>
      <c r="I1779" s="5"/>
    </row>
    <row r="1780" spans="1:9" x14ac:dyDescent="0.2">
      <c r="A1780" s="3"/>
      <c r="B1780" s="6"/>
      <c r="C1780" s="7"/>
      <c r="D1780" s="161"/>
      <c r="E1780" s="7">
        <v>28.45</v>
      </c>
      <c r="F1780" s="161"/>
      <c r="G1780" s="161">
        <v>2.0299999999999998</v>
      </c>
      <c r="H1780" s="8">
        <f>ROUND(IF(PRODUCT(IF(C1780=0,1,C1780),IF(D1780=0,1,D1780),IF(E1780=0,1,E1780),IF(F1780=0,1,F1780),IF(G1780=0,1,G1780))=1,0,PRODUCT(IF(C1780=0,1,C1780),IF(D1780=0,1,D1780),IF(E1780=0,1,E1780),IF(F1780=0,1,F1780),IF(G1780=0,1,G1780))),2)</f>
        <v>57.75</v>
      </c>
      <c r="I1780" s="5"/>
    </row>
    <row r="1781" spans="1:9" x14ac:dyDescent="0.2">
      <c r="A1781" s="3"/>
      <c r="B1781" s="6"/>
      <c r="C1781" s="7"/>
      <c r="D1781" s="7"/>
      <c r="E1781" s="7"/>
      <c r="F1781" s="7"/>
      <c r="G1781" s="7"/>
      <c r="H1781" s="8">
        <f>ROUND(IF(PRODUCT(IF(C1781=0,1,C1781),IF(E1781=0,1,E1781),IF(F1781=0,1,F1781),IF(G1781=0,1,G1781))=1,0,PRODUCT(IF(C1781=0,1,C1781),IF(E1781=0,1,E1781),IF(F1781=0,1,F1781),IF(G1781=0,1,G1781))),2)</f>
        <v>0</v>
      </c>
      <c r="I1781" s="5"/>
    </row>
    <row r="1782" spans="1:9" x14ac:dyDescent="0.2">
      <c r="A1782" s="3"/>
      <c r="C1782" s="10"/>
      <c r="D1782" s="10"/>
      <c r="E1782" s="9"/>
      <c r="F1782" s="94" t="s">
        <v>11</v>
      </c>
      <c r="G1782" s="95" t="s">
        <v>264</v>
      </c>
      <c r="H1782" s="11">
        <f>SUM(H1780:H1780)</f>
        <v>57.75</v>
      </c>
      <c r="I1782" s="12" t="s">
        <v>17</v>
      </c>
    </row>
    <row r="1783" spans="1:9" ht="24" customHeight="1" x14ac:dyDescent="0.2">
      <c r="A1783" s="3" t="str">
        <f>'Orçamento Sintético'!A372</f>
        <v>17.10.2</v>
      </c>
      <c r="B1783" s="270" t="str">
        <f>'Orçamento Sintético'!D372</f>
        <v xml:space="preserve">PERFIL METÁLICO EM TUBO INDUSTRIAL GALVANIZADO QUADRADO 100  X 100 MM , PINTURA 01 DEMÃO EPOXI FUNDO ÓXIDO FERRO + 01 DEMÃO ESMALTE EPOXI </v>
      </c>
      <c r="C1783" s="271"/>
      <c r="D1783" s="271"/>
      <c r="E1783" s="272"/>
      <c r="I1783" s="5"/>
    </row>
    <row r="1784" spans="1:9" x14ac:dyDescent="0.2">
      <c r="A1784" s="3"/>
      <c r="B1784" s="91" t="s">
        <v>260</v>
      </c>
      <c r="C1784" s="91" t="s">
        <v>8</v>
      </c>
      <c r="D1784" s="91" t="s">
        <v>266</v>
      </c>
      <c r="E1784" s="91" t="s">
        <v>261</v>
      </c>
      <c r="F1784" s="91" t="s">
        <v>262</v>
      </c>
      <c r="G1784" s="91" t="s">
        <v>263</v>
      </c>
      <c r="H1784" s="91" t="s">
        <v>11</v>
      </c>
      <c r="I1784" s="5"/>
    </row>
    <row r="1785" spans="1:9" x14ac:dyDescent="0.2">
      <c r="A1785" s="3"/>
      <c r="B1785" s="6"/>
      <c r="C1785" s="7"/>
      <c r="D1785" s="161"/>
      <c r="E1785" s="161">
        <f>0.7+1.1+1.6+2.05+2.95+3.45+3.9+4.35+4.8+5.3+5.75+5.8+5.8+5.8+5.8+5.8</f>
        <v>64.949999999999989</v>
      </c>
      <c r="F1785" s="161"/>
      <c r="G1785" s="161"/>
      <c r="H1785" s="8">
        <f>ROUND(IF(PRODUCT(IF(C1785=0,1,C1785),IF(D1785=0,1,D1785),IF(E1785=0,1,E1785),IF(F1785=0,1,F1785),IF(G1785=0,1,G1785))=1,0,PRODUCT(IF(C1785=0,1,C1785),IF(D1785=0,1,D1785),IF(E1785=0,1,E1785),IF(F1785=0,1,F1785),IF(G1785=0,1,G1785))),2)</f>
        <v>64.95</v>
      </c>
      <c r="I1785" s="5"/>
    </row>
    <row r="1786" spans="1:9" x14ac:dyDescent="0.2">
      <c r="A1786" s="3"/>
      <c r="B1786" s="6"/>
      <c r="C1786" s="7"/>
      <c r="D1786" s="7"/>
      <c r="E1786" s="7"/>
      <c r="F1786" s="7"/>
      <c r="G1786" s="7"/>
      <c r="H1786" s="8">
        <f>ROUND(IF(PRODUCT(IF(C1786=0,1,C1786),IF(E1786=0,1,E1786),IF(F1786=0,1,F1786),IF(G1786=0,1,G1786))=1,0,PRODUCT(IF(C1786=0,1,C1786),IF(E1786=0,1,E1786),IF(F1786=0,1,F1786),IF(G1786=0,1,G1786))),2)</f>
        <v>0</v>
      </c>
      <c r="I1786" s="5"/>
    </row>
    <row r="1787" spans="1:9" x14ac:dyDescent="0.2">
      <c r="A1787" s="3"/>
      <c r="C1787" s="10"/>
      <c r="D1787" s="10"/>
      <c r="E1787" s="9"/>
      <c r="F1787" s="94" t="s">
        <v>11</v>
      </c>
      <c r="G1787" s="95" t="s">
        <v>264</v>
      </c>
      <c r="H1787" s="11">
        <f>SUM(H1785:H1785)</f>
        <v>64.95</v>
      </c>
      <c r="I1787" s="12" t="s">
        <v>186</v>
      </c>
    </row>
    <row r="1788" spans="1:9" ht="24" customHeight="1" x14ac:dyDescent="0.2">
      <c r="A1788" s="3" t="str">
        <f>'Orçamento Sintético'!A373</f>
        <v>17.10.3</v>
      </c>
      <c r="B1788" s="270" t="str">
        <f>'Orçamento Sintético'!D373</f>
        <v>REVESTIMENTO METÁLICO EM ALUMÍNIO COMPOSTO (ALUCOBOND), E=0,3MM, PINTURA KAYNAR 500 COMPOSTA POR SEIS CAMADAS, INCLUSIVE ESTRUTURA METÁLICA AUXILIAR EM PERFIL DE VIGA "U" DE 2" - FORNECIMENTO E MONTAGEM</v>
      </c>
      <c r="C1788" s="271"/>
      <c r="D1788" s="271"/>
      <c r="E1788" s="272"/>
      <c r="I1788" s="5"/>
    </row>
    <row r="1789" spans="1:9" x14ac:dyDescent="0.2">
      <c r="A1789" s="3"/>
      <c r="B1789" s="91" t="s">
        <v>260</v>
      </c>
      <c r="C1789" s="91" t="s">
        <v>8</v>
      </c>
      <c r="D1789" s="91" t="s">
        <v>266</v>
      </c>
      <c r="E1789" s="91" t="s">
        <v>261</v>
      </c>
      <c r="F1789" s="91" t="s">
        <v>262</v>
      </c>
      <c r="G1789" s="91" t="s">
        <v>263</v>
      </c>
      <c r="H1789" s="91" t="s">
        <v>11</v>
      </c>
      <c r="I1789" s="5"/>
    </row>
    <row r="1790" spans="1:9" x14ac:dyDescent="0.2">
      <c r="A1790" s="3"/>
      <c r="B1790" s="6" t="s">
        <v>781</v>
      </c>
      <c r="C1790" s="7"/>
      <c r="D1790" s="161"/>
      <c r="E1790" s="161">
        <f>24*0.3</f>
        <v>7.1999999999999993</v>
      </c>
      <c r="F1790" s="161"/>
      <c r="G1790" s="161">
        <v>0.3</v>
      </c>
      <c r="H1790" s="8">
        <f>ROUND(IF(PRODUCT(IF(C1790=0,1,C1790),IF(D1790=0,1,D1790),IF(E1790=0,1,E1790),IF(F1790=0,1,F1790),IF(G1790=0,1,G1790))=1,0,PRODUCT(IF(C1790=0,1,C1790),IF(D1790=0,1,D1790),IF(E1790=0,1,E1790),IF(F1790=0,1,F1790),IF(G1790=0,1,G1790))),2)</f>
        <v>2.16</v>
      </c>
      <c r="I1790" s="5"/>
    </row>
    <row r="1791" spans="1:9" x14ac:dyDescent="0.2">
      <c r="A1791" s="3"/>
      <c r="B1791" s="6"/>
      <c r="C1791" s="7"/>
      <c r="D1791" s="7"/>
      <c r="E1791" s="7"/>
      <c r="F1791" s="7"/>
      <c r="G1791" s="7"/>
      <c r="H1791" s="8">
        <f>ROUND(IF(PRODUCT(IF(C1791=0,1,C1791),IF(E1791=0,1,E1791),IF(F1791=0,1,F1791),IF(G1791=0,1,G1791))=1,0,PRODUCT(IF(C1791=0,1,C1791),IF(E1791=0,1,E1791),IF(F1791=0,1,F1791),IF(G1791=0,1,G1791))),2)</f>
        <v>0</v>
      </c>
      <c r="I1791" s="5"/>
    </row>
    <row r="1792" spans="1:9" x14ac:dyDescent="0.2">
      <c r="A1792" s="3"/>
      <c r="C1792" s="10"/>
      <c r="D1792" s="10"/>
      <c r="E1792" s="9"/>
      <c r="F1792" s="94" t="s">
        <v>11</v>
      </c>
      <c r="G1792" s="95" t="s">
        <v>264</v>
      </c>
      <c r="H1792" s="11">
        <f>SUM(H1790:H1790)</f>
        <v>2.16</v>
      </c>
      <c r="I1792" s="12" t="s">
        <v>17</v>
      </c>
    </row>
    <row r="1793" spans="1:9" x14ac:dyDescent="0.2">
      <c r="A1793" s="89" t="str">
        <f>'Orçamento Sintético'!A374</f>
        <v>18.0</v>
      </c>
      <c r="B1793" s="90" t="str">
        <f>'Orçamento Sintético'!D374</f>
        <v>PAISAGISMO</v>
      </c>
      <c r="C1793" s="273"/>
      <c r="D1793" s="274"/>
      <c r="E1793" s="274"/>
      <c r="F1793" s="274"/>
      <c r="G1793" s="274"/>
      <c r="H1793" s="274"/>
      <c r="I1793" s="275"/>
    </row>
    <row r="1794" spans="1:9" ht="14.45" customHeight="1" x14ac:dyDescent="0.2">
      <c r="A1794" s="3" t="str">
        <f>'Orçamento Sintético'!A375</f>
        <v>18.1</v>
      </c>
      <c r="B1794" s="270" t="str">
        <f>'Orçamento Sintético'!D375</f>
        <v>APLICAÇÃO DE ADUBO EM SOLO. AF_05/2018</v>
      </c>
      <c r="C1794" s="271"/>
      <c r="D1794" s="271"/>
      <c r="E1794" s="272"/>
      <c r="I1794" s="5"/>
    </row>
    <row r="1795" spans="1:9" x14ac:dyDescent="0.2">
      <c r="A1795" s="3"/>
      <c r="B1795" s="91" t="s">
        <v>260</v>
      </c>
      <c r="C1795" s="91" t="s">
        <v>8</v>
      </c>
      <c r="D1795" s="91" t="s">
        <v>266</v>
      </c>
      <c r="E1795" s="91" t="s">
        <v>261</v>
      </c>
      <c r="F1795" s="91" t="s">
        <v>262</v>
      </c>
      <c r="G1795" s="91" t="s">
        <v>263</v>
      </c>
      <c r="H1795" s="91" t="s">
        <v>11</v>
      </c>
      <c r="I1795" s="5"/>
    </row>
    <row r="1796" spans="1:9" x14ac:dyDescent="0.2">
      <c r="A1796" s="3"/>
      <c r="B1796" s="166"/>
      <c r="C1796" s="161"/>
      <c r="D1796" s="7">
        <v>143.5</v>
      </c>
      <c r="E1796" s="161"/>
      <c r="F1796" s="7"/>
      <c r="G1796" s="7"/>
      <c r="H1796" s="8">
        <f>PRODUCT(C1796,D1796,E1796,F1796,G1796)</f>
        <v>143.5</v>
      </c>
      <c r="I1796" s="5"/>
    </row>
    <row r="1797" spans="1:9" x14ac:dyDescent="0.2">
      <c r="A1797" s="3"/>
      <c r="B1797" s="166"/>
      <c r="C1797" s="161"/>
      <c r="D1797" s="161"/>
      <c r="E1797" s="161"/>
      <c r="F1797" s="7"/>
      <c r="G1797" s="7"/>
      <c r="H1797" s="8">
        <f>ROUND(IF(PRODUCT(IF(C1797=0,1,C1797),IF(E1797=0,1,E1797),IF(F1797=0,1,F1797),IF(G1797=0,1,G1797))=1,0,PRODUCT(IF(C1797=0,1,C1797),IF(E1797=0,1,E1797),IF(F1797=0,1,F1797),IF(G1797=0,1,G1797))),2)</f>
        <v>0</v>
      </c>
      <c r="I1797" s="5"/>
    </row>
    <row r="1798" spans="1:9" x14ac:dyDescent="0.2">
      <c r="A1798" s="3"/>
      <c r="B1798" s="162"/>
      <c r="C1798" s="167"/>
      <c r="D1798" s="167"/>
      <c r="E1798" s="168"/>
      <c r="F1798" s="94" t="s">
        <v>11</v>
      </c>
      <c r="G1798" s="95" t="s">
        <v>264</v>
      </c>
      <c r="H1798" s="11">
        <f>SUM(H1796:H1796)</f>
        <v>143.5</v>
      </c>
      <c r="I1798" s="12" t="s">
        <v>17</v>
      </c>
    </row>
    <row r="1799" spans="1:9" ht="14.45" customHeight="1" x14ac:dyDescent="0.2">
      <c r="A1799" s="3" t="str">
        <f>'Orçamento Sintético'!A376</f>
        <v>18.2</v>
      </c>
      <c r="B1799" s="270" t="str">
        <f>'Orçamento Sintético'!D376</f>
        <v>PLANTIO DE GRAMA BATATAIS EM PLACAS. AF_05/2018</v>
      </c>
      <c r="C1799" s="271"/>
      <c r="D1799" s="271"/>
      <c r="E1799" s="272"/>
      <c r="I1799" s="5"/>
    </row>
    <row r="1800" spans="1:9" x14ac:dyDescent="0.2">
      <c r="A1800" s="3"/>
      <c r="B1800" s="91" t="s">
        <v>260</v>
      </c>
      <c r="C1800" s="91" t="s">
        <v>8</v>
      </c>
      <c r="D1800" s="91" t="s">
        <v>266</v>
      </c>
      <c r="E1800" s="91" t="s">
        <v>261</v>
      </c>
      <c r="F1800" s="91" t="s">
        <v>262</v>
      </c>
      <c r="G1800" s="91" t="s">
        <v>263</v>
      </c>
      <c r="H1800" s="91" t="s">
        <v>11</v>
      </c>
      <c r="I1800" s="5"/>
    </row>
    <row r="1801" spans="1:9" x14ac:dyDescent="0.2">
      <c r="A1801" s="3"/>
      <c r="B1801" s="166"/>
      <c r="C1801" s="161"/>
      <c r="D1801" s="7">
        <v>143.5</v>
      </c>
      <c r="E1801" s="161"/>
      <c r="F1801" s="7"/>
      <c r="G1801" s="7"/>
      <c r="H1801" s="8">
        <f>PRODUCT(C1801,D1801,E1801,F1801,G1801)</f>
        <v>143.5</v>
      </c>
      <c r="I1801" s="5"/>
    </row>
    <row r="1802" spans="1:9" x14ac:dyDescent="0.2">
      <c r="A1802" s="3"/>
      <c r="B1802" s="166"/>
      <c r="C1802" s="161"/>
      <c r="D1802" s="161"/>
      <c r="E1802" s="161"/>
      <c r="F1802" s="7"/>
      <c r="G1802" s="7"/>
      <c r="H1802" s="8">
        <f>ROUND(IF(PRODUCT(IF(C1802=0,1,C1802),IF(E1802=0,1,E1802),IF(F1802=0,1,F1802),IF(G1802=0,1,G1802))=1,0,PRODUCT(IF(C1802=0,1,C1802),IF(E1802=0,1,E1802),IF(F1802=0,1,F1802),IF(G1802=0,1,G1802))),2)</f>
        <v>0</v>
      </c>
      <c r="I1802" s="5"/>
    </row>
    <row r="1803" spans="1:9" x14ac:dyDescent="0.2">
      <c r="A1803" s="3"/>
      <c r="B1803" s="162"/>
      <c r="C1803" s="167"/>
      <c r="D1803" s="167"/>
      <c r="E1803" s="168"/>
      <c r="F1803" s="94" t="s">
        <v>11</v>
      </c>
      <c r="G1803" s="95" t="s">
        <v>264</v>
      </c>
      <c r="H1803" s="11">
        <f>SUM(H1801:H1801)</f>
        <v>143.5</v>
      </c>
      <c r="I1803" s="12" t="s">
        <v>17</v>
      </c>
    </row>
    <row r="1804" spans="1:9" ht="14.45" customHeight="1" x14ac:dyDescent="0.2">
      <c r="A1804" s="3" t="str">
        <f>'Orçamento Sintético'!A377</f>
        <v>18.3</v>
      </c>
      <c r="B1804" s="270" t="str">
        <f>'Orçamento Sintético'!D377</f>
        <v>PLANTIO DE ÁRVORE ORNAMENTAL COM ALTURA DE MUDA MAIOR QUE 2,00 M E MENOR OU IGUAL A 4,00 M. AF_05/2018</v>
      </c>
      <c r="C1804" s="271"/>
      <c r="D1804" s="271"/>
      <c r="E1804" s="272"/>
      <c r="I1804" s="5"/>
    </row>
    <row r="1805" spans="1:9" x14ac:dyDescent="0.2">
      <c r="A1805" s="3"/>
      <c r="B1805" s="91" t="s">
        <v>260</v>
      </c>
      <c r="C1805" s="91" t="s">
        <v>8</v>
      </c>
      <c r="D1805" s="91" t="s">
        <v>266</v>
      </c>
      <c r="E1805" s="91" t="s">
        <v>261</v>
      </c>
      <c r="F1805" s="91" t="s">
        <v>262</v>
      </c>
      <c r="G1805" s="91" t="s">
        <v>263</v>
      </c>
      <c r="H1805" s="91" t="s">
        <v>11</v>
      </c>
      <c r="I1805" s="5"/>
    </row>
    <row r="1806" spans="1:9" x14ac:dyDescent="0.2">
      <c r="A1806" s="3"/>
      <c r="B1806" s="166"/>
      <c r="C1806" s="7">
        <v>3</v>
      </c>
      <c r="D1806" s="161"/>
      <c r="E1806" s="161"/>
      <c r="F1806" s="7"/>
      <c r="G1806" s="7"/>
      <c r="H1806" s="8">
        <f>PRODUCT(C1806,D1806,E1806,F1806,G1806)</f>
        <v>3</v>
      </c>
      <c r="I1806" s="5"/>
    </row>
    <row r="1807" spans="1:9" x14ac:dyDescent="0.2">
      <c r="A1807" s="3"/>
      <c r="B1807" s="166"/>
      <c r="C1807" s="161"/>
      <c r="D1807" s="161"/>
      <c r="E1807" s="161"/>
      <c r="F1807" s="7"/>
      <c r="G1807" s="7"/>
      <c r="H1807" s="8">
        <f>ROUND(IF(PRODUCT(IF(C1807=0,1,C1807),IF(E1807=0,1,E1807),IF(F1807=0,1,F1807),IF(G1807=0,1,G1807))=1,0,PRODUCT(IF(C1807=0,1,C1807),IF(E1807=0,1,E1807),IF(F1807=0,1,F1807),IF(G1807=0,1,G1807))),2)</f>
        <v>0</v>
      </c>
      <c r="I1807" s="5"/>
    </row>
    <row r="1808" spans="1:9" x14ac:dyDescent="0.2">
      <c r="A1808" s="3"/>
      <c r="B1808" s="162"/>
      <c r="C1808" s="167"/>
      <c r="D1808" s="167"/>
      <c r="E1808" s="168"/>
      <c r="F1808" s="94" t="s">
        <v>11</v>
      </c>
      <c r="G1808" s="95" t="s">
        <v>264</v>
      </c>
      <c r="H1808" s="11">
        <f>SUM(H1806:H1806)</f>
        <v>3</v>
      </c>
      <c r="I1808" s="12" t="s">
        <v>277</v>
      </c>
    </row>
    <row r="1809" spans="1:9" ht="14.45" customHeight="1" x14ac:dyDescent="0.2">
      <c r="A1809" s="3" t="str">
        <f>'Orçamento Sintético'!A378</f>
        <v>18.4</v>
      </c>
      <c r="B1809" s="270" t="str">
        <f>'Orçamento Sintético'!D378</f>
        <v>ARBUSTOS ORNAMENTAIS EM GERAL. C/ ALTURA MÍNIMA DE 50CM</v>
      </c>
      <c r="C1809" s="271"/>
      <c r="D1809" s="271"/>
      <c r="E1809" s="272"/>
      <c r="I1809" s="5"/>
    </row>
    <row r="1810" spans="1:9" x14ac:dyDescent="0.2">
      <c r="A1810" s="3"/>
      <c r="B1810" s="91" t="s">
        <v>260</v>
      </c>
      <c r="C1810" s="91" t="s">
        <v>8</v>
      </c>
      <c r="D1810" s="91" t="s">
        <v>266</v>
      </c>
      <c r="E1810" s="91" t="s">
        <v>261</v>
      </c>
      <c r="F1810" s="91" t="s">
        <v>262</v>
      </c>
      <c r="G1810" s="91" t="s">
        <v>263</v>
      </c>
      <c r="H1810" s="91" t="s">
        <v>11</v>
      </c>
      <c r="I1810" s="5"/>
    </row>
    <row r="1811" spans="1:9" x14ac:dyDescent="0.2">
      <c r="A1811" s="3"/>
      <c r="B1811" s="166"/>
      <c r="C1811" s="7">
        <v>10</v>
      </c>
      <c r="D1811" s="161"/>
      <c r="E1811" s="161"/>
      <c r="F1811" s="7"/>
      <c r="G1811" s="7"/>
      <c r="H1811" s="8">
        <f>PRODUCT(C1811,D1811,E1811,F1811,G1811)</f>
        <v>10</v>
      </c>
      <c r="I1811" s="5"/>
    </row>
    <row r="1812" spans="1:9" x14ac:dyDescent="0.2">
      <c r="A1812" s="3"/>
      <c r="B1812" s="166"/>
      <c r="C1812" s="161"/>
      <c r="D1812" s="161"/>
      <c r="E1812" s="161"/>
      <c r="F1812" s="7"/>
      <c r="G1812" s="7"/>
      <c r="H1812" s="8">
        <f>ROUND(IF(PRODUCT(IF(C1812=0,1,C1812),IF(E1812=0,1,E1812),IF(F1812=0,1,F1812),IF(G1812=0,1,G1812))=1,0,PRODUCT(IF(C1812=0,1,C1812),IF(E1812=0,1,E1812),IF(F1812=0,1,F1812),IF(G1812=0,1,G1812))),2)</f>
        <v>0</v>
      </c>
      <c r="I1812" s="5"/>
    </row>
    <row r="1813" spans="1:9" x14ac:dyDescent="0.2">
      <c r="A1813" s="3"/>
      <c r="B1813" s="162"/>
      <c r="C1813" s="167"/>
      <c r="D1813" s="167"/>
      <c r="E1813" s="168"/>
      <c r="F1813" s="94" t="s">
        <v>11</v>
      </c>
      <c r="G1813" s="95" t="s">
        <v>264</v>
      </c>
      <c r="H1813" s="11">
        <f>SUM(H1811:H1811)</f>
        <v>10</v>
      </c>
      <c r="I1813" s="12" t="s">
        <v>277</v>
      </c>
    </row>
    <row r="1814" spans="1:9" x14ac:dyDescent="0.2">
      <c r="A1814" s="89" t="str">
        <f>'Orçamento Sintético'!A379</f>
        <v>19.0</v>
      </c>
      <c r="B1814" s="90" t="str">
        <f>'Orçamento Sintético'!D379</f>
        <v>DIVERSOS</v>
      </c>
      <c r="C1814" s="273"/>
      <c r="D1814" s="274"/>
      <c r="E1814" s="274"/>
      <c r="F1814" s="274"/>
      <c r="G1814" s="274"/>
      <c r="H1814" s="274"/>
      <c r="I1814" s="275"/>
    </row>
    <row r="1815" spans="1:9" ht="15" customHeight="1" x14ac:dyDescent="0.2">
      <c r="A1815" s="96" t="str">
        <f>'Orçamento Sintético'!A380</f>
        <v>19.1</v>
      </c>
      <c r="B1815" s="97" t="str">
        <f>'Orçamento Sintético'!D380</f>
        <v>EQUIPAMENTOS DA QUADRA</v>
      </c>
      <c r="C1815" s="273"/>
      <c r="D1815" s="274"/>
      <c r="E1815" s="274"/>
      <c r="F1815" s="274"/>
      <c r="G1815" s="274"/>
      <c r="H1815" s="274"/>
      <c r="I1815" s="275"/>
    </row>
    <row r="1816" spans="1:9" ht="24" customHeight="1" x14ac:dyDescent="0.2">
      <c r="A1816" s="3" t="str">
        <f>'Orçamento Sintético'!A381</f>
        <v>19.1.1</v>
      </c>
      <c r="B1816" s="270" t="str">
        <f>'Orçamento Sintético'!D381</f>
        <v>CONJUNTO PARA QUADRA DE VOLEI COM POSTES EM TUBO DE ACO GALVANIZADO 3", H = *255* CM, PINTURA EM TINTA ESMALTE SINTETICO, REDE DE NYLON COM 2 MM, MALHA 10 X 10 CM E ANTENAS OFICIAIS EM FIBRA DE VIDRO</v>
      </c>
      <c r="C1816" s="271"/>
      <c r="D1816" s="271"/>
      <c r="E1816" s="272"/>
      <c r="I1816" s="5"/>
    </row>
    <row r="1817" spans="1:9" x14ac:dyDescent="0.2">
      <c r="A1817" s="3"/>
      <c r="B1817" s="91" t="s">
        <v>260</v>
      </c>
      <c r="C1817" s="91" t="s">
        <v>8</v>
      </c>
      <c r="D1817" s="91" t="s">
        <v>266</v>
      </c>
      <c r="E1817" s="91" t="s">
        <v>261</v>
      </c>
      <c r="F1817" s="91" t="s">
        <v>262</v>
      </c>
      <c r="G1817" s="91" t="s">
        <v>263</v>
      </c>
      <c r="H1817" s="91" t="s">
        <v>11</v>
      </c>
      <c r="I1817" s="5"/>
    </row>
    <row r="1818" spans="1:9" x14ac:dyDescent="0.2">
      <c r="A1818" s="3"/>
      <c r="B1818" s="166"/>
      <c r="C1818" s="161">
        <v>1</v>
      </c>
      <c r="D1818" s="161"/>
      <c r="E1818" s="161"/>
      <c r="F1818" s="7"/>
      <c r="G1818" s="7"/>
      <c r="H1818" s="8">
        <f>PRODUCT(C1818,D1818,E1818,F1818,G1818)</f>
        <v>1</v>
      </c>
      <c r="I1818" s="5"/>
    </row>
    <row r="1819" spans="1:9" x14ac:dyDescent="0.2">
      <c r="A1819" s="3"/>
      <c r="B1819" s="166"/>
      <c r="C1819" s="161"/>
      <c r="D1819" s="161"/>
      <c r="E1819" s="161"/>
      <c r="F1819" s="7"/>
      <c r="G1819" s="7"/>
      <c r="H1819" s="8">
        <f>ROUND(IF(PRODUCT(IF(C1819=0,1,C1819),IF(E1819=0,1,E1819),IF(F1819=0,1,F1819),IF(G1819=0,1,G1819))=1,0,PRODUCT(IF(C1819=0,1,C1819),IF(E1819=0,1,E1819),IF(F1819=0,1,F1819),IF(G1819=0,1,G1819))),2)</f>
        <v>0</v>
      </c>
      <c r="I1819" s="5"/>
    </row>
    <row r="1820" spans="1:9" x14ac:dyDescent="0.2">
      <c r="A1820" s="3"/>
      <c r="B1820" s="162"/>
      <c r="C1820" s="167"/>
      <c r="D1820" s="167"/>
      <c r="E1820" s="168"/>
      <c r="F1820" s="94" t="s">
        <v>11</v>
      </c>
      <c r="G1820" s="95" t="s">
        <v>264</v>
      </c>
      <c r="H1820" s="11">
        <f>SUM(H1818:H1818)</f>
        <v>1</v>
      </c>
      <c r="I1820" s="12" t="s">
        <v>277</v>
      </c>
    </row>
    <row r="1821" spans="1:9" ht="24" customHeight="1" x14ac:dyDescent="0.2">
      <c r="A1821" s="3" t="str">
        <f>'Orçamento Sintético'!A382</f>
        <v>19.1.2</v>
      </c>
      <c r="B1821" s="279" t="str">
        <f>'Orçamento Sintético'!D382</f>
        <v>CONJUNTO PARA FUTSAL COM PAR DE TRAVES OFICIAIS DE 3,00 X 2,00 M EM TUBO DE ACO GALVANIZADO 3" COM REQUADROS EM TUBO DE 1", PINTURA EM PRIMER COM TINTA ESMALTE SINTETICO E REDES DE POLIETILENO FIO 4 MM</v>
      </c>
      <c r="C1821" s="280"/>
      <c r="D1821" s="280"/>
      <c r="E1821" s="281"/>
      <c r="I1821" s="5"/>
    </row>
    <row r="1822" spans="1:9" x14ac:dyDescent="0.2">
      <c r="A1822" s="3"/>
      <c r="B1822" s="164" t="s">
        <v>260</v>
      </c>
      <c r="C1822" s="164" t="s">
        <v>8</v>
      </c>
      <c r="D1822" s="164" t="s">
        <v>266</v>
      </c>
      <c r="E1822" s="164" t="s">
        <v>261</v>
      </c>
      <c r="F1822" s="91" t="s">
        <v>262</v>
      </c>
      <c r="G1822" s="91" t="s">
        <v>263</v>
      </c>
      <c r="H1822" s="91" t="s">
        <v>11</v>
      </c>
      <c r="I1822" s="5"/>
    </row>
    <row r="1823" spans="1:9" x14ac:dyDescent="0.2">
      <c r="A1823" s="3"/>
      <c r="B1823" s="166"/>
      <c r="C1823" s="161">
        <v>1</v>
      </c>
      <c r="D1823" s="161"/>
      <c r="E1823" s="161"/>
      <c r="F1823" s="7"/>
      <c r="G1823" s="7"/>
      <c r="H1823" s="8">
        <f>PRODUCT(C1823,D1823,E1823,F1823,G1823)</f>
        <v>1</v>
      </c>
      <c r="I1823" s="5"/>
    </row>
    <row r="1824" spans="1:9" x14ac:dyDescent="0.2">
      <c r="A1824" s="3"/>
      <c r="B1824" s="166"/>
      <c r="C1824" s="161"/>
      <c r="D1824" s="161"/>
      <c r="E1824" s="161"/>
      <c r="F1824" s="7"/>
      <c r="G1824" s="7"/>
      <c r="H1824" s="8">
        <f>ROUND(IF(PRODUCT(IF(C1824=0,1,C1824),IF(E1824=0,1,E1824),IF(F1824=0,1,F1824),IF(G1824=0,1,G1824))=1,0,PRODUCT(IF(C1824=0,1,C1824),IF(E1824=0,1,E1824),IF(F1824=0,1,F1824),IF(G1824=0,1,G1824))),2)</f>
        <v>0</v>
      </c>
      <c r="I1824" s="5"/>
    </row>
    <row r="1825" spans="1:9" x14ac:dyDescent="0.2">
      <c r="A1825" s="3"/>
      <c r="B1825" s="162"/>
      <c r="C1825" s="167"/>
      <c r="D1825" s="167"/>
      <c r="E1825" s="168"/>
      <c r="F1825" s="94" t="s">
        <v>11</v>
      </c>
      <c r="G1825" s="95" t="s">
        <v>264</v>
      </c>
      <c r="H1825" s="11">
        <f>SUM(H1823:H1823)</f>
        <v>1</v>
      </c>
      <c r="I1825" s="12" t="s">
        <v>277</v>
      </c>
    </row>
    <row r="1826" spans="1:9" ht="22.5" customHeight="1" x14ac:dyDescent="0.2">
      <c r="A1826" s="3" t="str">
        <f>'Orçamento Sintético'!A383</f>
        <v>19.1.3</v>
      </c>
      <c r="B1826" s="279" t="str">
        <f>'Orçamento Sintético'!D383</f>
        <v>ESTRUTURA METÁLICA FIXA, P/ TABELA EM FIBRA DE VIDRO, COM ARO E CESTA PARA BASQUETE, PADRÃO OFICIAL, EM TUBO GALVANIZADO D=5" - INSTALADA</v>
      </c>
      <c r="C1826" s="280"/>
      <c r="D1826" s="280"/>
      <c r="E1826" s="281"/>
      <c r="I1826" s="5"/>
    </row>
    <row r="1827" spans="1:9" x14ac:dyDescent="0.2">
      <c r="A1827" s="3"/>
      <c r="B1827" s="164" t="s">
        <v>260</v>
      </c>
      <c r="C1827" s="164" t="s">
        <v>8</v>
      </c>
      <c r="D1827" s="164" t="s">
        <v>266</v>
      </c>
      <c r="E1827" s="164" t="s">
        <v>261</v>
      </c>
      <c r="F1827" s="91" t="s">
        <v>262</v>
      </c>
      <c r="G1827" s="91" t="s">
        <v>263</v>
      </c>
      <c r="H1827" s="91" t="s">
        <v>11</v>
      </c>
      <c r="I1827" s="5"/>
    </row>
    <row r="1828" spans="1:9" x14ac:dyDescent="0.2">
      <c r="A1828" s="3"/>
      <c r="B1828" s="166"/>
      <c r="C1828" s="161">
        <v>2</v>
      </c>
      <c r="D1828" s="161"/>
      <c r="E1828" s="161"/>
      <c r="F1828" s="7"/>
      <c r="G1828" s="7"/>
      <c r="H1828" s="8">
        <f>PRODUCT(C1828,D1828,E1828,F1828,G1828)</f>
        <v>2</v>
      </c>
      <c r="I1828" s="5"/>
    </row>
    <row r="1829" spans="1:9" x14ac:dyDescent="0.2">
      <c r="A1829" s="3"/>
      <c r="B1829" s="6"/>
      <c r="C1829" s="7"/>
      <c r="D1829" s="7"/>
      <c r="E1829" s="7"/>
      <c r="F1829" s="7"/>
      <c r="G1829" s="7"/>
      <c r="H1829" s="8">
        <f>ROUND(IF(PRODUCT(IF(C1829=0,1,C1829),IF(E1829=0,1,E1829),IF(F1829=0,1,F1829),IF(G1829=0,1,G1829))=1,0,PRODUCT(IF(C1829=0,1,C1829),IF(E1829=0,1,E1829),IF(F1829=0,1,F1829),IF(G1829=0,1,G1829))),2)</f>
        <v>0</v>
      </c>
      <c r="I1829" s="5"/>
    </row>
    <row r="1830" spans="1:9" x14ac:dyDescent="0.2">
      <c r="A1830" s="3"/>
      <c r="C1830" s="10"/>
      <c r="D1830" s="10"/>
      <c r="E1830" s="9"/>
      <c r="F1830" s="94" t="s">
        <v>11</v>
      </c>
      <c r="G1830" s="95" t="s">
        <v>264</v>
      </c>
      <c r="H1830" s="11">
        <f>SUM(H1828:H1828)</f>
        <v>2</v>
      </c>
      <c r="I1830" s="12" t="s">
        <v>277</v>
      </c>
    </row>
    <row r="1831" spans="1:9" ht="15" customHeight="1" x14ac:dyDescent="0.2">
      <c r="A1831" s="96" t="str">
        <f>'Orçamento Sintético'!A384</f>
        <v>19.2</v>
      </c>
      <c r="B1831" s="97" t="str">
        <f>'Orçamento Sintético'!D384</f>
        <v>INCÊNDIO</v>
      </c>
      <c r="C1831" s="273"/>
      <c r="D1831" s="274"/>
      <c r="E1831" s="274"/>
      <c r="F1831" s="274"/>
      <c r="G1831" s="274"/>
      <c r="H1831" s="274"/>
      <c r="I1831" s="275"/>
    </row>
    <row r="1832" spans="1:9" ht="24.75" customHeight="1" x14ac:dyDescent="0.2">
      <c r="A1832" s="3" t="str">
        <f>'Orçamento Sintético'!A385</f>
        <v>19.2.1</v>
      </c>
      <c r="B1832" s="279" t="str">
        <f>'Orçamento Sintético'!D385</f>
        <v>EXTINTOR DE PÓ QUÍMICO ABC, CAPACIDADE 6 KG, ALCANCE MÉDIO DO JATO 5M , TEMPO DE DESCARGA 12S, NBR9443, 9444, 10721</v>
      </c>
      <c r="C1832" s="280"/>
      <c r="D1832" s="280"/>
      <c r="E1832" s="281"/>
      <c r="F1832" s="162"/>
      <c r="G1832" s="162"/>
      <c r="H1832" s="162"/>
      <c r="I1832" s="163"/>
    </row>
    <row r="1833" spans="1:9" x14ac:dyDescent="0.2">
      <c r="A1833" s="3"/>
      <c r="B1833" s="164" t="s">
        <v>260</v>
      </c>
      <c r="C1833" s="164" t="s">
        <v>8</v>
      </c>
      <c r="D1833" s="164" t="s">
        <v>266</v>
      </c>
      <c r="E1833" s="164" t="s">
        <v>261</v>
      </c>
      <c r="F1833" s="164" t="s">
        <v>262</v>
      </c>
      <c r="G1833" s="164" t="s">
        <v>263</v>
      </c>
      <c r="H1833" s="164" t="s">
        <v>11</v>
      </c>
      <c r="I1833" s="163"/>
    </row>
    <row r="1834" spans="1:9" ht="25.5" x14ac:dyDescent="0.2">
      <c r="A1834" s="3"/>
      <c r="B1834" s="165" t="s">
        <v>557</v>
      </c>
      <c r="C1834" s="161">
        <v>1</v>
      </c>
      <c r="D1834" s="161"/>
      <c r="E1834" s="161"/>
      <c r="F1834" s="161"/>
      <c r="G1834" s="161"/>
      <c r="H1834" s="8">
        <f>PRODUCT(C1834,D1834,E1834,F1834,G1834)</f>
        <v>1</v>
      </c>
      <c r="I1834" s="163"/>
    </row>
    <row r="1835" spans="1:9" x14ac:dyDescent="0.2">
      <c r="A1835" s="3"/>
      <c r="B1835" s="166"/>
      <c r="C1835" s="161"/>
      <c r="D1835" s="161"/>
      <c r="E1835" s="161"/>
      <c r="F1835" s="161"/>
      <c r="G1835" s="161"/>
      <c r="H1835" s="8">
        <f>ROUND(IF(PRODUCT(IF(C1835=0,1,C1835),IF(E1835=0,1,E1835),IF(F1835=0,1,F1835),IF(G1835=0,1,G1835))=1,0,PRODUCT(IF(C1835=0,1,C1835),IF(E1835=0,1,E1835),IF(F1835=0,1,F1835),IF(G1835=0,1,G1835))),2)</f>
        <v>0</v>
      </c>
      <c r="I1835" s="163"/>
    </row>
    <row r="1836" spans="1:9" x14ac:dyDescent="0.2">
      <c r="A1836" s="3"/>
      <c r="B1836" s="162"/>
      <c r="C1836" s="167"/>
      <c r="D1836" s="167"/>
      <c r="E1836" s="168"/>
      <c r="F1836" s="169" t="s">
        <v>11</v>
      </c>
      <c r="G1836" s="170" t="s">
        <v>264</v>
      </c>
      <c r="H1836" s="171">
        <f>SUM(H1834:H1834)</f>
        <v>1</v>
      </c>
      <c r="I1836" s="172" t="s">
        <v>277</v>
      </c>
    </row>
    <row r="1837" spans="1:9" ht="15" customHeight="1" x14ac:dyDescent="0.2">
      <c r="A1837" s="3" t="str">
        <f>'Orçamento Sintético'!A386</f>
        <v>19.2.2</v>
      </c>
      <c r="B1837" s="279" t="str">
        <f>'Orçamento Sintético'!D386</f>
        <v>EXTINTOR DE ÁGUA PRESSURIZADA CAPACIDADE 10 LITROS, INSTALADO</v>
      </c>
      <c r="C1837" s="280"/>
      <c r="D1837" s="280"/>
      <c r="E1837" s="281"/>
      <c r="F1837" s="162"/>
      <c r="G1837" s="162"/>
      <c r="H1837" s="162"/>
      <c r="I1837" s="163"/>
    </row>
    <row r="1838" spans="1:9" x14ac:dyDescent="0.2">
      <c r="A1838" s="3"/>
      <c r="B1838" s="164" t="s">
        <v>260</v>
      </c>
      <c r="C1838" s="164" t="s">
        <v>8</v>
      </c>
      <c r="D1838" s="164" t="s">
        <v>266</v>
      </c>
      <c r="E1838" s="164" t="s">
        <v>261</v>
      </c>
      <c r="F1838" s="164" t="s">
        <v>262</v>
      </c>
      <c r="G1838" s="164" t="s">
        <v>263</v>
      </c>
      <c r="H1838" s="164" t="s">
        <v>11</v>
      </c>
      <c r="I1838" s="163"/>
    </row>
    <row r="1839" spans="1:9" ht="25.5" x14ac:dyDescent="0.2">
      <c r="A1839" s="3"/>
      <c r="B1839" s="165" t="s">
        <v>557</v>
      </c>
      <c r="C1839" s="161">
        <v>1</v>
      </c>
      <c r="D1839" s="161"/>
      <c r="E1839" s="161"/>
      <c r="F1839" s="161"/>
      <c r="G1839" s="161"/>
      <c r="H1839" s="8">
        <f>PRODUCT(C1839,D1839,E1839,F1839,G1839)</f>
        <v>1</v>
      </c>
      <c r="I1839" s="163"/>
    </row>
    <row r="1840" spans="1:9" x14ac:dyDescent="0.2">
      <c r="A1840" s="3"/>
      <c r="B1840" s="166"/>
      <c r="C1840" s="161"/>
      <c r="D1840" s="161"/>
      <c r="E1840" s="161"/>
      <c r="F1840" s="161"/>
      <c r="G1840" s="161"/>
      <c r="H1840" s="8">
        <f>ROUND(IF(PRODUCT(IF(C1840=0,1,C1840),IF(E1840=0,1,E1840),IF(F1840=0,1,F1840),IF(G1840=0,1,G1840))=1,0,PRODUCT(IF(C1840=0,1,C1840),IF(E1840=0,1,E1840),IF(F1840=0,1,F1840),IF(G1840=0,1,G1840))),2)</f>
        <v>0</v>
      </c>
      <c r="I1840" s="163"/>
    </row>
    <row r="1841" spans="1:9" x14ac:dyDescent="0.2">
      <c r="A1841" s="3"/>
      <c r="B1841" s="162"/>
      <c r="C1841" s="167"/>
      <c r="D1841" s="167"/>
      <c r="E1841" s="168"/>
      <c r="F1841" s="169" t="s">
        <v>11</v>
      </c>
      <c r="G1841" s="170" t="s">
        <v>264</v>
      </c>
      <c r="H1841" s="171">
        <f>SUM(H1839:H1839)</f>
        <v>1</v>
      </c>
      <c r="I1841" s="172" t="s">
        <v>277</v>
      </c>
    </row>
    <row r="1842" spans="1:9" ht="23.25" customHeight="1" x14ac:dyDescent="0.2">
      <c r="A1842" s="3" t="str">
        <f>'Orçamento Sintético'!A387</f>
        <v>19.2.3</v>
      </c>
      <c r="B1842" s="279" t="str">
        <f>'Orçamento Sintético'!D387</f>
        <v>PLACA DE SINALIZACAO, FOTOLUMINESCENTE, 38X19 CM, EM PVC , COM SETA INDICATIVA DE SENTIDO (ESQUERDA OU DIREITA) DE SAÍDA DE EMERGÊNCIA- PLACA S2</v>
      </c>
      <c r="C1842" s="280"/>
      <c r="D1842" s="280"/>
      <c r="E1842" s="281"/>
      <c r="F1842" s="162"/>
      <c r="G1842" s="162"/>
      <c r="H1842" s="162"/>
      <c r="I1842" s="163"/>
    </row>
    <row r="1843" spans="1:9" x14ac:dyDescent="0.2">
      <c r="A1843" s="3"/>
      <c r="B1843" s="164" t="s">
        <v>260</v>
      </c>
      <c r="C1843" s="164" t="s">
        <v>8</v>
      </c>
      <c r="D1843" s="164" t="s">
        <v>266</v>
      </c>
      <c r="E1843" s="164" t="s">
        <v>261</v>
      </c>
      <c r="F1843" s="164" t="s">
        <v>262</v>
      </c>
      <c r="G1843" s="164" t="s">
        <v>263</v>
      </c>
      <c r="H1843" s="164" t="s">
        <v>11</v>
      </c>
      <c r="I1843" s="163"/>
    </row>
    <row r="1844" spans="1:9" ht="25.5" x14ac:dyDescent="0.2">
      <c r="A1844" s="3"/>
      <c r="B1844" s="165" t="s">
        <v>557</v>
      </c>
      <c r="C1844" s="161">
        <v>4</v>
      </c>
      <c r="D1844" s="161"/>
      <c r="E1844" s="161"/>
      <c r="F1844" s="161"/>
      <c r="G1844" s="161"/>
      <c r="H1844" s="8">
        <f>PRODUCT(C1844,D1844,E1844,F1844,G1844)</f>
        <v>4</v>
      </c>
      <c r="I1844" s="163"/>
    </row>
    <row r="1845" spans="1:9" x14ac:dyDescent="0.2">
      <c r="A1845" s="3"/>
      <c r="B1845" s="166"/>
      <c r="C1845" s="161"/>
      <c r="D1845" s="161"/>
      <c r="E1845" s="161"/>
      <c r="F1845" s="161"/>
      <c r="G1845" s="161"/>
      <c r="H1845" s="8">
        <f>ROUND(IF(PRODUCT(IF(C1845=0,1,C1845),IF(E1845=0,1,E1845),IF(F1845=0,1,F1845),IF(G1845=0,1,G1845))=1,0,PRODUCT(IF(C1845=0,1,C1845),IF(E1845=0,1,E1845),IF(F1845=0,1,F1845),IF(G1845=0,1,G1845))),2)</f>
        <v>0</v>
      </c>
      <c r="I1845" s="163"/>
    </row>
    <row r="1846" spans="1:9" x14ac:dyDescent="0.2">
      <c r="A1846" s="3"/>
      <c r="B1846" s="162"/>
      <c r="C1846" s="167"/>
      <c r="D1846" s="167"/>
      <c r="E1846" s="168"/>
      <c r="F1846" s="169" t="s">
        <v>11</v>
      </c>
      <c r="G1846" s="170" t="s">
        <v>264</v>
      </c>
      <c r="H1846" s="171">
        <f>SUM(H1844:H1844)</f>
        <v>4</v>
      </c>
      <c r="I1846" s="172" t="s">
        <v>277</v>
      </c>
    </row>
    <row r="1847" spans="1:9" ht="23.25" customHeight="1" x14ac:dyDescent="0.2">
      <c r="A1847" s="3" t="str">
        <f>'Orçamento Sintético'!A388</f>
        <v>19.2.4</v>
      </c>
      <c r="B1847" s="279" t="str">
        <f>'Orçamento Sintético'!D388</f>
        <v>LUMINÁRIA DE EMERGÊNCIA, DE SOBREPOR, TIPO BALIZAMENTO COM BLOCO AUTÔNOMO, COM AUTONOMIA DE 3H, MODELO LLE 1106-1DFB, DA KBR OU SIMILAR</v>
      </c>
      <c r="C1847" s="280"/>
      <c r="D1847" s="280"/>
      <c r="E1847" s="281"/>
      <c r="F1847" s="162"/>
      <c r="G1847" s="162"/>
      <c r="H1847" s="162"/>
      <c r="I1847" s="163"/>
    </row>
    <row r="1848" spans="1:9" x14ac:dyDescent="0.2">
      <c r="A1848" s="3"/>
      <c r="B1848" s="164" t="s">
        <v>260</v>
      </c>
      <c r="C1848" s="164" t="s">
        <v>8</v>
      </c>
      <c r="D1848" s="164" t="s">
        <v>266</v>
      </c>
      <c r="E1848" s="164" t="s">
        <v>261</v>
      </c>
      <c r="F1848" s="164" t="s">
        <v>262</v>
      </c>
      <c r="G1848" s="164" t="s">
        <v>263</v>
      </c>
      <c r="H1848" s="164" t="s">
        <v>11</v>
      </c>
      <c r="I1848" s="163"/>
    </row>
    <row r="1849" spans="1:9" ht="25.5" x14ac:dyDescent="0.2">
      <c r="A1849" s="3"/>
      <c r="B1849" s="165" t="s">
        <v>557</v>
      </c>
      <c r="C1849" s="161">
        <v>4</v>
      </c>
      <c r="D1849" s="161"/>
      <c r="E1849" s="161"/>
      <c r="F1849" s="161"/>
      <c r="G1849" s="161"/>
      <c r="H1849" s="8">
        <f>PRODUCT(C1849,D1849,E1849,F1849,G1849)</f>
        <v>4</v>
      </c>
      <c r="I1849" s="163"/>
    </row>
    <row r="1850" spans="1:9" x14ac:dyDescent="0.2">
      <c r="A1850" s="3"/>
      <c r="B1850" s="166"/>
      <c r="C1850" s="161"/>
      <c r="D1850" s="161"/>
      <c r="E1850" s="161"/>
      <c r="F1850" s="161"/>
      <c r="G1850" s="161"/>
      <c r="H1850" s="8">
        <f>ROUND(IF(PRODUCT(IF(C1850=0,1,C1850),IF(E1850=0,1,E1850),IF(F1850=0,1,F1850),IF(G1850=0,1,G1850))=1,0,PRODUCT(IF(C1850=0,1,C1850),IF(E1850=0,1,E1850),IF(F1850=0,1,F1850),IF(G1850=0,1,G1850))),2)</f>
        <v>0</v>
      </c>
      <c r="I1850" s="163"/>
    </row>
    <row r="1851" spans="1:9" x14ac:dyDescent="0.2">
      <c r="A1851" s="3"/>
      <c r="B1851" s="162"/>
      <c r="C1851" s="167"/>
      <c r="D1851" s="167"/>
      <c r="E1851" s="168"/>
      <c r="F1851" s="169" t="s">
        <v>11</v>
      </c>
      <c r="G1851" s="170" t="s">
        <v>264</v>
      </c>
      <c r="H1851" s="171">
        <f>SUM(H1849:H1849)</f>
        <v>4</v>
      </c>
      <c r="I1851" s="172" t="s">
        <v>277</v>
      </c>
    </row>
    <row r="1852" spans="1:9" ht="14.25" customHeight="1" x14ac:dyDescent="0.2">
      <c r="A1852" s="3" t="str">
        <f>'Orçamento Sintético'!A389</f>
        <v>19.2.5</v>
      </c>
      <c r="B1852" s="279" t="str">
        <f>'Orçamento Sintético'!D389</f>
        <v>PINTURA DE PISO COM TINTA EPÓXI, APLICAÇÃO MANUAL, 2 DEMÃOS, INCLUSO PRIMER EPÓXI. AF_05/2021</v>
      </c>
      <c r="C1852" s="280"/>
      <c r="D1852" s="280"/>
      <c r="E1852" s="281"/>
      <c r="F1852" s="162"/>
      <c r="G1852" s="162"/>
      <c r="H1852" s="162"/>
      <c r="I1852" s="163"/>
    </row>
    <row r="1853" spans="1:9" x14ac:dyDescent="0.2">
      <c r="A1853" s="3"/>
      <c r="B1853" s="164" t="s">
        <v>260</v>
      </c>
      <c r="C1853" s="164" t="s">
        <v>8</v>
      </c>
      <c r="D1853" s="164" t="s">
        <v>266</v>
      </c>
      <c r="E1853" s="164" t="s">
        <v>261</v>
      </c>
      <c r="F1853" s="164" t="s">
        <v>262</v>
      </c>
      <c r="G1853" s="164" t="s">
        <v>263</v>
      </c>
      <c r="H1853" s="164" t="s">
        <v>11</v>
      </c>
      <c r="I1853" s="163"/>
    </row>
    <row r="1854" spans="1:9" ht="25.5" x14ac:dyDescent="0.2">
      <c r="A1854" s="3"/>
      <c r="B1854" s="165" t="s">
        <v>557</v>
      </c>
      <c r="C1854" s="161"/>
      <c r="D1854" s="161"/>
      <c r="E1854" s="161">
        <v>1</v>
      </c>
      <c r="F1854" s="161">
        <v>1</v>
      </c>
      <c r="G1854" s="161"/>
      <c r="H1854" s="8">
        <f>PRODUCT(C1854,D1854,E1854,F1854,G1854)</f>
        <v>1</v>
      </c>
      <c r="I1854" s="163"/>
    </row>
    <row r="1855" spans="1:9" x14ac:dyDescent="0.2">
      <c r="A1855" s="3"/>
      <c r="B1855" s="166"/>
      <c r="C1855" s="161"/>
      <c r="D1855" s="161"/>
      <c r="E1855" s="161"/>
      <c r="F1855" s="161"/>
      <c r="G1855" s="161"/>
      <c r="H1855" s="8">
        <f>ROUND(IF(PRODUCT(IF(C1855=0,1,C1855),IF(E1855=0,1,E1855),IF(F1855=0,1,F1855),IF(G1855=0,1,G1855))=1,0,PRODUCT(IF(C1855=0,1,C1855),IF(E1855=0,1,E1855),IF(F1855=0,1,F1855),IF(G1855=0,1,G1855))),2)</f>
        <v>0</v>
      </c>
      <c r="I1855" s="163"/>
    </row>
    <row r="1856" spans="1:9" x14ac:dyDescent="0.2">
      <c r="A1856" s="3"/>
      <c r="B1856" s="162"/>
      <c r="C1856" s="167"/>
      <c r="D1856" s="167"/>
      <c r="E1856" s="168"/>
      <c r="F1856" s="169" t="s">
        <v>11</v>
      </c>
      <c r="G1856" s="170" t="s">
        <v>264</v>
      </c>
      <c r="H1856" s="171">
        <f>SUM(H1854:H1854)</f>
        <v>1</v>
      </c>
      <c r="I1856" s="172" t="s">
        <v>17</v>
      </c>
    </row>
  </sheetData>
  <mergeCells count="394">
    <mergeCell ref="B402:E402"/>
    <mergeCell ref="B412:E412"/>
    <mergeCell ref="B407:E407"/>
    <mergeCell ref="B1223:E1223"/>
    <mergeCell ref="B1230:E1230"/>
    <mergeCell ref="B1244:E1244"/>
    <mergeCell ref="C1229:I1229"/>
    <mergeCell ref="B1188:E1188"/>
    <mergeCell ref="B1200:E1200"/>
    <mergeCell ref="B1207:E1207"/>
    <mergeCell ref="B1131:E1131"/>
    <mergeCell ref="B1183:E1183"/>
    <mergeCell ref="B1126:E1126"/>
    <mergeCell ref="B1146:E1146"/>
    <mergeCell ref="B1171:E1171"/>
    <mergeCell ref="B836:E836"/>
    <mergeCell ref="B841:E841"/>
    <mergeCell ref="B856:E856"/>
    <mergeCell ref="B861:E861"/>
    <mergeCell ref="B846:E846"/>
    <mergeCell ref="B868:E868"/>
    <mergeCell ref="B898:E898"/>
    <mergeCell ref="B851:E851"/>
    <mergeCell ref="B883:E883"/>
    <mergeCell ref="C1793:I1793"/>
    <mergeCell ref="B1794:E1794"/>
    <mergeCell ref="B1799:E1799"/>
    <mergeCell ref="B1804:E1804"/>
    <mergeCell ref="B1809:E1809"/>
    <mergeCell ref="C997:I997"/>
    <mergeCell ref="B950:E950"/>
    <mergeCell ref="C1034:I1034"/>
    <mergeCell ref="B1035:E1035"/>
    <mergeCell ref="B1045:E1045"/>
    <mergeCell ref="B1060:E1060"/>
    <mergeCell ref="B1299:E1299"/>
    <mergeCell ref="B1306:E1306"/>
    <mergeCell ref="B1313:E1313"/>
    <mergeCell ref="B1319:E1319"/>
    <mergeCell ref="B1328:E1328"/>
    <mergeCell ref="C1337:I1337"/>
    <mergeCell ref="B1338:E1338"/>
    <mergeCell ref="B1347:E1347"/>
    <mergeCell ref="C1274:I1274"/>
    <mergeCell ref="C1275:I1275"/>
    <mergeCell ref="B1276:E1276"/>
    <mergeCell ref="B1285:E1285"/>
    <mergeCell ref="B1294:E1294"/>
    <mergeCell ref="B195:E195"/>
    <mergeCell ref="B200:E200"/>
    <mergeCell ref="B205:E205"/>
    <mergeCell ref="B1084:E1084"/>
    <mergeCell ref="B1089:E1089"/>
    <mergeCell ref="B1094:E1094"/>
    <mergeCell ref="C866:I866"/>
    <mergeCell ref="C867:I867"/>
    <mergeCell ref="B758:E758"/>
    <mergeCell ref="B763:E763"/>
    <mergeCell ref="B786:E786"/>
    <mergeCell ref="C541:I541"/>
    <mergeCell ref="C542:I542"/>
    <mergeCell ref="B543:E543"/>
    <mergeCell ref="B718:E718"/>
    <mergeCell ref="B565:E565"/>
    <mergeCell ref="B579:E579"/>
    <mergeCell ref="B584:E584"/>
    <mergeCell ref="C589:I589"/>
    <mergeCell ref="C590:I590"/>
    <mergeCell ref="B591:E591"/>
    <mergeCell ref="C682:I682"/>
    <mergeCell ref="B683:E683"/>
    <mergeCell ref="B688:E688"/>
    <mergeCell ref="B140:E140"/>
    <mergeCell ref="B145:E145"/>
    <mergeCell ref="B150:E150"/>
    <mergeCell ref="B169:E169"/>
    <mergeCell ref="B174:E174"/>
    <mergeCell ref="C167:I167"/>
    <mergeCell ref="C168:I168"/>
    <mergeCell ref="B179:E179"/>
    <mergeCell ref="B190:E190"/>
    <mergeCell ref="B1832:E1832"/>
    <mergeCell ref="B796:E796"/>
    <mergeCell ref="B1003:E1003"/>
    <mergeCell ref="C1065:I1065"/>
    <mergeCell ref="C1066:I1066"/>
    <mergeCell ref="C1113:I1113"/>
    <mergeCell ref="C1152:I1152"/>
    <mergeCell ref="C1177:I1177"/>
    <mergeCell ref="B1193:E1193"/>
    <mergeCell ref="B1067:E1067"/>
    <mergeCell ref="B1073:E1073"/>
    <mergeCell ref="B1079:E1079"/>
    <mergeCell ref="B955:E955"/>
    <mergeCell ref="B966:E966"/>
    <mergeCell ref="B971:E971"/>
    <mergeCell ref="B976:E976"/>
    <mergeCell ref="B982:E982"/>
    <mergeCell ref="B908:E908"/>
    <mergeCell ref="B914:E914"/>
    <mergeCell ref="B923:E923"/>
    <mergeCell ref="B932:E932"/>
    <mergeCell ref="B940:E940"/>
    <mergeCell ref="B1165:E1165"/>
    <mergeCell ref="B1178:E1178"/>
    <mergeCell ref="B903:E903"/>
    <mergeCell ref="B987:E987"/>
    <mergeCell ref="B806:E806"/>
    <mergeCell ref="B811:E811"/>
    <mergeCell ref="B816:E816"/>
    <mergeCell ref="B873:E873"/>
    <mergeCell ref="B826:E826"/>
    <mergeCell ref="C913:I913"/>
    <mergeCell ref="C949:I949"/>
    <mergeCell ref="C965:I965"/>
    <mergeCell ref="B878:E878"/>
    <mergeCell ref="B888:E888"/>
    <mergeCell ref="B893:E893"/>
    <mergeCell ref="C981:I981"/>
    <mergeCell ref="B366:E366"/>
    <mergeCell ref="C371:I371"/>
    <mergeCell ref="C372:I372"/>
    <mergeCell ref="B831:E831"/>
    <mergeCell ref="B693:E693"/>
    <mergeCell ref="B743:E743"/>
    <mergeCell ref="B748:E748"/>
    <mergeCell ref="B656:E656"/>
    <mergeCell ref="B661:E661"/>
    <mergeCell ref="B596:E596"/>
    <mergeCell ref="C780:I780"/>
    <mergeCell ref="B738:E738"/>
    <mergeCell ref="B666:E666"/>
    <mergeCell ref="B781:E781"/>
    <mergeCell ref="B606:E606"/>
    <mergeCell ref="B753:E753"/>
    <mergeCell ref="C503:I503"/>
    <mergeCell ref="C504:I504"/>
    <mergeCell ref="B505:E505"/>
    <mergeCell ref="B510:E510"/>
    <mergeCell ref="C517:I517"/>
    <mergeCell ref="B723:E723"/>
    <mergeCell ref="B728:E728"/>
    <mergeCell ref="B394:E394"/>
    <mergeCell ref="B1816:E1816"/>
    <mergeCell ref="B1821:E1821"/>
    <mergeCell ref="C1814:I1814"/>
    <mergeCell ref="C1249:I1249"/>
    <mergeCell ref="B1250:E1250"/>
    <mergeCell ref="B1264:E1264"/>
    <mergeCell ref="B1269:E1269"/>
    <mergeCell ref="C1199:I1199"/>
    <mergeCell ref="B998:E998"/>
    <mergeCell ref="C1008:I1008"/>
    <mergeCell ref="B1009:E1009"/>
    <mergeCell ref="B1014:E1014"/>
    <mergeCell ref="C1206:I1206"/>
    <mergeCell ref="B1120:E1120"/>
    <mergeCell ref="B1159:E1159"/>
    <mergeCell ref="B1217:E1217"/>
    <mergeCell ref="B1105:E1105"/>
    <mergeCell ref="B1040:E1040"/>
    <mergeCell ref="B1114:E1114"/>
    <mergeCell ref="B1099:E1099"/>
    <mergeCell ref="B1055:E1055"/>
    <mergeCell ref="B1136:E1136"/>
    <mergeCell ref="B1141:E1141"/>
    <mergeCell ref="B1153:E1153"/>
    <mergeCell ref="B340:E340"/>
    <mergeCell ref="B241:E241"/>
    <mergeCell ref="B248:E248"/>
    <mergeCell ref="C246:I246"/>
    <mergeCell ref="C284:I284"/>
    <mergeCell ref="C285:I285"/>
    <mergeCell ref="B210:E210"/>
    <mergeCell ref="C215:I215"/>
    <mergeCell ref="B216:E216"/>
    <mergeCell ref="C221:I221"/>
    <mergeCell ref="B222:E222"/>
    <mergeCell ref="B234:E234"/>
    <mergeCell ref="B279:E279"/>
    <mergeCell ref="B268:E268"/>
    <mergeCell ref="B262:E262"/>
    <mergeCell ref="C247:I247"/>
    <mergeCell ref="C267:I267"/>
    <mergeCell ref="C350:I350"/>
    <mergeCell ref="B351:E351"/>
    <mergeCell ref="B356:E356"/>
    <mergeCell ref="B361:E361"/>
    <mergeCell ref="B32:E32"/>
    <mergeCell ref="B37:E37"/>
    <mergeCell ref="A8:I8"/>
    <mergeCell ref="C9:I9"/>
    <mergeCell ref="B10:E10"/>
    <mergeCell ref="B306:E306"/>
    <mergeCell ref="B286:E286"/>
    <mergeCell ref="B291:E291"/>
    <mergeCell ref="B296:E296"/>
    <mergeCell ref="B301:E301"/>
    <mergeCell ref="B184:E184"/>
    <mergeCell ref="B124:E124"/>
    <mergeCell ref="B130:E130"/>
    <mergeCell ref="B155:E155"/>
    <mergeCell ref="B160:E160"/>
    <mergeCell ref="C63:I63"/>
    <mergeCell ref="C64:I64"/>
    <mergeCell ref="B101:E101"/>
    <mergeCell ref="B109:E109"/>
    <mergeCell ref="B118:E118"/>
    <mergeCell ref="C117:I117"/>
    <mergeCell ref="B73:E73"/>
    <mergeCell ref="B81:E81"/>
    <mergeCell ref="C189:I189"/>
    <mergeCell ref="A1:I1"/>
    <mergeCell ref="A2:I2"/>
    <mergeCell ref="A3:I3"/>
    <mergeCell ref="A4:I5"/>
    <mergeCell ref="B6:I6"/>
    <mergeCell ref="B7:F7"/>
    <mergeCell ref="H7:I7"/>
    <mergeCell ref="B27:E27"/>
    <mergeCell ref="B17:E17"/>
    <mergeCell ref="C15:I15"/>
    <mergeCell ref="B22:E22"/>
    <mergeCell ref="C16:I16"/>
    <mergeCell ref="B53:E53"/>
    <mergeCell ref="B47:E47"/>
    <mergeCell ref="B58:E58"/>
    <mergeCell ref="B65:E65"/>
    <mergeCell ref="B86:E86"/>
    <mergeCell ref="B91:E91"/>
    <mergeCell ref="B96:E96"/>
    <mergeCell ref="B135:E135"/>
    <mergeCell ref="C1815:I1815"/>
    <mergeCell ref="C1831:I1831"/>
    <mergeCell ref="B1837:E1837"/>
    <mergeCell ref="B1842:E1842"/>
    <mergeCell ref="B1847:E1847"/>
    <mergeCell ref="B1852:E1852"/>
    <mergeCell ref="C462:I462"/>
    <mergeCell ref="B463:E463"/>
    <mergeCell ref="B1050:E1050"/>
    <mergeCell ref="C530:I530"/>
    <mergeCell ref="B531:E531"/>
    <mergeCell ref="C768:I768"/>
    <mergeCell ref="B769:E769"/>
    <mergeCell ref="C774:I774"/>
    <mergeCell ref="B775:E775"/>
    <mergeCell ref="B821:E821"/>
    <mergeCell ref="B791:E791"/>
    <mergeCell ref="B698:E698"/>
    <mergeCell ref="B703:E703"/>
    <mergeCell ref="B708:E708"/>
    <mergeCell ref="B646:E646"/>
    <mergeCell ref="B651:E651"/>
    <mergeCell ref="B677:E677"/>
    <mergeCell ref="B1826:E1826"/>
    <mergeCell ref="B733:E733"/>
    <mergeCell ref="B554:E554"/>
    <mergeCell ref="B559:E559"/>
    <mergeCell ref="C564:I564"/>
    <mergeCell ref="B601:E601"/>
    <mergeCell ref="C671:I671"/>
    <mergeCell ref="B549:E549"/>
    <mergeCell ref="C548:I548"/>
    <mergeCell ref="B518:E518"/>
    <mergeCell ref="B611:E611"/>
    <mergeCell ref="B616:E616"/>
    <mergeCell ref="B621:E621"/>
    <mergeCell ref="B626:E626"/>
    <mergeCell ref="B631:E631"/>
    <mergeCell ref="B636:E636"/>
    <mergeCell ref="B641:E641"/>
    <mergeCell ref="B672:E672"/>
    <mergeCell ref="B713:E713"/>
    <mergeCell ref="B498:E498"/>
    <mergeCell ref="C497:I497"/>
    <mergeCell ref="B433:E433"/>
    <mergeCell ref="C438:I438"/>
    <mergeCell ref="B451:E451"/>
    <mergeCell ref="B457:E457"/>
    <mergeCell ref="B476:E476"/>
    <mergeCell ref="B486:E486"/>
    <mergeCell ref="C450:I450"/>
    <mergeCell ref="B439:E439"/>
    <mergeCell ref="B445:E445"/>
    <mergeCell ref="B470:E470"/>
    <mergeCell ref="B481:E481"/>
    <mergeCell ref="B345:E345"/>
    <mergeCell ref="C52:I52"/>
    <mergeCell ref="B1029:E1029"/>
    <mergeCell ref="B42:E42"/>
    <mergeCell ref="B330:E330"/>
    <mergeCell ref="B960:E960"/>
    <mergeCell ref="B1019:E1019"/>
    <mergeCell ref="B1024:E1024"/>
    <mergeCell ref="B992:E992"/>
    <mergeCell ref="B373:E373"/>
    <mergeCell ref="B381:E381"/>
    <mergeCell ref="B389:E389"/>
    <mergeCell ref="B417:E417"/>
    <mergeCell ref="B425:E425"/>
    <mergeCell ref="C432:I432"/>
    <mergeCell ref="B313:E313"/>
    <mergeCell ref="C312:I312"/>
    <mergeCell ref="B321:E321"/>
    <mergeCell ref="B335:E335"/>
    <mergeCell ref="C329:I329"/>
    <mergeCell ref="C468:I468"/>
    <mergeCell ref="C469:I469"/>
    <mergeCell ref="C491:I491"/>
    <mergeCell ref="B492:E492"/>
    <mergeCell ref="C1405:I1405"/>
    <mergeCell ref="B1406:E1406"/>
    <mergeCell ref="B1415:E1415"/>
    <mergeCell ref="B1424:E1424"/>
    <mergeCell ref="B1433:E1433"/>
    <mergeCell ref="C1442:I1442"/>
    <mergeCell ref="B1443:E1443"/>
    <mergeCell ref="B1448:E1448"/>
    <mergeCell ref="B1356:E1356"/>
    <mergeCell ref="B1361:E1361"/>
    <mergeCell ref="B1368:E1368"/>
    <mergeCell ref="B1375:E1375"/>
    <mergeCell ref="B1382:E1382"/>
    <mergeCell ref="B1387:E1387"/>
    <mergeCell ref="B1396:E1396"/>
    <mergeCell ref="B1475:E1475"/>
    <mergeCell ref="B1477:H1477"/>
    <mergeCell ref="C1488:I1488"/>
    <mergeCell ref="B1489:E1489"/>
    <mergeCell ref="B1491:H1491"/>
    <mergeCell ref="B1505:E1505"/>
    <mergeCell ref="B1453:E1453"/>
    <mergeCell ref="B1458:E1458"/>
    <mergeCell ref="C1464:I1464"/>
    <mergeCell ref="B1465:E1465"/>
    <mergeCell ref="B1467:H1467"/>
    <mergeCell ref="C1535:I1535"/>
    <mergeCell ref="C1536:I1536"/>
    <mergeCell ref="B1537:E1537"/>
    <mergeCell ref="B1545:E1545"/>
    <mergeCell ref="B1553:E1553"/>
    <mergeCell ref="B1558:E1558"/>
    <mergeCell ref="B1563:E1563"/>
    <mergeCell ref="B1568:E1568"/>
    <mergeCell ref="C1510:I1510"/>
    <mergeCell ref="B1511:E1511"/>
    <mergeCell ref="B1525:E1525"/>
    <mergeCell ref="B1530:E1530"/>
    <mergeCell ref="B1573:E1573"/>
    <mergeCell ref="B1578:E1578"/>
    <mergeCell ref="B1586:E1586"/>
    <mergeCell ref="C1595:I1595"/>
    <mergeCell ref="B1596:E1596"/>
    <mergeCell ref="B1603:E1603"/>
    <mergeCell ref="B1610:E1610"/>
    <mergeCell ref="B1615:E1615"/>
    <mergeCell ref="B1620:E1620"/>
    <mergeCell ref="B1625:E1625"/>
    <mergeCell ref="B1630:E1630"/>
    <mergeCell ref="B1635:E1635"/>
    <mergeCell ref="B1640:E1640"/>
    <mergeCell ref="B1645:E1645"/>
    <mergeCell ref="B1651:E1651"/>
    <mergeCell ref="C1660:I1660"/>
    <mergeCell ref="B1661:E1661"/>
    <mergeCell ref="B1667:E1667"/>
    <mergeCell ref="B1712:E1712"/>
    <mergeCell ref="C1718:I1718"/>
    <mergeCell ref="B1719:E1719"/>
    <mergeCell ref="C1725:I1725"/>
    <mergeCell ref="B1726:E1726"/>
    <mergeCell ref="B1673:E1673"/>
    <mergeCell ref="B1679:E1679"/>
    <mergeCell ref="B1685:E1685"/>
    <mergeCell ref="C1691:I1691"/>
    <mergeCell ref="B1692:E1692"/>
    <mergeCell ref="B1697:E1697"/>
    <mergeCell ref="B1702:E1702"/>
    <mergeCell ref="B1707:E1707"/>
    <mergeCell ref="B1760:E1760"/>
    <mergeCell ref="B1765:E1765"/>
    <mergeCell ref="B1771:E1771"/>
    <mergeCell ref="C1777:I1777"/>
    <mergeCell ref="B1778:E1778"/>
    <mergeCell ref="B1783:E1783"/>
    <mergeCell ref="B1788:E1788"/>
    <mergeCell ref="C1733:I1733"/>
    <mergeCell ref="B1734:E1734"/>
    <mergeCell ref="B1741:E1741"/>
    <mergeCell ref="C1746:I1746"/>
    <mergeCell ref="B1747:E1747"/>
    <mergeCell ref="C1752:I1752"/>
    <mergeCell ref="B1753:E1753"/>
  </mergeCells>
  <pageMargins left="0.511811024" right="0.511811024" top="0.78740157499999996" bottom="0.78740157499999996" header="0.31496062000000002" footer="0.31496062000000002"/>
  <pageSetup paperSize="9" scale="7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C2C49-C574-435F-A5E0-8741E5D6B1FC}">
  <sheetPr>
    <pageSetUpPr fitToPage="1"/>
  </sheetPr>
  <dimension ref="A1:L48"/>
  <sheetViews>
    <sheetView topLeftCell="C22" zoomScale="90" zoomScaleNormal="90" zoomScaleSheetLayoutView="83" workbookViewId="0">
      <selection activeCell="I36" sqref="I36"/>
    </sheetView>
  </sheetViews>
  <sheetFormatPr defaultRowHeight="14.25" x14ac:dyDescent="0.2"/>
  <cols>
    <col min="1" max="1" width="6.5" style="28" customWidth="1"/>
    <col min="2" max="2" width="42.75" style="28" customWidth="1"/>
    <col min="3" max="3" width="4.75" style="28" customWidth="1"/>
    <col min="4" max="11" width="13.75" style="39" customWidth="1"/>
    <col min="12" max="12" width="19.875" style="39" customWidth="1"/>
    <col min="13" max="249" width="8.75" style="28"/>
    <col min="250" max="250" width="5.625" style="28" customWidth="1"/>
    <col min="251" max="251" width="22.625" style="28" customWidth="1"/>
    <col min="252" max="252" width="4.75" style="28" customWidth="1"/>
    <col min="253" max="259" width="9.375" style="28" customWidth="1"/>
    <col min="260" max="505" width="8.75" style="28"/>
    <col min="506" max="506" width="5.625" style="28" customWidth="1"/>
    <col min="507" max="507" width="22.625" style="28" customWidth="1"/>
    <col min="508" max="508" width="4.75" style="28" customWidth="1"/>
    <col min="509" max="515" width="9.375" style="28" customWidth="1"/>
    <col min="516" max="761" width="8.75" style="28"/>
    <col min="762" max="762" width="5.625" style="28" customWidth="1"/>
    <col min="763" max="763" width="22.625" style="28" customWidth="1"/>
    <col min="764" max="764" width="4.75" style="28" customWidth="1"/>
    <col min="765" max="771" width="9.375" style="28" customWidth="1"/>
    <col min="772" max="1017" width="8.75" style="28"/>
    <col min="1018" max="1018" width="5.625" style="28" customWidth="1"/>
    <col min="1019" max="1019" width="22.625" style="28" customWidth="1"/>
    <col min="1020" max="1020" width="4.75" style="28" customWidth="1"/>
    <col min="1021" max="1027" width="9.375" style="28" customWidth="1"/>
    <col min="1028" max="1273" width="8.75" style="28"/>
    <col min="1274" max="1274" width="5.625" style="28" customWidth="1"/>
    <col min="1275" max="1275" width="22.625" style="28" customWidth="1"/>
    <col min="1276" max="1276" width="4.75" style="28" customWidth="1"/>
    <col min="1277" max="1283" width="9.375" style="28" customWidth="1"/>
    <col min="1284" max="1529" width="8.75" style="28"/>
    <col min="1530" max="1530" width="5.625" style="28" customWidth="1"/>
    <col min="1531" max="1531" width="22.625" style="28" customWidth="1"/>
    <col min="1532" max="1532" width="4.75" style="28" customWidth="1"/>
    <col min="1533" max="1539" width="9.375" style="28" customWidth="1"/>
    <col min="1540" max="1785" width="8.75" style="28"/>
    <col min="1786" max="1786" width="5.625" style="28" customWidth="1"/>
    <col min="1787" max="1787" width="22.625" style="28" customWidth="1"/>
    <col min="1788" max="1788" width="4.75" style="28" customWidth="1"/>
    <col min="1789" max="1795" width="9.375" style="28" customWidth="1"/>
    <col min="1796" max="2041" width="8.75" style="28"/>
    <col min="2042" max="2042" width="5.625" style="28" customWidth="1"/>
    <col min="2043" max="2043" width="22.625" style="28" customWidth="1"/>
    <col min="2044" max="2044" width="4.75" style="28" customWidth="1"/>
    <col min="2045" max="2051" width="9.375" style="28" customWidth="1"/>
    <col min="2052" max="2297" width="8.75" style="28"/>
    <col min="2298" max="2298" width="5.625" style="28" customWidth="1"/>
    <col min="2299" max="2299" width="22.625" style="28" customWidth="1"/>
    <col min="2300" max="2300" width="4.75" style="28" customWidth="1"/>
    <col min="2301" max="2307" width="9.375" style="28" customWidth="1"/>
    <col min="2308" max="2553" width="8.75" style="28"/>
    <col min="2554" max="2554" width="5.625" style="28" customWidth="1"/>
    <col min="2555" max="2555" width="22.625" style="28" customWidth="1"/>
    <col min="2556" max="2556" width="4.75" style="28" customWidth="1"/>
    <col min="2557" max="2563" width="9.375" style="28" customWidth="1"/>
    <col min="2564" max="2809" width="8.75" style="28"/>
    <col min="2810" max="2810" width="5.625" style="28" customWidth="1"/>
    <col min="2811" max="2811" width="22.625" style="28" customWidth="1"/>
    <col min="2812" max="2812" width="4.75" style="28" customWidth="1"/>
    <col min="2813" max="2819" width="9.375" style="28" customWidth="1"/>
    <col min="2820" max="3065" width="8.75" style="28"/>
    <col min="3066" max="3066" width="5.625" style="28" customWidth="1"/>
    <col min="3067" max="3067" width="22.625" style="28" customWidth="1"/>
    <col min="3068" max="3068" width="4.75" style="28" customWidth="1"/>
    <col min="3069" max="3075" width="9.375" style="28" customWidth="1"/>
    <col min="3076" max="3321" width="8.75" style="28"/>
    <col min="3322" max="3322" width="5.625" style="28" customWidth="1"/>
    <col min="3323" max="3323" width="22.625" style="28" customWidth="1"/>
    <col min="3324" max="3324" width="4.75" style="28" customWidth="1"/>
    <col min="3325" max="3331" width="9.375" style="28" customWidth="1"/>
    <col min="3332" max="3577" width="8.75" style="28"/>
    <col min="3578" max="3578" width="5.625" style="28" customWidth="1"/>
    <col min="3579" max="3579" width="22.625" style="28" customWidth="1"/>
    <col min="3580" max="3580" width="4.75" style="28" customWidth="1"/>
    <col min="3581" max="3587" width="9.375" style="28" customWidth="1"/>
    <col min="3588" max="3833" width="8.75" style="28"/>
    <col min="3834" max="3834" width="5.625" style="28" customWidth="1"/>
    <col min="3835" max="3835" width="22.625" style="28" customWidth="1"/>
    <col min="3836" max="3836" width="4.75" style="28" customWidth="1"/>
    <col min="3837" max="3843" width="9.375" style="28" customWidth="1"/>
    <col min="3844" max="4089" width="8.75" style="28"/>
    <col min="4090" max="4090" width="5.625" style="28" customWidth="1"/>
    <col min="4091" max="4091" width="22.625" style="28" customWidth="1"/>
    <col min="4092" max="4092" width="4.75" style="28" customWidth="1"/>
    <col min="4093" max="4099" width="9.375" style="28" customWidth="1"/>
    <col min="4100" max="4345" width="8.75" style="28"/>
    <col min="4346" max="4346" width="5.625" style="28" customWidth="1"/>
    <col min="4347" max="4347" width="22.625" style="28" customWidth="1"/>
    <col min="4348" max="4348" width="4.75" style="28" customWidth="1"/>
    <col min="4349" max="4355" width="9.375" style="28" customWidth="1"/>
    <col min="4356" max="4601" width="8.75" style="28"/>
    <col min="4602" max="4602" width="5.625" style="28" customWidth="1"/>
    <col min="4603" max="4603" width="22.625" style="28" customWidth="1"/>
    <col min="4604" max="4604" width="4.75" style="28" customWidth="1"/>
    <col min="4605" max="4611" width="9.375" style="28" customWidth="1"/>
    <col min="4612" max="4857" width="8.75" style="28"/>
    <col min="4858" max="4858" width="5.625" style="28" customWidth="1"/>
    <col min="4859" max="4859" width="22.625" style="28" customWidth="1"/>
    <col min="4860" max="4860" width="4.75" style="28" customWidth="1"/>
    <col min="4861" max="4867" width="9.375" style="28" customWidth="1"/>
    <col min="4868" max="5113" width="8.75" style="28"/>
    <col min="5114" max="5114" width="5.625" style="28" customWidth="1"/>
    <col min="5115" max="5115" width="22.625" style="28" customWidth="1"/>
    <col min="5116" max="5116" width="4.75" style="28" customWidth="1"/>
    <col min="5117" max="5123" width="9.375" style="28" customWidth="1"/>
    <col min="5124" max="5369" width="8.75" style="28"/>
    <col min="5370" max="5370" width="5.625" style="28" customWidth="1"/>
    <col min="5371" max="5371" width="22.625" style="28" customWidth="1"/>
    <col min="5372" max="5372" width="4.75" style="28" customWidth="1"/>
    <col min="5373" max="5379" width="9.375" style="28" customWidth="1"/>
    <col min="5380" max="5625" width="8.75" style="28"/>
    <col min="5626" max="5626" width="5.625" style="28" customWidth="1"/>
    <col min="5627" max="5627" width="22.625" style="28" customWidth="1"/>
    <col min="5628" max="5628" width="4.75" style="28" customWidth="1"/>
    <col min="5629" max="5635" width="9.375" style="28" customWidth="1"/>
    <col min="5636" max="5881" width="8.75" style="28"/>
    <col min="5882" max="5882" width="5.625" style="28" customWidth="1"/>
    <col min="5883" max="5883" width="22.625" style="28" customWidth="1"/>
    <col min="5884" max="5884" width="4.75" style="28" customWidth="1"/>
    <col min="5885" max="5891" width="9.375" style="28" customWidth="1"/>
    <col min="5892" max="6137" width="8.75" style="28"/>
    <col min="6138" max="6138" width="5.625" style="28" customWidth="1"/>
    <col min="6139" max="6139" width="22.625" style="28" customWidth="1"/>
    <col min="6140" max="6140" width="4.75" style="28" customWidth="1"/>
    <col min="6141" max="6147" width="9.375" style="28" customWidth="1"/>
    <col min="6148" max="6393" width="8.75" style="28"/>
    <col min="6394" max="6394" width="5.625" style="28" customWidth="1"/>
    <col min="6395" max="6395" width="22.625" style="28" customWidth="1"/>
    <col min="6396" max="6396" width="4.75" style="28" customWidth="1"/>
    <col min="6397" max="6403" width="9.375" style="28" customWidth="1"/>
    <col min="6404" max="6649" width="8.75" style="28"/>
    <col min="6650" max="6650" width="5.625" style="28" customWidth="1"/>
    <col min="6651" max="6651" width="22.625" style="28" customWidth="1"/>
    <col min="6652" max="6652" width="4.75" style="28" customWidth="1"/>
    <col min="6653" max="6659" width="9.375" style="28" customWidth="1"/>
    <col min="6660" max="6905" width="8.75" style="28"/>
    <col min="6906" max="6906" width="5.625" style="28" customWidth="1"/>
    <col min="6907" max="6907" width="22.625" style="28" customWidth="1"/>
    <col min="6908" max="6908" width="4.75" style="28" customWidth="1"/>
    <col min="6909" max="6915" width="9.375" style="28" customWidth="1"/>
    <col min="6916" max="7161" width="8.75" style="28"/>
    <col min="7162" max="7162" width="5.625" style="28" customWidth="1"/>
    <col min="7163" max="7163" width="22.625" style="28" customWidth="1"/>
    <col min="7164" max="7164" width="4.75" style="28" customWidth="1"/>
    <col min="7165" max="7171" width="9.375" style="28" customWidth="1"/>
    <col min="7172" max="7417" width="8.75" style="28"/>
    <col min="7418" max="7418" width="5.625" style="28" customWidth="1"/>
    <col min="7419" max="7419" width="22.625" style="28" customWidth="1"/>
    <col min="7420" max="7420" width="4.75" style="28" customWidth="1"/>
    <col min="7421" max="7427" width="9.375" style="28" customWidth="1"/>
    <col min="7428" max="7673" width="8.75" style="28"/>
    <col min="7674" max="7674" width="5.625" style="28" customWidth="1"/>
    <col min="7675" max="7675" width="22.625" style="28" customWidth="1"/>
    <col min="7676" max="7676" width="4.75" style="28" customWidth="1"/>
    <col min="7677" max="7683" width="9.375" style="28" customWidth="1"/>
    <col min="7684" max="7929" width="8.75" style="28"/>
    <col min="7930" max="7930" width="5.625" style="28" customWidth="1"/>
    <col min="7931" max="7931" width="22.625" style="28" customWidth="1"/>
    <col min="7932" max="7932" width="4.75" style="28" customWidth="1"/>
    <col min="7933" max="7939" width="9.375" style="28" customWidth="1"/>
    <col min="7940" max="8185" width="8.75" style="28"/>
    <col min="8186" max="8186" width="5.625" style="28" customWidth="1"/>
    <col min="8187" max="8187" width="22.625" style="28" customWidth="1"/>
    <col min="8188" max="8188" width="4.75" style="28" customWidth="1"/>
    <col min="8189" max="8195" width="9.375" style="28" customWidth="1"/>
    <col min="8196" max="8441" width="8.75" style="28"/>
    <col min="8442" max="8442" width="5.625" style="28" customWidth="1"/>
    <col min="8443" max="8443" width="22.625" style="28" customWidth="1"/>
    <col min="8444" max="8444" width="4.75" style="28" customWidth="1"/>
    <col min="8445" max="8451" width="9.375" style="28" customWidth="1"/>
    <col min="8452" max="8697" width="8.75" style="28"/>
    <col min="8698" max="8698" width="5.625" style="28" customWidth="1"/>
    <col min="8699" max="8699" width="22.625" style="28" customWidth="1"/>
    <col min="8700" max="8700" width="4.75" style="28" customWidth="1"/>
    <col min="8701" max="8707" width="9.375" style="28" customWidth="1"/>
    <col min="8708" max="8953" width="8.75" style="28"/>
    <col min="8954" max="8954" width="5.625" style="28" customWidth="1"/>
    <col min="8955" max="8955" width="22.625" style="28" customWidth="1"/>
    <col min="8956" max="8956" width="4.75" style="28" customWidth="1"/>
    <col min="8957" max="8963" width="9.375" style="28" customWidth="1"/>
    <col min="8964" max="9209" width="8.75" style="28"/>
    <col min="9210" max="9210" width="5.625" style="28" customWidth="1"/>
    <col min="9211" max="9211" width="22.625" style="28" customWidth="1"/>
    <col min="9212" max="9212" width="4.75" style="28" customWidth="1"/>
    <col min="9213" max="9219" width="9.375" style="28" customWidth="1"/>
    <col min="9220" max="9465" width="8.75" style="28"/>
    <col min="9466" max="9466" width="5.625" style="28" customWidth="1"/>
    <col min="9467" max="9467" width="22.625" style="28" customWidth="1"/>
    <col min="9468" max="9468" width="4.75" style="28" customWidth="1"/>
    <col min="9469" max="9475" width="9.375" style="28" customWidth="1"/>
    <col min="9476" max="9721" width="8.75" style="28"/>
    <col min="9722" max="9722" width="5.625" style="28" customWidth="1"/>
    <col min="9723" max="9723" width="22.625" style="28" customWidth="1"/>
    <col min="9724" max="9724" width="4.75" style="28" customWidth="1"/>
    <col min="9725" max="9731" width="9.375" style="28" customWidth="1"/>
    <col min="9732" max="9977" width="8.75" style="28"/>
    <col min="9978" max="9978" width="5.625" style="28" customWidth="1"/>
    <col min="9979" max="9979" width="22.625" style="28" customWidth="1"/>
    <col min="9980" max="9980" width="4.75" style="28" customWidth="1"/>
    <col min="9981" max="9987" width="9.375" style="28" customWidth="1"/>
    <col min="9988" max="10233" width="8.75" style="28"/>
    <col min="10234" max="10234" width="5.625" style="28" customWidth="1"/>
    <col min="10235" max="10235" width="22.625" style="28" customWidth="1"/>
    <col min="10236" max="10236" width="4.75" style="28" customWidth="1"/>
    <col min="10237" max="10243" width="9.375" style="28" customWidth="1"/>
    <col min="10244" max="10489" width="8.75" style="28"/>
    <col min="10490" max="10490" width="5.625" style="28" customWidth="1"/>
    <col min="10491" max="10491" width="22.625" style="28" customWidth="1"/>
    <col min="10492" max="10492" width="4.75" style="28" customWidth="1"/>
    <col min="10493" max="10499" width="9.375" style="28" customWidth="1"/>
    <col min="10500" max="10745" width="8.75" style="28"/>
    <col min="10746" max="10746" width="5.625" style="28" customWidth="1"/>
    <col min="10747" max="10747" width="22.625" style="28" customWidth="1"/>
    <col min="10748" max="10748" width="4.75" style="28" customWidth="1"/>
    <col min="10749" max="10755" width="9.375" style="28" customWidth="1"/>
    <col min="10756" max="11001" width="8.75" style="28"/>
    <col min="11002" max="11002" width="5.625" style="28" customWidth="1"/>
    <col min="11003" max="11003" width="22.625" style="28" customWidth="1"/>
    <col min="11004" max="11004" width="4.75" style="28" customWidth="1"/>
    <col min="11005" max="11011" width="9.375" style="28" customWidth="1"/>
    <col min="11012" max="11257" width="8.75" style="28"/>
    <col min="11258" max="11258" width="5.625" style="28" customWidth="1"/>
    <col min="11259" max="11259" width="22.625" style="28" customWidth="1"/>
    <col min="11260" max="11260" width="4.75" style="28" customWidth="1"/>
    <col min="11261" max="11267" width="9.375" style="28" customWidth="1"/>
    <col min="11268" max="11513" width="8.75" style="28"/>
    <col min="11514" max="11514" width="5.625" style="28" customWidth="1"/>
    <col min="11515" max="11515" width="22.625" style="28" customWidth="1"/>
    <col min="11516" max="11516" width="4.75" style="28" customWidth="1"/>
    <col min="11517" max="11523" width="9.375" style="28" customWidth="1"/>
    <col min="11524" max="11769" width="8.75" style="28"/>
    <col min="11770" max="11770" width="5.625" style="28" customWidth="1"/>
    <col min="11771" max="11771" width="22.625" style="28" customWidth="1"/>
    <col min="11772" max="11772" width="4.75" style="28" customWidth="1"/>
    <col min="11773" max="11779" width="9.375" style="28" customWidth="1"/>
    <col min="11780" max="12025" width="8.75" style="28"/>
    <col min="12026" max="12026" width="5.625" style="28" customWidth="1"/>
    <col min="12027" max="12027" width="22.625" style="28" customWidth="1"/>
    <col min="12028" max="12028" width="4.75" style="28" customWidth="1"/>
    <col min="12029" max="12035" width="9.375" style="28" customWidth="1"/>
    <col min="12036" max="12281" width="8.75" style="28"/>
    <col min="12282" max="12282" width="5.625" style="28" customWidth="1"/>
    <col min="12283" max="12283" width="22.625" style="28" customWidth="1"/>
    <col min="12284" max="12284" width="4.75" style="28" customWidth="1"/>
    <col min="12285" max="12291" width="9.375" style="28" customWidth="1"/>
    <col min="12292" max="12537" width="8.75" style="28"/>
    <col min="12538" max="12538" width="5.625" style="28" customWidth="1"/>
    <col min="12539" max="12539" width="22.625" style="28" customWidth="1"/>
    <col min="12540" max="12540" width="4.75" style="28" customWidth="1"/>
    <col min="12541" max="12547" width="9.375" style="28" customWidth="1"/>
    <col min="12548" max="12793" width="8.75" style="28"/>
    <col min="12794" max="12794" width="5.625" style="28" customWidth="1"/>
    <col min="12795" max="12795" width="22.625" style="28" customWidth="1"/>
    <col min="12796" max="12796" width="4.75" style="28" customWidth="1"/>
    <col min="12797" max="12803" width="9.375" style="28" customWidth="1"/>
    <col min="12804" max="13049" width="8.75" style="28"/>
    <col min="13050" max="13050" width="5.625" style="28" customWidth="1"/>
    <col min="13051" max="13051" width="22.625" style="28" customWidth="1"/>
    <col min="13052" max="13052" width="4.75" style="28" customWidth="1"/>
    <col min="13053" max="13059" width="9.375" style="28" customWidth="1"/>
    <col min="13060" max="13305" width="8.75" style="28"/>
    <col min="13306" max="13306" width="5.625" style="28" customWidth="1"/>
    <col min="13307" max="13307" width="22.625" style="28" customWidth="1"/>
    <col min="13308" max="13308" width="4.75" style="28" customWidth="1"/>
    <col min="13309" max="13315" width="9.375" style="28" customWidth="1"/>
    <col min="13316" max="13561" width="8.75" style="28"/>
    <col min="13562" max="13562" width="5.625" style="28" customWidth="1"/>
    <col min="13563" max="13563" width="22.625" style="28" customWidth="1"/>
    <col min="13564" max="13564" width="4.75" style="28" customWidth="1"/>
    <col min="13565" max="13571" width="9.375" style="28" customWidth="1"/>
    <col min="13572" max="13817" width="8.75" style="28"/>
    <col min="13818" max="13818" width="5.625" style="28" customWidth="1"/>
    <col min="13819" max="13819" width="22.625" style="28" customWidth="1"/>
    <col min="13820" max="13820" width="4.75" style="28" customWidth="1"/>
    <col min="13821" max="13827" width="9.375" style="28" customWidth="1"/>
    <col min="13828" max="14073" width="8.75" style="28"/>
    <col min="14074" max="14074" width="5.625" style="28" customWidth="1"/>
    <col min="14075" max="14075" width="22.625" style="28" customWidth="1"/>
    <col min="14076" max="14076" width="4.75" style="28" customWidth="1"/>
    <col min="14077" max="14083" width="9.375" style="28" customWidth="1"/>
    <col min="14084" max="14329" width="8.75" style="28"/>
    <col min="14330" max="14330" width="5.625" style="28" customWidth="1"/>
    <col min="14331" max="14331" width="22.625" style="28" customWidth="1"/>
    <col min="14332" max="14332" width="4.75" style="28" customWidth="1"/>
    <col min="14333" max="14339" width="9.375" style="28" customWidth="1"/>
    <col min="14340" max="14585" width="8.75" style="28"/>
    <col min="14586" max="14586" width="5.625" style="28" customWidth="1"/>
    <col min="14587" max="14587" width="22.625" style="28" customWidth="1"/>
    <col min="14588" max="14588" width="4.75" style="28" customWidth="1"/>
    <col min="14589" max="14595" width="9.375" style="28" customWidth="1"/>
    <col min="14596" max="14841" width="8.75" style="28"/>
    <col min="14842" max="14842" width="5.625" style="28" customWidth="1"/>
    <col min="14843" max="14843" width="22.625" style="28" customWidth="1"/>
    <col min="14844" max="14844" width="4.75" style="28" customWidth="1"/>
    <col min="14845" max="14851" width="9.375" style="28" customWidth="1"/>
    <col min="14852" max="15097" width="8.75" style="28"/>
    <col min="15098" max="15098" width="5.625" style="28" customWidth="1"/>
    <col min="15099" max="15099" width="22.625" style="28" customWidth="1"/>
    <col min="15100" max="15100" width="4.75" style="28" customWidth="1"/>
    <col min="15101" max="15107" width="9.375" style="28" customWidth="1"/>
    <col min="15108" max="15353" width="8.75" style="28"/>
    <col min="15354" max="15354" width="5.625" style="28" customWidth="1"/>
    <col min="15355" max="15355" width="22.625" style="28" customWidth="1"/>
    <col min="15356" max="15356" width="4.75" style="28" customWidth="1"/>
    <col min="15357" max="15363" width="9.375" style="28" customWidth="1"/>
    <col min="15364" max="15609" width="8.75" style="28"/>
    <col min="15610" max="15610" width="5.625" style="28" customWidth="1"/>
    <col min="15611" max="15611" width="22.625" style="28" customWidth="1"/>
    <col min="15612" max="15612" width="4.75" style="28" customWidth="1"/>
    <col min="15613" max="15619" width="9.375" style="28" customWidth="1"/>
    <col min="15620" max="15865" width="8.75" style="28"/>
    <col min="15866" max="15866" width="5.625" style="28" customWidth="1"/>
    <col min="15867" max="15867" width="22.625" style="28" customWidth="1"/>
    <col min="15868" max="15868" width="4.75" style="28" customWidth="1"/>
    <col min="15869" max="15875" width="9.375" style="28" customWidth="1"/>
    <col min="15876" max="16121" width="8.75" style="28"/>
    <col min="16122" max="16122" width="5.625" style="28" customWidth="1"/>
    <col min="16123" max="16123" width="22.625" style="28" customWidth="1"/>
    <col min="16124" max="16124" width="4.75" style="28" customWidth="1"/>
    <col min="16125" max="16131" width="9.375" style="28" customWidth="1"/>
    <col min="16132" max="16384" width="8.75" style="28"/>
  </cols>
  <sheetData>
    <row r="1" spans="1:12" ht="15.75" x14ac:dyDescent="0.25">
      <c r="A1" s="313"/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5"/>
    </row>
    <row r="2" spans="1:12" ht="15.75" x14ac:dyDescent="0.25">
      <c r="A2" s="316" t="s">
        <v>328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8"/>
    </row>
    <row r="3" spans="1:12" ht="18.75" x14ac:dyDescent="0.3">
      <c r="A3" s="319"/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1"/>
    </row>
    <row r="4" spans="1:12" ht="18.75" x14ac:dyDescent="0.3">
      <c r="A4" s="319"/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2"/>
    </row>
    <row r="5" spans="1:12" ht="12.75" customHeight="1" x14ac:dyDescent="0.2">
      <c r="A5" s="29" t="s">
        <v>329</v>
      </c>
      <c r="B5" s="323" t="str">
        <f>MC!B6</f>
        <v>CONSTRUÇÃO DE UMA QUADRA POLIESPORTIVA NO MUNICIPIO DE CAETÉS - PE</v>
      </c>
      <c r="C5" s="323"/>
      <c r="D5" s="323"/>
      <c r="E5" s="323"/>
      <c r="F5" s="323"/>
      <c r="G5" s="323"/>
      <c r="H5" s="323"/>
      <c r="I5" s="323"/>
      <c r="J5" s="323"/>
      <c r="K5" s="323"/>
      <c r="L5" s="30"/>
    </row>
    <row r="6" spans="1:12" ht="12.75" x14ac:dyDescent="0.2">
      <c r="A6" s="31" t="str">
        <f>[1]BASE!A7</f>
        <v>LOCAL:</v>
      </c>
      <c r="B6" s="324" t="str">
        <f>MC!B7</f>
        <v>CAETÉS - PE</v>
      </c>
      <c r="C6" s="324"/>
      <c r="D6" s="324"/>
      <c r="E6" s="324"/>
      <c r="F6" s="324"/>
      <c r="G6" s="324"/>
      <c r="H6" s="324"/>
      <c r="I6" s="324"/>
      <c r="J6" s="324"/>
      <c r="K6" s="324"/>
      <c r="L6" s="30"/>
    </row>
    <row r="7" spans="1:12" ht="12.75" x14ac:dyDescent="0.2">
      <c r="A7" s="325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7"/>
    </row>
    <row r="8" spans="1:12" ht="13.5" thickBot="1" x14ac:dyDescent="0.25">
      <c r="A8" s="98" t="s">
        <v>330</v>
      </c>
      <c r="B8" s="98" t="s">
        <v>331</v>
      </c>
      <c r="C8" s="98"/>
      <c r="D8" s="99" t="s">
        <v>391</v>
      </c>
      <c r="E8" s="99" t="s">
        <v>392</v>
      </c>
      <c r="F8" s="99" t="s">
        <v>393</v>
      </c>
      <c r="G8" s="99" t="s">
        <v>394</v>
      </c>
      <c r="H8" s="99" t="s">
        <v>414</v>
      </c>
      <c r="I8" s="99" t="s">
        <v>415</v>
      </c>
      <c r="J8" s="99" t="s">
        <v>416</v>
      </c>
      <c r="K8" s="99" t="s">
        <v>417</v>
      </c>
      <c r="L8" s="99" t="s">
        <v>332</v>
      </c>
    </row>
    <row r="9" spans="1:12" ht="13.5" thickTop="1" x14ac:dyDescent="0.2">
      <c r="A9" s="328" t="str">
        <f>'Orçamento Sintético'!A7</f>
        <v>1.0</v>
      </c>
      <c r="B9" s="329" t="str">
        <f>'Orçamento Sintético'!D7</f>
        <v>ADMINISTRAÇÃO LOCAL</v>
      </c>
      <c r="C9" s="32" t="s">
        <v>333</v>
      </c>
      <c r="D9" s="33">
        <f t="shared" ref="D9:K9" si="0">D10*$L9</f>
        <v>3782.2649999999999</v>
      </c>
      <c r="E9" s="33">
        <f t="shared" si="0"/>
        <v>3782.2649999999999</v>
      </c>
      <c r="F9" s="33">
        <f t="shared" si="0"/>
        <v>3782.2649999999999</v>
      </c>
      <c r="G9" s="33">
        <f t="shared" si="0"/>
        <v>3782.2649999999999</v>
      </c>
      <c r="H9" s="33">
        <f t="shared" si="0"/>
        <v>3782.2649999999999</v>
      </c>
      <c r="I9" s="33">
        <f t="shared" si="0"/>
        <v>3782.2649999999999</v>
      </c>
      <c r="J9" s="33">
        <f t="shared" si="0"/>
        <v>3782.2649999999999</v>
      </c>
      <c r="K9" s="33">
        <f t="shared" si="0"/>
        <v>3782.2649999999999</v>
      </c>
      <c r="L9" s="33">
        <f>'Orçamento Sintético'!I7</f>
        <v>30258.12</v>
      </c>
    </row>
    <row r="10" spans="1:12" ht="12.75" x14ac:dyDescent="0.2">
      <c r="A10" s="310"/>
      <c r="B10" s="312"/>
      <c r="C10" s="34" t="s">
        <v>334</v>
      </c>
      <c r="D10" s="100">
        <f t="shared" ref="D10:K10" si="1">1/8</f>
        <v>0.125</v>
      </c>
      <c r="E10" s="100">
        <f t="shared" si="1"/>
        <v>0.125</v>
      </c>
      <c r="F10" s="100">
        <f t="shared" si="1"/>
        <v>0.125</v>
      </c>
      <c r="G10" s="100">
        <f t="shared" si="1"/>
        <v>0.125</v>
      </c>
      <c r="H10" s="100">
        <f t="shared" si="1"/>
        <v>0.125</v>
      </c>
      <c r="I10" s="100">
        <f t="shared" si="1"/>
        <v>0.125</v>
      </c>
      <c r="J10" s="100">
        <f t="shared" si="1"/>
        <v>0.125</v>
      </c>
      <c r="K10" s="100">
        <f t="shared" si="1"/>
        <v>0.125</v>
      </c>
      <c r="L10" s="35">
        <f>SUM(D10:K10)</f>
        <v>1</v>
      </c>
    </row>
    <row r="11" spans="1:12" ht="12.75" x14ac:dyDescent="0.2">
      <c r="A11" s="309" t="str">
        <f>'Orçamento Sintético'!A9</f>
        <v>2.0</v>
      </c>
      <c r="B11" s="311" t="str">
        <f>'Orçamento Sintético'!D9</f>
        <v>INSTALAÇÕES PROVISÓRIAS / SERVIÇOS PRELIMINARES</v>
      </c>
      <c r="C11" s="36" t="s">
        <v>333</v>
      </c>
      <c r="D11" s="101">
        <f t="shared" ref="D11:K11" si="2">D12*$L11</f>
        <v>71415.51999999999</v>
      </c>
      <c r="E11" s="101">
        <f t="shared" si="2"/>
        <v>0</v>
      </c>
      <c r="F11" s="101">
        <f t="shared" si="2"/>
        <v>0</v>
      </c>
      <c r="G11" s="101">
        <f t="shared" si="2"/>
        <v>0</v>
      </c>
      <c r="H11" s="101">
        <f t="shared" si="2"/>
        <v>0</v>
      </c>
      <c r="I11" s="101">
        <f t="shared" si="2"/>
        <v>0</v>
      </c>
      <c r="J11" s="101">
        <f t="shared" si="2"/>
        <v>0</v>
      </c>
      <c r="K11" s="101">
        <f t="shared" si="2"/>
        <v>0</v>
      </c>
      <c r="L11" s="33">
        <f>'Orçamento Sintético'!I9</f>
        <v>71415.51999999999</v>
      </c>
    </row>
    <row r="12" spans="1:12" ht="12.75" x14ac:dyDescent="0.2">
      <c r="A12" s="310"/>
      <c r="B12" s="312"/>
      <c r="C12" s="34" t="s">
        <v>334</v>
      </c>
      <c r="D12" s="102">
        <v>1</v>
      </c>
      <c r="E12" s="102"/>
      <c r="F12" s="102"/>
      <c r="G12" s="102"/>
      <c r="H12" s="102"/>
      <c r="I12" s="102"/>
      <c r="J12" s="102"/>
      <c r="K12" s="102"/>
      <c r="L12" s="35">
        <f>SUM(D12:K12)</f>
        <v>1</v>
      </c>
    </row>
    <row r="13" spans="1:12" ht="12.75" x14ac:dyDescent="0.2">
      <c r="A13" s="309" t="str">
        <f>'Orçamento Sintético'!A21</f>
        <v>3.0</v>
      </c>
      <c r="B13" s="311" t="str">
        <f>'Orçamento Sintético'!D21</f>
        <v xml:space="preserve">INFRAESTRUTURA - BANHEIROS </v>
      </c>
      <c r="C13" s="36" t="s">
        <v>333</v>
      </c>
      <c r="D13" s="101">
        <f t="shared" ref="D13:K13" si="3">D14*$L13</f>
        <v>0</v>
      </c>
      <c r="E13" s="101">
        <f t="shared" si="3"/>
        <v>13572.08</v>
      </c>
      <c r="F13" s="101">
        <f t="shared" si="3"/>
        <v>0</v>
      </c>
      <c r="G13" s="101">
        <f t="shared" si="3"/>
        <v>0</v>
      </c>
      <c r="H13" s="101">
        <f t="shared" si="3"/>
        <v>0</v>
      </c>
      <c r="I13" s="101">
        <f t="shared" si="3"/>
        <v>0</v>
      </c>
      <c r="J13" s="101">
        <f t="shared" si="3"/>
        <v>0</v>
      </c>
      <c r="K13" s="101">
        <f t="shared" si="3"/>
        <v>0</v>
      </c>
      <c r="L13" s="33">
        <f>'Orçamento Sintético'!I21</f>
        <v>13572.08</v>
      </c>
    </row>
    <row r="14" spans="1:12" ht="12.75" x14ac:dyDescent="0.2">
      <c r="A14" s="310"/>
      <c r="B14" s="312"/>
      <c r="C14" s="34" t="s">
        <v>334</v>
      </c>
      <c r="D14" s="102"/>
      <c r="E14" s="102">
        <v>1</v>
      </c>
      <c r="F14" s="102"/>
      <c r="G14" s="102"/>
      <c r="H14" s="102"/>
      <c r="I14" s="102"/>
      <c r="J14" s="102"/>
      <c r="K14" s="102"/>
      <c r="L14" s="35">
        <f>SUM(D14:K14)</f>
        <v>1</v>
      </c>
    </row>
    <row r="15" spans="1:12" ht="12.75" x14ac:dyDescent="0.2">
      <c r="A15" s="309" t="str">
        <f>'Orçamento Sintético'!A41</f>
        <v>4.0</v>
      </c>
      <c r="B15" s="311" t="str">
        <f>'Orçamento Sintético'!D41</f>
        <v xml:space="preserve">SUPERESTRUTURA - BANHEIROS </v>
      </c>
      <c r="C15" s="36" t="s">
        <v>333</v>
      </c>
      <c r="D15" s="101">
        <f t="shared" ref="D15:K15" si="4">D16*$L15</f>
        <v>0</v>
      </c>
      <c r="E15" s="101">
        <f t="shared" si="4"/>
        <v>31369.95</v>
      </c>
      <c r="F15" s="101">
        <f t="shared" si="4"/>
        <v>0</v>
      </c>
      <c r="G15" s="101">
        <f t="shared" si="4"/>
        <v>0</v>
      </c>
      <c r="H15" s="101">
        <f t="shared" si="4"/>
        <v>0</v>
      </c>
      <c r="I15" s="101">
        <f t="shared" si="4"/>
        <v>0</v>
      </c>
      <c r="J15" s="101">
        <f t="shared" si="4"/>
        <v>0</v>
      </c>
      <c r="K15" s="101">
        <f t="shared" si="4"/>
        <v>0</v>
      </c>
      <c r="L15" s="33">
        <f>'Orçamento Sintético'!I41</f>
        <v>31369.95</v>
      </c>
    </row>
    <row r="16" spans="1:12" ht="12.75" x14ac:dyDescent="0.2">
      <c r="A16" s="310"/>
      <c r="B16" s="312"/>
      <c r="C16" s="34" t="s">
        <v>334</v>
      </c>
      <c r="D16" s="102"/>
      <c r="E16" s="102">
        <v>1</v>
      </c>
      <c r="F16" s="102"/>
      <c r="G16" s="102"/>
      <c r="H16" s="102"/>
      <c r="I16" s="102"/>
      <c r="J16" s="102"/>
      <c r="K16" s="102"/>
      <c r="L16" s="35">
        <f>SUM(D16:K16)</f>
        <v>1</v>
      </c>
    </row>
    <row r="17" spans="1:12" ht="12.75" x14ac:dyDescent="0.2">
      <c r="A17" s="309" t="str">
        <f>'Orçamento Sintético'!A59</f>
        <v>5.0</v>
      </c>
      <c r="B17" s="311" t="str">
        <f>'Orçamento Sintético'!D59</f>
        <v xml:space="preserve">CHAPISCO / REBOCO - BANHEIROS  </v>
      </c>
      <c r="C17" s="36" t="s">
        <v>333</v>
      </c>
      <c r="D17" s="101">
        <f t="shared" ref="D17:K17" si="5">D18*$L17</f>
        <v>0</v>
      </c>
      <c r="E17" s="101">
        <f t="shared" si="5"/>
        <v>0</v>
      </c>
      <c r="F17" s="101">
        <f t="shared" si="5"/>
        <v>14884.899999999998</v>
      </c>
      <c r="G17" s="101">
        <f t="shared" si="5"/>
        <v>0</v>
      </c>
      <c r="H17" s="101">
        <f t="shared" si="5"/>
        <v>0</v>
      </c>
      <c r="I17" s="101">
        <f t="shared" si="5"/>
        <v>0</v>
      </c>
      <c r="J17" s="101">
        <f t="shared" si="5"/>
        <v>0</v>
      </c>
      <c r="K17" s="101">
        <f t="shared" si="5"/>
        <v>0</v>
      </c>
      <c r="L17" s="33">
        <f>'Orçamento Sintético'!I59</f>
        <v>14884.899999999998</v>
      </c>
    </row>
    <row r="18" spans="1:12" ht="12.75" x14ac:dyDescent="0.2">
      <c r="A18" s="310"/>
      <c r="B18" s="312"/>
      <c r="C18" s="34" t="s">
        <v>334</v>
      </c>
      <c r="D18" s="102"/>
      <c r="E18" s="102"/>
      <c r="F18" s="102">
        <v>1</v>
      </c>
      <c r="G18" s="102"/>
      <c r="H18" s="102"/>
      <c r="I18" s="102"/>
      <c r="J18" s="102"/>
      <c r="K18" s="102"/>
      <c r="L18" s="35">
        <f>SUM(D18:K18)</f>
        <v>1</v>
      </c>
    </row>
    <row r="19" spans="1:12" ht="12.75" x14ac:dyDescent="0.2">
      <c r="A19" s="309" t="str">
        <f>'Orçamento Sintético'!A66</f>
        <v>6.0</v>
      </c>
      <c r="B19" s="311" t="str">
        <f>'Orçamento Sintético'!D66</f>
        <v>PAVIMENTAÇÃO</v>
      </c>
      <c r="C19" s="36" t="s">
        <v>333</v>
      </c>
      <c r="D19" s="101">
        <f t="shared" ref="D19:K19" si="6">D20*$L19</f>
        <v>0</v>
      </c>
      <c r="E19" s="101">
        <f t="shared" si="6"/>
        <v>0</v>
      </c>
      <c r="F19" s="101">
        <f t="shared" si="6"/>
        <v>20422.887999999999</v>
      </c>
      <c r="G19" s="101">
        <f t="shared" si="6"/>
        <v>61268.66399999999</v>
      </c>
      <c r="H19" s="101">
        <f t="shared" si="6"/>
        <v>61268.66399999999</v>
      </c>
      <c r="I19" s="101">
        <f t="shared" si="6"/>
        <v>61268.66399999999</v>
      </c>
      <c r="J19" s="101">
        <f t="shared" si="6"/>
        <v>0</v>
      </c>
      <c r="K19" s="101">
        <f t="shared" si="6"/>
        <v>0</v>
      </c>
      <c r="L19" s="33">
        <f>'Orçamento Sintético'!I66</f>
        <v>204228.87999999998</v>
      </c>
    </row>
    <row r="20" spans="1:12" ht="12.75" x14ac:dyDescent="0.2">
      <c r="A20" s="310"/>
      <c r="B20" s="312"/>
      <c r="C20" s="34" t="s">
        <v>334</v>
      </c>
      <c r="D20" s="102"/>
      <c r="E20" s="102"/>
      <c r="F20" s="102">
        <v>0.1</v>
      </c>
      <c r="G20" s="102">
        <v>0.3</v>
      </c>
      <c r="H20" s="102">
        <v>0.3</v>
      </c>
      <c r="I20" s="102">
        <v>0.3</v>
      </c>
      <c r="J20" s="102"/>
      <c r="K20" s="102"/>
      <c r="L20" s="35">
        <f>SUM(D20:K20)</f>
        <v>1</v>
      </c>
    </row>
    <row r="21" spans="1:12" ht="12.75" x14ac:dyDescent="0.2">
      <c r="A21" s="309" t="str">
        <f>'Orçamento Sintético'!A81</f>
        <v>7.0</v>
      </c>
      <c r="B21" s="311" t="str">
        <f>'Orçamento Sintético'!D81</f>
        <v>COBERTA - BANHEIRO</v>
      </c>
      <c r="C21" s="36" t="s">
        <v>333</v>
      </c>
      <c r="D21" s="101">
        <f t="shared" ref="D21:K21" si="7">D22*$L21</f>
        <v>0</v>
      </c>
      <c r="E21" s="101">
        <f t="shared" si="7"/>
        <v>0</v>
      </c>
      <c r="F21" s="101">
        <f t="shared" si="7"/>
        <v>4278.2700000000004</v>
      </c>
      <c r="G21" s="101">
        <f t="shared" si="7"/>
        <v>0</v>
      </c>
      <c r="H21" s="101">
        <f t="shared" si="7"/>
        <v>0</v>
      </c>
      <c r="I21" s="101">
        <f t="shared" si="7"/>
        <v>0</v>
      </c>
      <c r="J21" s="101">
        <f t="shared" si="7"/>
        <v>0</v>
      </c>
      <c r="K21" s="101">
        <f t="shared" si="7"/>
        <v>0</v>
      </c>
      <c r="L21" s="33">
        <f>'Orçamento Sintético'!I81</f>
        <v>4278.2700000000004</v>
      </c>
    </row>
    <row r="22" spans="1:12" ht="12.75" x14ac:dyDescent="0.2">
      <c r="A22" s="310"/>
      <c r="B22" s="312"/>
      <c r="C22" s="34" t="s">
        <v>334</v>
      </c>
      <c r="D22" s="102"/>
      <c r="E22" s="102"/>
      <c r="F22" s="102">
        <v>1</v>
      </c>
      <c r="G22" s="102"/>
      <c r="H22" s="102"/>
      <c r="I22" s="102"/>
      <c r="J22" s="102"/>
      <c r="K22" s="102"/>
      <c r="L22" s="35">
        <f>SUM(D22:K22)</f>
        <v>1</v>
      </c>
    </row>
    <row r="23" spans="1:12" ht="12.75" x14ac:dyDescent="0.2">
      <c r="A23" s="309" t="str">
        <f>'Orçamento Sintético'!A86</f>
        <v>8.0</v>
      </c>
      <c r="B23" s="311" t="str">
        <f>'Orçamento Sintético'!D86</f>
        <v>ESTRUTURA METÁLICA / COBERTA - QUADRA</v>
      </c>
      <c r="C23" s="36" t="s">
        <v>333</v>
      </c>
      <c r="D23" s="101">
        <f t="shared" ref="D23:K23" si="8">D24*$L23</f>
        <v>0</v>
      </c>
      <c r="E23" s="101">
        <f t="shared" si="8"/>
        <v>0</v>
      </c>
      <c r="F23" s="101">
        <f t="shared" si="8"/>
        <v>143373.32</v>
      </c>
      <c r="G23" s="101">
        <f t="shared" si="8"/>
        <v>143373.32</v>
      </c>
      <c r="H23" s="101">
        <f t="shared" si="8"/>
        <v>143373.32</v>
      </c>
      <c r="I23" s="101">
        <f t="shared" si="8"/>
        <v>143373.32</v>
      </c>
      <c r="J23" s="101">
        <f t="shared" si="8"/>
        <v>143373.32</v>
      </c>
      <c r="K23" s="101">
        <f t="shared" si="8"/>
        <v>0</v>
      </c>
      <c r="L23" s="33">
        <f>'Orçamento Sintético'!I86</f>
        <v>716866.6</v>
      </c>
    </row>
    <row r="24" spans="1:12" ht="12.75" x14ac:dyDescent="0.2">
      <c r="A24" s="310"/>
      <c r="B24" s="312"/>
      <c r="C24" s="34" t="s">
        <v>334</v>
      </c>
      <c r="D24" s="102"/>
      <c r="E24" s="102"/>
      <c r="F24" s="102">
        <v>0.2</v>
      </c>
      <c r="G24" s="102">
        <v>0.2</v>
      </c>
      <c r="H24" s="102">
        <v>0.2</v>
      </c>
      <c r="I24" s="102">
        <v>0.2</v>
      </c>
      <c r="J24" s="102">
        <v>0.2</v>
      </c>
      <c r="K24" s="102"/>
      <c r="L24" s="35">
        <f>SUM(D24:K24)</f>
        <v>1</v>
      </c>
    </row>
    <row r="25" spans="1:12" ht="12.75" x14ac:dyDescent="0.2">
      <c r="A25" s="309" t="str">
        <f>'Orçamento Sintético'!A107</f>
        <v>9.0</v>
      </c>
      <c r="B25" s="311" t="str">
        <f>'Orçamento Sintético'!D107</f>
        <v>ESQUADRIAS - BANHEIROS</v>
      </c>
      <c r="C25" s="36" t="s">
        <v>333</v>
      </c>
      <c r="D25" s="101">
        <f t="shared" ref="D25:K25" si="9">D26*$L25</f>
        <v>0</v>
      </c>
      <c r="E25" s="101">
        <f t="shared" si="9"/>
        <v>0</v>
      </c>
      <c r="F25" s="101">
        <f t="shared" si="9"/>
        <v>12128.1</v>
      </c>
      <c r="G25" s="101">
        <f t="shared" si="9"/>
        <v>0</v>
      </c>
      <c r="H25" s="101">
        <f t="shared" si="9"/>
        <v>0</v>
      </c>
      <c r="I25" s="101">
        <f t="shared" si="9"/>
        <v>0</v>
      </c>
      <c r="J25" s="101">
        <f t="shared" si="9"/>
        <v>0</v>
      </c>
      <c r="K25" s="101">
        <f t="shared" si="9"/>
        <v>0</v>
      </c>
      <c r="L25" s="33">
        <f>'Orçamento Sintético'!I107</f>
        <v>12128.1</v>
      </c>
    </row>
    <row r="26" spans="1:12" ht="12.75" x14ac:dyDescent="0.2">
      <c r="A26" s="310"/>
      <c r="B26" s="312"/>
      <c r="C26" s="34" t="s">
        <v>334</v>
      </c>
      <c r="D26" s="102"/>
      <c r="E26" s="102"/>
      <c r="F26" s="102">
        <v>1</v>
      </c>
      <c r="G26" s="102"/>
      <c r="H26" s="102"/>
      <c r="I26" s="102"/>
      <c r="J26" s="102"/>
      <c r="K26" s="102"/>
      <c r="L26" s="35">
        <f>SUM(D26:K26)</f>
        <v>1</v>
      </c>
    </row>
    <row r="27" spans="1:12" ht="12.75" x14ac:dyDescent="0.2">
      <c r="A27" s="309" t="str">
        <f>'Orçamento Sintético'!A115</f>
        <v>10.0</v>
      </c>
      <c r="B27" s="311" t="str">
        <f>'Orçamento Sintético'!D115</f>
        <v>FORROS - BANHEIROS</v>
      </c>
      <c r="C27" s="36" t="s">
        <v>333</v>
      </c>
      <c r="D27" s="101">
        <f t="shared" ref="D27:K27" si="10">D28*$L27</f>
        <v>0</v>
      </c>
      <c r="E27" s="101">
        <f t="shared" si="10"/>
        <v>0</v>
      </c>
      <c r="F27" s="101">
        <f t="shared" si="10"/>
        <v>0</v>
      </c>
      <c r="G27" s="101">
        <f t="shared" si="10"/>
        <v>1602.47</v>
      </c>
      <c r="H27" s="101">
        <f t="shared" si="10"/>
        <v>0</v>
      </c>
      <c r="I27" s="101">
        <f t="shared" si="10"/>
        <v>0</v>
      </c>
      <c r="J27" s="101">
        <f t="shared" si="10"/>
        <v>0</v>
      </c>
      <c r="K27" s="101">
        <f t="shared" si="10"/>
        <v>0</v>
      </c>
      <c r="L27" s="33">
        <f>'Orçamento Sintético'!I115</f>
        <v>1602.47</v>
      </c>
    </row>
    <row r="28" spans="1:12" ht="12.75" x14ac:dyDescent="0.2">
      <c r="A28" s="310"/>
      <c r="B28" s="312"/>
      <c r="C28" s="34" t="s">
        <v>334</v>
      </c>
      <c r="D28" s="102"/>
      <c r="E28" s="102"/>
      <c r="F28" s="102"/>
      <c r="G28" s="102">
        <v>1</v>
      </c>
      <c r="H28" s="102"/>
      <c r="I28" s="102"/>
      <c r="J28" s="102"/>
      <c r="K28" s="102"/>
      <c r="L28" s="35">
        <f>SUM(D28:K28)</f>
        <v>1</v>
      </c>
    </row>
    <row r="29" spans="1:12" ht="12.75" x14ac:dyDescent="0.2">
      <c r="A29" s="309" t="str">
        <f>'Orçamento Sintético'!A117</f>
        <v>11.0</v>
      </c>
      <c r="B29" s="311" t="str">
        <f>'Orçamento Sintético'!D117</f>
        <v>ACABAMENTOS DE PISO E PAREDES - BANHEIROS</v>
      </c>
      <c r="C29" s="36" t="s">
        <v>333</v>
      </c>
      <c r="D29" s="101">
        <f t="shared" ref="D29:K29" si="11">D30*$L29</f>
        <v>0</v>
      </c>
      <c r="E29" s="101">
        <f t="shared" si="11"/>
        <v>0</v>
      </c>
      <c r="F29" s="101">
        <f t="shared" si="11"/>
        <v>0</v>
      </c>
      <c r="G29" s="101">
        <f t="shared" si="11"/>
        <v>0</v>
      </c>
      <c r="H29" s="101">
        <f t="shared" si="11"/>
        <v>0</v>
      </c>
      <c r="I29" s="101">
        <f t="shared" si="11"/>
        <v>0</v>
      </c>
      <c r="J29" s="101">
        <f t="shared" si="11"/>
        <v>15566.66</v>
      </c>
      <c r="K29" s="101">
        <f t="shared" si="11"/>
        <v>0</v>
      </c>
      <c r="L29" s="33">
        <f>'Orçamento Sintético'!I117</f>
        <v>15566.66</v>
      </c>
    </row>
    <row r="30" spans="1:12" ht="12.75" x14ac:dyDescent="0.2">
      <c r="A30" s="310"/>
      <c r="B30" s="312"/>
      <c r="C30" s="34" t="s">
        <v>334</v>
      </c>
      <c r="D30" s="102"/>
      <c r="E30" s="102"/>
      <c r="F30" s="102"/>
      <c r="G30" s="102"/>
      <c r="H30" s="102"/>
      <c r="I30" s="102"/>
      <c r="J30" s="102">
        <v>1</v>
      </c>
      <c r="K30" s="102"/>
      <c r="L30" s="35">
        <f>SUM(D30:K30)</f>
        <v>1</v>
      </c>
    </row>
    <row r="31" spans="1:12" ht="12.75" x14ac:dyDescent="0.2">
      <c r="A31" s="309" t="str">
        <f>'Orçamento Sintético'!A125</f>
        <v>12.0</v>
      </c>
      <c r="B31" s="311" t="str">
        <f>'Orçamento Sintético'!D125</f>
        <v>PINTURA - PISO DA QUADRA / BANHEIROS</v>
      </c>
      <c r="C31" s="36" t="s">
        <v>333</v>
      </c>
      <c r="D31" s="101">
        <f t="shared" ref="D31:K31" si="12">D32*$L31</f>
        <v>0</v>
      </c>
      <c r="E31" s="101">
        <f t="shared" si="12"/>
        <v>0</v>
      </c>
      <c r="F31" s="101">
        <f t="shared" si="12"/>
        <v>0</v>
      </c>
      <c r="G31" s="101">
        <f t="shared" si="12"/>
        <v>0</v>
      </c>
      <c r="H31" s="101">
        <f t="shared" si="12"/>
        <v>0</v>
      </c>
      <c r="I31" s="101">
        <f t="shared" si="12"/>
        <v>0</v>
      </c>
      <c r="J31" s="101">
        <f t="shared" si="12"/>
        <v>30962.215</v>
      </c>
      <c r="K31" s="101">
        <f t="shared" si="12"/>
        <v>30962.215</v>
      </c>
      <c r="L31" s="33">
        <f>'Orçamento Sintético'!I125</f>
        <v>61924.43</v>
      </c>
    </row>
    <row r="32" spans="1:12" ht="12.75" x14ac:dyDescent="0.2">
      <c r="A32" s="310"/>
      <c r="B32" s="312"/>
      <c r="C32" s="34" t="s">
        <v>334</v>
      </c>
      <c r="D32" s="102"/>
      <c r="E32" s="102"/>
      <c r="F32" s="102"/>
      <c r="G32" s="102"/>
      <c r="H32" s="102"/>
      <c r="I32" s="102"/>
      <c r="J32" s="102">
        <v>0.5</v>
      </c>
      <c r="K32" s="102">
        <v>0.5</v>
      </c>
      <c r="L32" s="35">
        <f>SUM(D32:K32)</f>
        <v>1</v>
      </c>
    </row>
    <row r="33" spans="1:12" ht="12.75" x14ac:dyDescent="0.2">
      <c r="A33" s="309" t="str">
        <f>'Orçamento Sintético'!A136</f>
        <v>13.0</v>
      </c>
      <c r="B33" s="311" t="str">
        <f>'Orçamento Sintético'!D136</f>
        <v>INSTALAÇÕES HIDROSSANITÁRIAS</v>
      </c>
      <c r="C33" s="36" t="s">
        <v>333</v>
      </c>
      <c r="D33" s="101">
        <f t="shared" ref="D33:K33" si="13">D34*$L33</f>
        <v>0</v>
      </c>
      <c r="E33" s="101">
        <f t="shared" si="13"/>
        <v>43721.274999999994</v>
      </c>
      <c r="F33" s="101">
        <f t="shared" si="13"/>
        <v>0</v>
      </c>
      <c r="G33" s="101">
        <f t="shared" si="13"/>
        <v>0</v>
      </c>
      <c r="H33" s="101">
        <f t="shared" si="13"/>
        <v>0</v>
      </c>
      <c r="I33" s="101">
        <f t="shared" si="13"/>
        <v>0</v>
      </c>
      <c r="J33" s="101">
        <f t="shared" si="13"/>
        <v>0</v>
      </c>
      <c r="K33" s="101">
        <f t="shared" si="13"/>
        <v>43721.274999999994</v>
      </c>
      <c r="L33" s="33">
        <f>'Orçamento Sintético'!I136</f>
        <v>87442.549999999988</v>
      </c>
    </row>
    <row r="34" spans="1:12" ht="12.75" x14ac:dyDescent="0.2">
      <c r="A34" s="310"/>
      <c r="B34" s="312"/>
      <c r="C34" s="34" t="s">
        <v>334</v>
      </c>
      <c r="D34" s="102"/>
      <c r="E34" s="102">
        <v>0.5</v>
      </c>
      <c r="F34" s="102"/>
      <c r="G34" s="102"/>
      <c r="H34" s="102"/>
      <c r="I34" s="102"/>
      <c r="J34" s="102"/>
      <c r="K34" s="102">
        <v>0.5</v>
      </c>
      <c r="L34" s="35">
        <f>SUM(D34:K34)</f>
        <v>1</v>
      </c>
    </row>
    <row r="35" spans="1:12" ht="12.75" x14ac:dyDescent="0.2">
      <c r="A35" s="309" t="str">
        <f>'Orçamento Sintético'!A196</f>
        <v>14.0</v>
      </c>
      <c r="B35" s="311" t="str">
        <f>'Orçamento Sintético'!D196</f>
        <v>INSTALAÇÕES ELETRICAS</v>
      </c>
      <c r="C35" s="36" t="s">
        <v>333</v>
      </c>
      <c r="D35" s="101">
        <f t="shared" ref="D35:K35" si="14">D36*$L35</f>
        <v>0</v>
      </c>
      <c r="E35" s="101">
        <f t="shared" si="14"/>
        <v>33345.760000000002</v>
      </c>
      <c r="F35" s="101">
        <f t="shared" si="14"/>
        <v>0</v>
      </c>
      <c r="G35" s="101">
        <f t="shared" si="14"/>
        <v>0</v>
      </c>
      <c r="H35" s="101">
        <f t="shared" si="14"/>
        <v>0</v>
      </c>
      <c r="I35" s="101">
        <f t="shared" si="14"/>
        <v>0</v>
      </c>
      <c r="J35" s="101">
        <f t="shared" si="14"/>
        <v>0</v>
      </c>
      <c r="K35" s="101">
        <f t="shared" si="14"/>
        <v>14291.04</v>
      </c>
      <c r="L35" s="33">
        <f>'Orçamento Sintético'!I196</f>
        <v>47636.800000000003</v>
      </c>
    </row>
    <row r="36" spans="1:12" ht="12.75" x14ac:dyDescent="0.2">
      <c r="A36" s="310"/>
      <c r="B36" s="312"/>
      <c r="C36" s="34" t="s">
        <v>334</v>
      </c>
      <c r="D36" s="102"/>
      <c r="E36" s="102">
        <v>0.7</v>
      </c>
      <c r="F36" s="102"/>
      <c r="G36" s="102"/>
      <c r="H36" s="102"/>
      <c r="I36" s="102"/>
      <c r="J36" s="102"/>
      <c r="K36" s="102">
        <v>0.3</v>
      </c>
      <c r="L36" s="35">
        <f>SUM(D36:K36)</f>
        <v>1</v>
      </c>
    </row>
    <row r="37" spans="1:12" ht="12.75" x14ac:dyDescent="0.2">
      <c r="A37" s="309" t="str">
        <f>'Orçamento Sintético'!A240</f>
        <v>15.0</v>
      </c>
      <c r="B37" s="311" t="str">
        <f>'Orçamento Sintético'!D240</f>
        <v>ARQUIBANCADA</v>
      </c>
      <c r="C37" s="36" t="s">
        <v>333</v>
      </c>
      <c r="D37" s="101">
        <f t="shared" ref="D37:K43" si="15">D38*$L37</f>
        <v>0</v>
      </c>
      <c r="E37" s="101">
        <f t="shared" si="15"/>
        <v>107206.379</v>
      </c>
      <c r="F37" s="101">
        <f t="shared" si="15"/>
        <v>0</v>
      </c>
      <c r="G37" s="101">
        <f t="shared" si="15"/>
        <v>0</v>
      </c>
      <c r="H37" s="101">
        <f t="shared" si="15"/>
        <v>0</v>
      </c>
      <c r="I37" s="101">
        <f t="shared" si="15"/>
        <v>0</v>
      </c>
      <c r="J37" s="101">
        <f t="shared" si="15"/>
        <v>0</v>
      </c>
      <c r="K37" s="101">
        <f t="shared" si="15"/>
        <v>45945.591</v>
      </c>
      <c r="L37" s="33">
        <f>'Orçamento Sintético'!I240</f>
        <v>153151.97</v>
      </c>
    </row>
    <row r="38" spans="1:12" ht="12.75" x14ac:dyDescent="0.2">
      <c r="A38" s="310"/>
      <c r="B38" s="312"/>
      <c r="C38" s="34" t="s">
        <v>334</v>
      </c>
      <c r="D38" s="102"/>
      <c r="E38" s="102">
        <v>0.7</v>
      </c>
      <c r="F38" s="102"/>
      <c r="G38" s="102"/>
      <c r="H38" s="102"/>
      <c r="I38" s="102"/>
      <c r="J38" s="102"/>
      <c r="K38" s="102">
        <v>0.3</v>
      </c>
      <c r="L38" s="35">
        <f>SUM(D38:K38)</f>
        <v>1</v>
      </c>
    </row>
    <row r="39" spans="1:12" ht="12.75" x14ac:dyDescent="0.2">
      <c r="A39" s="309" t="str">
        <f>'Orçamento Sintético'!A281</f>
        <v>16.0</v>
      </c>
      <c r="B39" s="311" t="str">
        <f>'Orçamento Sintético'!D281</f>
        <v>MURO DE ARRIMO / MURO EXTERNO / MURETA DO GRADIL</v>
      </c>
      <c r="C39" s="36" t="s">
        <v>333</v>
      </c>
      <c r="D39" s="101">
        <f t="shared" si="15"/>
        <v>174970.90099999998</v>
      </c>
      <c r="E39" s="101">
        <f t="shared" si="15"/>
        <v>0</v>
      </c>
      <c r="F39" s="101">
        <f t="shared" si="15"/>
        <v>0</v>
      </c>
      <c r="G39" s="101">
        <f t="shared" si="15"/>
        <v>0</v>
      </c>
      <c r="H39" s="101">
        <f t="shared" si="15"/>
        <v>0</v>
      </c>
      <c r="I39" s="101">
        <f t="shared" si="15"/>
        <v>0</v>
      </c>
      <c r="J39" s="101">
        <f t="shared" si="15"/>
        <v>0</v>
      </c>
      <c r="K39" s="101">
        <f t="shared" si="15"/>
        <v>74987.528999999995</v>
      </c>
      <c r="L39" s="33">
        <f>'Orçamento Sintético'!I281</f>
        <v>249958.43</v>
      </c>
    </row>
    <row r="40" spans="1:12" ht="12.75" x14ac:dyDescent="0.2">
      <c r="A40" s="310"/>
      <c r="B40" s="312"/>
      <c r="C40" s="34" t="s">
        <v>334</v>
      </c>
      <c r="D40" s="102">
        <v>0.7</v>
      </c>
      <c r="E40" s="102"/>
      <c r="F40" s="102"/>
      <c r="G40" s="102"/>
      <c r="H40" s="102"/>
      <c r="I40" s="102"/>
      <c r="J40" s="102"/>
      <c r="K40" s="102">
        <v>0.3</v>
      </c>
      <c r="L40" s="35">
        <f>SUM(D40:K40)</f>
        <v>1</v>
      </c>
    </row>
    <row r="41" spans="1:12" ht="12.75" x14ac:dyDescent="0.2">
      <c r="A41" s="309" t="str">
        <f>'Orçamento Sintético'!A321</f>
        <v>17.0</v>
      </c>
      <c r="B41" s="311" t="str">
        <f>'Orçamento Sintético'!D321</f>
        <v>FACHADA / PORTICO</v>
      </c>
      <c r="C41" s="36" t="s">
        <v>333</v>
      </c>
      <c r="D41" s="101">
        <f t="shared" si="15"/>
        <v>0</v>
      </c>
      <c r="E41" s="101">
        <f t="shared" si="15"/>
        <v>0</v>
      </c>
      <c r="F41" s="101">
        <f t="shared" si="15"/>
        <v>30214.975999999995</v>
      </c>
      <c r="G41" s="101">
        <f t="shared" si="15"/>
        <v>0</v>
      </c>
      <c r="H41" s="101">
        <f t="shared" si="15"/>
        <v>0</v>
      </c>
      <c r="I41" s="101">
        <f t="shared" si="15"/>
        <v>0</v>
      </c>
      <c r="J41" s="101">
        <f t="shared" si="15"/>
        <v>22661.231999999996</v>
      </c>
      <c r="K41" s="101">
        <f t="shared" si="15"/>
        <v>22661.231999999996</v>
      </c>
      <c r="L41" s="33">
        <f>'Orçamento Sintético'!I321</f>
        <v>75537.439999999988</v>
      </c>
    </row>
    <row r="42" spans="1:12" ht="12.75" x14ac:dyDescent="0.2">
      <c r="A42" s="310"/>
      <c r="B42" s="312"/>
      <c r="C42" s="34" t="s">
        <v>334</v>
      </c>
      <c r="D42" s="102"/>
      <c r="E42" s="102"/>
      <c r="F42" s="102">
        <v>0.4</v>
      </c>
      <c r="G42" s="102"/>
      <c r="H42" s="102"/>
      <c r="I42" s="102"/>
      <c r="J42" s="102">
        <v>0.3</v>
      </c>
      <c r="K42" s="102">
        <v>0.3</v>
      </c>
      <c r="L42" s="35">
        <f>SUM(D42:K42)</f>
        <v>1</v>
      </c>
    </row>
    <row r="43" spans="1:12" ht="12.75" x14ac:dyDescent="0.2">
      <c r="A43" s="309" t="str">
        <f>'Orçamento Sintético'!A374</f>
        <v>18.0</v>
      </c>
      <c r="B43" s="311" t="str">
        <f>'Orçamento Sintético'!D374</f>
        <v>PAISAGISMO</v>
      </c>
      <c r="C43" s="36" t="s">
        <v>333</v>
      </c>
      <c r="D43" s="101">
        <f t="shared" si="15"/>
        <v>0</v>
      </c>
      <c r="E43" s="101">
        <f t="shared" si="15"/>
        <v>0</v>
      </c>
      <c r="F43" s="101">
        <f t="shared" si="15"/>
        <v>0</v>
      </c>
      <c r="G43" s="101">
        <f t="shared" si="15"/>
        <v>0</v>
      </c>
      <c r="H43" s="101">
        <f t="shared" si="15"/>
        <v>0</v>
      </c>
      <c r="I43" s="101">
        <f t="shared" si="15"/>
        <v>0</v>
      </c>
      <c r="J43" s="101">
        <f t="shared" si="15"/>
        <v>5857.2400000000007</v>
      </c>
      <c r="K43" s="101">
        <f t="shared" si="15"/>
        <v>0</v>
      </c>
      <c r="L43" s="33">
        <f>'Orçamento Sintético'!I374</f>
        <v>5857.2400000000007</v>
      </c>
    </row>
    <row r="44" spans="1:12" ht="12.75" x14ac:dyDescent="0.2">
      <c r="A44" s="310"/>
      <c r="B44" s="312"/>
      <c r="C44" s="34" t="s">
        <v>334</v>
      </c>
      <c r="D44" s="102"/>
      <c r="E44" s="102"/>
      <c r="F44" s="102"/>
      <c r="G44" s="102"/>
      <c r="H44" s="102"/>
      <c r="I44" s="102"/>
      <c r="J44" s="102">
        <v>1</v>
      </c>
      <c r="K44" s="102"/>
      <c r="L44" s="35">
        <f>SUM(D44:K44)</f>
        <v>1</v>
      </c>
    </row>
    <row r="45" spans="1:12" ht="12.75" x14ac:dyDescent="0.2">
      <c r="A45" s="309" t="str">
        <f>'Orçamento Sintético'!A379</f>
        <v>19.0</v>
      </c>
      <c r="B45" s="311" t="str">
        <f>'Orçamento Sintético'!D379</f>
        <v>DIVERSOS</v>
      </c>
      <c r="C45" s="36" t="s">
        <v>333</v>
      </c>
      <c r="D45" s="101">
        <f t="shared" ref="D45:K45" si="16">D46*$L45</f>
        <v>0</v>
      </c>
      <c r="E45" s="101">
        <f t="shared" si="16"/>
        <v>0</v>
      </c>
      <c r="F45" s="101">
        <f t="shared" si="16"/>
        <v>0</v>
      </c>
      <c r="G45" s="101">
        <f t="shared" si="16"/>
        <v>0</v>
      </c>
      <c r="H45" s="101">
        <f t="shared" si="16"/>
        <v>0</v>
      </c>
      <c r="I45" s="101">
        <f t="shared" si="16"/>
        <v>0</v>
      </c>
      <c r="J45" s="101">
        <f t="shared" si="16"/>
        <v>0</v>
      </c>
      <c r="K45" s="101">
        <f t="shared" si="16"/>
        <v>16533.48</v>
      </c>
      <c r="L45" s="33">
        <f>'Orçamento Sintético'!I379</f>
        <v>16533.48</v>
      </c>
    </row>
    <row r="46" spans="1:12" ht="13.5" thickBot="1" x14ac:dyDescent="0.25">
      <c r="A46" s="310"/>
      <c r="B46" s="312"/>
      <c r="C46" s="34" t="s">
        <v>334</v>
      </c>
      <c r="D46" s="102"/>
      <c r="E46" s="102"/>
      <c r="F46" s="102"/>
      <c r="G46" s="102"/>
      <c r="H46" s="102"/>
      <c r="I46" s="102"/>
      <c r="J46" s="102"/>
      <c r="K46" s="102">
        <v>1</v>
      </c>
      <c r="L46" s="35">
        <f>SUM(D46:K46)</f>
        <v>1</v>
      </c>
    </row>
    <row r="47" spans="1:12" ht="13.5" thickTop="1" x14ac:dyDescent="0.2">
      <c r="A47" s="330"/>
      <c r="B47" s="332" t="s">
        <v>332</v>
      </c>
      <c r="C47" s="37" t="s">
        <v>333</v>
      </c>
      <c r="D47" s="103">
        <f t="shared" ref="D47:K47" si="17">SUM(D9,D11,D13,D15,D17,D19,D21,D23,D25,D27,D29,D31,D33,,D35,D37,D45,D43,D39,D41)</f>
        <v>250168.68599999999</v>
      </c>
      <c r="E47" s="103">
        <f t="shared" si="17"/>
        <v>232997.70899999997</v>
      </c>
      <c r="F47" s="103">
        <f t="shared" si="17"/>
        <v>229084.71900000001</v>
      </c>
      <c r="G47" s="103">
        <f t="shared" si="17"/>
        <v>210026.71900000001</v>
      </c>
      <c r="H47" s="103">
        <f t="shared" si="17"/>
        <v>208424.24900000001</v>
      </c>
      <c r="I47" s="103">
        <f t="shared" si="17"/>
        <v>208424.24900000001</v>
      </c>
      <c r="J47" s="103">
        <f t="shared" si="17"/>
        <v>222202.932</v>
      </c>
      <c r="K47" s="103">
        <f t="shared" si="17"/>
        <v>252884.62700000001</v>
      </c>
      <c r="L47" s="105">
        <f>SUM(D47:K47)</f>
        <v>1814213.8900000001</v>
      </c>
    </row>
    <row r="48" spans="1:12" ht="12.75" x14ac:dyDescent="0.2">
      <c r="A48" s="331"/>
      <c r="B48" s="312"/>
      <c r="C48" s="34" t="s">
        <v>334</v>
      </c>
      <c r="D48" s="104">
        <f>D47/L47*100</f>
        <v>13.789371108827744</v>
      </c>
      <c r="E48" s="104">
        <f>E47/L47*100</f>
        <v>12.842901836673731</v>
      </c>
      <c r="F48" s="104">
        <f>F47/L47*100</f>
        <v>12.627216683915918</v>
      </c>
      <c r="G48" s="104">
        <f>G47/L47*100</f>
        <v>11.576734152333053</v>
      </c>
      <c r="H48" s="104">
        <f>H47/L47*100</f>
        <v>11.488405537452918</v>
      </c>
      <c r="I48" s="104">
        <f>I47/L47*100</f>
        <v>11.488405537452918</v>
      </c>
      <c r="J48" s="104">
        <f>J47/L47*100</f>
        <v>12.247890572593951</v>
      </c>
      <c r="K48" s="104">
        <f>K47/L47*100</f>
        <v>13.939074570749757</v>
      </c>
      <c r="L48" s="38">
        <f>SUM(D48:K48)</f>
        <v>99.999999999999986</v>
      </c>
    </row>
  </sheetData>
  <mergeCells count="47">
    <mergeCell ref="A45:A46"/>
    <mergeCell ref="B45:B46"/>
    <mergeCell ref="A47:A48"/>
    <mergeCell ref="B47:B48"/>
    <mergeCell ref="A33:A34"/>
    <mergeCell ref="B33:B34"/>
    <mergeCell ref="A35:A36"/>
    <mergeCell ref="B35:B36"/>
    <mergeCell ref="A37:A38"/>
    <mergeCell ref="B37:B38"/>
    <mergeCell ref="A43:A44"/>
    <mergeCell ref="B43:B44"/>
    <mergeCell ref="A39:A40"/>
    <mergeCell ref="B39:B40"/>
    <mergeCell ref="A41:A42"/>
    <mergeCell ref="B41:B42"/>
    <mergeCell ref="A27:A28"/>
    <mergeCell ref="B27:B28"/>
    <mergeCell ref="A29:A30"/>
    <mergeCell ref="B29:B30"/>
    <mergeCell ref="A31:A32"/>
    <mergeCell ref="B31:B32"/>
    <mergeCell ref="A21:A22"/>
    <mergeCell ref="B21:B22"/>
    <mergeCell ref="A23:A24"/>
    <mergeCell ref="B23:B24"/>
    <mergeCell ref="A25:A26"/>
    <mergeCell ref="B25:B26"/>
    <mergeCell ref="A15:A16"/>
    <mergeCell ref="B15:B16"/>
    <mergeCell ref="A17:A18"/>
    <mergeCell ref="B17:B18"/>
    <mergeCell ref="A19:A20"/>
    <mergeCell ref="B19:B20"/>
    <mergeCell ref="A13:A14"/>
    <mergeCell ref="B13:B14"/>
    <mergeCell ref="A1:L1"/>
    <mergeCell ref="A2:L2"/>
    <mergeCell ref="A3:L3"/>
    <mergeCell ref="A4:L4"/>
    <mergeCell ref="B5:K5"/>
    <mergeCell ref="B6:K6"/>
    <mergeCell ref="A7:L7"/>
    <mergeCell ref="A9:A10"/>
    <mergeCell ref="B9:B10"/>
    <mergeCell ref="A11:A12"/>
    <mergeCell ref="B11:B12"/>
  </mergeCells>
  <pageMargins left="0.511811024" right="0.511811024" top="0.78740157499999996" bottom="0.78740157499999996" header="0.31496062000000002" footer="0.31496062000000002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D909A-D436-4B15-96AD-FF75D6649581}">
  <dimension ref="A1:D21"/>
  <sheetViews>
    <sheetView zoomScaleNormal="100" zoomScaleSheetLayoutView="90" workbookViewId="0">
      <selection activeCell="A21" sqref="A1:D21"/>
    </sheetView>
  </sheetViews>
  <sheetFormatPr defaultColWidth="8" defaultRowHeight="15" x14ac:dyDescent="0.25"/>
  <cols>
    <col min="1" max="1" width="9.5" style="40" customWidth="1"/>
    <col min="2" max="2" width="44.375" style="40" customWidth="1"/>
    <col min="3" max="3" width="9.375" style="40" customWidth="1"/>
    <col min="4" max="4" width="18.5" style="40" customWidth="1"/>
    <col min="5" max="16384" width="8" style="40"/>
  </cols>
  <sheetData>
    <row r="1" spans="1:4" ht="15.75" x14ac:dyDescent="0.25">
      <c r="A1" s="333" t="s">
        <v>623</v>
      </c>
      <c r="B1" s="334"/>
      <c r="C1" s="334"/>
      <c r="D1" s="335"/>
    </row>
    <row r="2" spans="1:4" ht="15.75" x14ac:dyDescent="0.25">
      <c r="A2" s="339" t="s">
        <v>335</v>
      </c>
      <c r="B2" s="340"/>
      <c r="C2" s="340"/>
      <c r="D2" s="341"/>
    </row>
    <row r="3" spans="1:4" x14ac:dyDescent="0.25">
      <c r="A3" s="342"/>
      <c r="B3" s="343"/>
      <c r="C3" s="343"/>
      <c r="D3" s="344"/>
    </row>
    <row r="4" spans="1:4" x14ac:dyDescent="0.25">
      <c r="A4" s="345"/>
      <c r="B4" s="346"/>
      <c r="C4" s="346"/>
      <c r="D4" s="347"/>
    </row>
    <row r="5" spans="1:4" x14ac:dyDescent="0.25">
      <c r="A5" s="41" t="str">
        <f>[2]Base!A4</f>
        <v>OBRA:</v>
      </c>
      <c r="B5" s="348" t="s">
        <v>626</v>
      </c>
      <c r="C5" s="348"/>
      <c r="D5" s="349"/>
    </row>
    <row r="6" spans="1:4" x14ac:dyDescent="0.25">
      <c r="A6" s="42" t="str">
        <f>[2]Base!A5</f>
        <v>LOCAL:</v>
      </c>
      <c r="B6" s="43" t="s">
        <v>625</v>
      </c>
      <c r="C6" s="44"/>
      <c r="D6" s="45"/>
    </row>
    <row r="7" spans="1:4" ht="18.75" x14ac:dyDescent="0.3">
      <c r="A7" s="350"/>
      <c r="B7" s="351"/>
      <c r="C7" s="351"/>
      <c r="D7" s="352"/>
    </row>
    <row r="8" spans="1:4" ht="15.75" x14ac:dyDescent="0.25">
      <c r="A8" s="106" t="s">
        <v>330</v>
      </c>
      <c r="B8" s="106" t="s">
        <v>336</v>
      </c>
      <c r="C8" s="106"/>
      <c r="D8" s="106" t="s">
        <v>334</v>
      </c>
    </row>
    <row r="9" spans="1:4" ht="15.75" x14ac:dyDescent="0.25">
      <c r="A9" s="46">
        <v>1</v>
      </c>
      <c r="B9" s="47" t="s">
        <v>337</v>
      </c>
      <c r="C9" s="48"/>
      <c r="D9" s="49">
        <v>3</v>
      </c>
    </row>
    <row r="10" spans="1:4" ht="15.75" x14ac:dyDescent="0.25">
      <c r="A10" s="46">
        <v>2</v>
      </c>
      <c r="B10" s="47" t="s">
        <v>338</v>
      </c>
      <c r="C10" s="48"/>
      <c r="D10" s="49">
        <v>0.8</v>
      </c>
    </row>
    <row r="11" spans="1:4" ht="15.75" x14ac:dyDescent="0.25">
      <c r="A11" s="46">
        <v>3</v>
      </c>
      <c r="B11" s="47" t="s">
        <v>339</v>
      </c>
      <c r="C11" s="48"/>
      <c r="D11" s="49">
        <v>0.97</v>
      </c>
    </row>
    <row r="12" spans="1:4" ht="15.75" x14ac:dyDescent="0.25">
      <c r="A12" s="46">
        <v>4</v>
      </c>
      <c r="B12" s="47" t="s">
        <v>340</v>
      </c>
      <c r="C12" s="48"/>
      <c r="D12" s="49">
        <v>0.59</v>
      </c>
    </row>
    <row r="13" spans="1:4" ht="15.75" x14ac:dyDescent="0.25">
      <c r="A13" s="46">
        <v>5</v>
      </c>
      <c r="B13" s="47" t="s">
        <v>341</v>
      </c>
      <c r="C13" s="48"/>
      <c r="D13" s="49">
        <v>6.16</v>
      </c>
    </row>
    <row r="14" spans="1:4" ht="15.75" x14ac:dyDescent="0.25">
      <c r="A14" s="46">
        <v>6</v>
      </c>
      <c r="B14" s="47" t="s">
        <v>342</v>
      </c>
      <c r="C14" s="48"/>
      <c r="D14" s="49">
        <f>SUM(C15:C18)</f>
        <v>6.15</v>
      </c>
    </row>
    <row r="15" spans="1:4" ht="15.75" x14ac:dyDescent="0.25">
      <c r="A15" s="46"/>
      <c r="B15" s="50" t="s">
        <v>343</v>
      </c>
      <c r="C15" s="51">
        <v>0.65</v>
      </c>
      <c r="D15" s="49"/>
    </row>
    <row r="16" spans="1:4" ht="15.75" x14ac:dyDescent="0.25">
      <c r="A16" s="46"/>
      <c r="B16" s="50" t="s">
        <v>344</v>
      </c>
      <c r="C16" s="51">
        <v>3</v>
      </c>
      <c r="D16" s="49"/>
    </row>
    <row r="17" spans="1:4" ht="15.75" x14ac:dyDescent="0.25">
      <c r="A17" s="46"/>
      <c r="B17" s="50" t="s">
        <v>345</v>
      </c>
      <c r="C17" s="51">
        <v>2.5</v>
      </c>
      <c r="D17" s="49"/>
    </row>
    <row r="18" spans="1:4" ht="15.75" x14ac:dyDescent="0.25">
      <c r="A18" s="46"/>
      <c r="B18" s="50" t="s">
        <v>346</v>
      </c>
      <c r="C18" s="51"/>
      <c r="D18" s="49"/>
    </row>
    <row r="19" spans="1:4" ht="15.75" x14ac:dyDescent="0.25">
      <c r="A19" s="353" t="s">
        <v>332</v>
      </c>
      <c r="B19" s="354"/>
      <c r="C19" s="355"/>
      <c r="D19" s="107">
        <f>((((1+(D9/100+D11/100+D10/100))*(1+D12/100)*(1+D13/100))/(1-D14/100))-1)*100</f>
        <v>19.211563781353249</v>
      </c>
    </row>
    <row r="20" spans="1:4" x14ac:dyDescent="0.25">
      <c r="A20" s="52"/>
      <c r="B20" s="235"/>
      <c r="C20" s="235"/>
      <c r="D20" s="53"/>
    </row>
    <row r="21" spans="1:4" ht="19.149999999999999" customHeight="1" x14ac:dyDescent="0.25">
      <c r="A21" s="336" t="s">
        <v>347</v>
      </c>
      <c r="B21" s="337"/>
      <c r="C21" s="337"/>
      <c r="D21" s="338"/>
    </row>
  </sheetData>
  <mergeCells count="7">
    <mergeCell ref="A1:D1"/>
    <mergeCell ref="A21:D21"/>
    <mergeCell ref="A2:D2"/>
    <mergeCell ref="A3:D4"/>
    <mergeCell ref="B5:D5"/>
    <mergeCell ref="A7:D7"/>
    <mergeCell ref="A19:C1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389C9-8FC5-42AF-A373-F90DC59AAE13}">
  <dimension ref="A1:D21"/>
  <sheetViews>
    <sheetView zoomScaleNormal="100" zoomScaleSheetLayoutView="110" workbookViewId="0">
      <selection sqref="A1:D21"/>
    </sheetView>
  </sheetViews>
  <sheetFormatPr defaultColWidth="8" defaultRowHeight="15" x14ac:dyDescent="0.25"/>
  <cols>
    <col min="1" max="1" width="9.5" style="40" customWidth="1"/>
    <col min="2" max="2" width="44.375" style="40" customWidth="1"/>
    <col min="3" max="3" width="9.375" style="40" customWidth="1"/>
    <col min="4" max="4" width="18.5" style="40" customWidth="1"/>
    <col min="5" max="16384" width="8" style="40"/>
  </cols>
  <sheetData>
    <row r="1" spans="1:4" ht="15.75" x14ac:dyDescent="0.25">
      <c r="A1" s="333" t="s">
        <v>623</v>
      </c>
      <c r="B1" s="334"/>
      <c r="C1" s="334"/>
      <c r="D1" s="335"/>
    </row>
    <row r="2" spans="1:4" ht="15.75" x14ac:dyDescent="0.25">
      <c r="A2" s="339" t="s">
        <v>335</v>
      </c>
      <c r="B2" s="340"/>
      <c r="C2" s="340"/>
      <c r="D2" s="341"/>
    </row>
    <row r="3" spans="1:4" x14ac:dyDescent="0.25">
      <c r="A3" s="342"/>
      <c r="B3" s="343"/>
      <c r="C3" s="343"/>
      <c r="D3" s="344"/>
    </row>
    <row r="4" spans="1:4" x14ac:dyDescent="0.25">
      <c r="A4" s="345"/>
      <c r="B4" s="346"/>
      <c r="C4" s="346"/>
      <c r="D4" s="347"/>
    </row>
    <row r="5" spans="1:4" x14ac:dyDescent="0.25">
      <c r="A5" s="41" t="str">
        <f>[2]Base!A4</f>
        <v>OBRA:</v>
      </c>
      <c r="B5" s="348" t="s">
        <v>626</v>
      </c>
      <c r="C5" s="348"/>
      <c r="D5" s="349"/>
    </row>
    <row r="6" spans="1:4" x14ac:dyDescent="0.25">
      <c r="A6" s="42" t="str">
        <f>[2]Base!A5</f>
        <v>LOCAL:</v>
      </c>
      <c r="B6" s="43" t="str">
        <f>'BDI 01'!B6</f>
        <v>CAETÉS - PE</v>
      </c>
      <c r="C6" s="44"/>
      <c r="D6" s="45"/>
    </row>
    <row r="7" spans="1:4" ht="18.75" x14ac:dyDescent="0.3">
      <c r="A7" s="350"/>
      <c r="B7" s="351"/>
      <c r="C7" s="351"/>
      <c r="D7" s="352"/>
    </row>
    <row r="8" spans="1:4" ht="15.75" x14ac:dyDescent="0.25">
      <c r="A8" s="106" t="s">
        <v>330</v>
      </c>
      <c r="B8" s="106" t="s">
        <v>336</v>
      </c>
      <c r="C8" s="106"/>
      <c r="D8" s="106" t="s">
        <v>334</v>
      </c>
    </row>
    <row r="9" spans="1:4" ht="15.75" x14ac:dyDescent="0.25">
      <c r="A9" s="46">
        <v>1</v>
      </c>
      <c r="B9" s="47" t="s">
        <v>337</v>
      </c>
      <c r="C9" s="48"/>
      <c r="D9" s="49">
        <v>1.5</v>
      </c>
    </row>
    <row r="10" spans="1:4" ht="15.75" x14ac:dyDescent="0.25">
      <c r="A10" s="46">
        <v>2</v>
      </c>
      <c r="B10" s="47" t="s">
        <v>338</v>
      </c>
      <c r="C10" s="48"/>
      <c r="D10" s="49">
        <v>0.3</v>
      </c>
    </row>
    <row r="11" spans="1:4" ht="15.75" x14ac:dyDescent="0.25">
      <c r="A11" s="46">
        <v>3</v>
      </c>
      <c r="B11" s="47" t="s">
        <v>339</v>
      </c>
      <c r="C11" s="48"/>
      <c r="D11" s="49">
        <v>0.56000000000000005</v>
      </c>
    </row>
    <row r="12" spans="1:4" ht="15.75" x14ac:dyDescent="0.25">
      <c r="A12" s="46">
        <v>4</v>
      </c>
      <c r="B12" s="47" t="s">
        <v>340</v>
      </c>
      <c r="C12" s="48"/>
      <c r="D12" s="49">
        <v>0.85</v>
      </c>
    </row>
    <row r="13" spans="1:4" ht="15.75" x14ac:dyDescent="0.25">
      <c r="A13" s="46">
        <v>5</v>
      </c>
      <c r="B13" s="47" t="s">
        <v>341</v>
      </c>
      <c r="C13" s="48"/>
      <c r="D13" s="49">
        <v>3.5</v>
      </c>
    </row>
    <row r="14" spans="1:4" ht="15.75" x14ac:dyDescent="0.25">
      <c r="A14" s="46">
        <v>6</v>
      </c>
      <c r="B14" s="47" t="s">
        <v>342</v>
      </c>
      <c r="C14" s="48"/>
      <c r="D14" s="49">
        <f>SUM(C15:C18)</f>
        <v>3.65</v>
      </c>
    </row>
    <row r="15" spans="1:4" ht="15.75" x14ac:dyDescent="0.25">
      <c r="A15" s="46"/>
      <c r="B15" s="50" t="s">
        <v>343</v>
      </c>
      <c r="C15" s="51">
        <v>0.65</v>
      </c>
      <c r="D15" s="49"/>
    </row>
    <row r="16" spans="1:4" ht="15.75" x14ac:dyDescent="0.25">
      <c r="A16" s="46"/>
      <c r="B16" s="50" t="s">
        <v>344</v>
      </c>
      <c r="C16" s="51">
        <v>3</v>
      </c>
      <c r="D16" s="49"/>
    </row>
    <row r="17" spans="1:4" ht="15.75" x14ac:dyDescent="0.25">
      <c r="A17" s="46"/>
      <c r="B17" s="50" t="s">
        <v>345</v>
      </c>
      <c r="C17" s="51"/>
      <c r="D17" s="49"/>
    </row>
    <row r="18" spans="1:4" ht="15.75" x14ac:dyDescent="0.25">
      <c r="A18" s="46"/>
      <c r="B18" s="50" t="s">
        <v>346</v>
      </c>
      <c r="C18" s="51"/>
      <c r="D18" s="49"/>
    </row>
    <row r="19" spans="1:4" ht="15.75" x14ac:dyDescent="0.25">
      <c r="A19" s="353" t="s">
        <v>332</v>
      </c>
      <c r="B19" s="354"/>
      <c r="C19" s="355"/>
      <c r="D19" s="107">
        <f>((((1+(D9/100+D11/100+D10/100))*(1+D12/100)*(1+D13/100))/(1-D14/100))-1)*100</f>
        <v>10.890619719771678</v>
      </c>
    </row>
    <row r="20" spans="1:4" x14ac:dyDescent="0.25">
      <c r="A20" s="52"/>
      <c r="B20" s="235"/>
      <c r="C20" s="235"/>
      <c r="D20" s="53"/>
    </row>
    <row r="21" spans="1:4" ht="15.75" x14ac:dyDescent="0.25">
      <c r="A21" s="336" t="s">
        <v>347</v>
      </c>
      <c r="B21" s="337"/>
      <c r="C21" s="337"/>
      <c r="D21" s="338"/>
    </row>
  </sheetData>
  <mergeCells count="7">
    <mergeCell ref="A1:D1"/>
    <mergeCell ref="A21:D21"/>
    <mergeCell ref="A2:D2"/>
    <mergeCell ref="A3:D4"/>
    <mergeCell ref="B5:D5"/>
    <mergeCell ref="A7:D7"/>
    <mergeCell ref="A19:C1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35D96-7F49-40EF-BA18-B3F7E6ED8759}">
  <sheetPr>
    <pageSetUpPr fitToPage="1"/>
  </sheetPr>
  <dimension ref="A1:L210"/>
  <sheetViews>
    <sheetView view="pageBreakPreview" zoomScaleNormal="97" zoomScaleSheetLayoutView="100" workbookViewId="0">
      <selection activeCell="C12" sqref="C12"/>
    </sheetView>
  </sheetViews>
  <sheetFormatPr defaultRowHeight="14.25" x14ac:dyDescent="0.2"/>
  <cols>
    <col min="1" max="1" width="10.875" customWidth="1"/>
    <col min="3" max="3" width="43.5" customWidth="1"/>
    <col min="4" max="4" width="4.75" customWidth="1"/>
    <col min="6" max="6" width="12.375" customWidth="1"/>
    <col min="7" max="7" width="11.75" customWidth="1"/>
    <col min="8" max="8" width="13.625" customWidth="1"/>
    <col min="9" max="10" width="13.75" customWidth="1"/>
  </cols>
  <sheetData>
    <row r="1" spans="1:10" x14ac:dyDescent="0.2">
      <c r="A1" s="369" t="s">
        <v>610</v>
      </c>
      <c r="B1" s="370"/>
      <c r="C1" s="370"/>
      <c r="D1" s="370"/>
      <c r="E1" s="370"/>
      <c r="F1" s="370"/>
      <c r="G1" s="370"/>
      <c r="H1" s="371"/>
      <c r="I1" s="186" t="s">
        <v>627</v>
      </c>
      <c r="J1" s="186" t="s">
        <v>628</v>
      </c>
    </row>
    <row r="2" spans="1:10" x14ac:dyDescent="0.2">
      <c r="I2" s="192"/>
      <c r="J2" s="192"/>
    </row>
    <row r="3" spans="1:10" s="120" customFormat="1" x14ac:dyDescent="0.2">
      <c r="A3" s="114" t="s">
        <v>440</v>
      </c>
      <c r="B3" s="115"/>
      <c r="C3" s="116" t="s">
        <v>569</v>
      </c>
      <c r="D3" s="117"/>
      <c r="E3" s="117"/>
      <c r="F3" s="118"/>
      <c r="G3" s="118"/>
      <c r="H3" s="119" t="s">
        <v>19</v>
      </c>
      <c r="I3" s="192"/>
      <c r="J3" s="192"/>
    </row>
    <row r="4" spans="1:10" s="120" customFormat="1" ht="42" customHeight="1" x14ac:dyDescent="0.2">
      <c r="A4" s="212" t="s">
        <v>441</v>
      </c>
      <c r="B4" s="122"/>
      <c r="C4" s="367" t="s">
        <v>439</v>
      </c>
      <c r="D4" s="367"/>
      <c r="E4" s="367"/>
      <c r="F4" s="367"/>
      <c r="G4" s="367"/>
      <c r="H4" s="368"/>
      <c r="I4" s="192"/>
      <c r="J4" s="192"/>
    </row>
    <row r="5" spans="1:10" s="120" customFormat="1" x14ac:dyDescent="0.2">
      <c r="A5" s="123" t="s">
        <v>442</v>
      </c>
      <c r="B5" s="124" t="s">
        <v>443</v>
      </c>
      <c r="C5" s="123" t="s">
        <v>444</v>
      </c>
      <c r="D5" s="123" t="s">
        <v>445</v>
      </c>
      <c r="E5" s="123" t="s">
        <v>8</v>
      </c>
      <c r="F5" s="125" t="s">
        <v>446</v>
      </c>
      <c r="G5" s="125" t="s">
        <v>447</v>
      </c>
      <c r="H5" s="126" t="s">
        <v>448</v>
      </c>
      <c r="I5" s="192"/>
      <c r="J5" s="192"/>
    </row>
    <row r="6" spans="1:10" s="120" customFormat="1" x14ac:dyDescent="0.2">
      <c r="A6" s="123"/>
      <c r="B6" s="124"/>
      <c r="C6" s="127" t="s">
        <v>449</v>
      </c>
      <c r="D6" s="127"/>
      <c r="E6" s="127"/>
      <c r="F6" s="128"/>
      <c r="G6" s="128"/>
      <c r="H6" s="129"/>
      <c r="I6" s="192"/>
      <c r="J6" s="192"/>
    </row>
    <row r="7" spans="1:10" s="120" customFormat="1" ht="19.899999999999999" customHeight="1" x14ac:dyDescent="0.2">
      <c r="A7" s="152">
        <v>88277</v>
      </c>
      <c r="B7" s="130" t="s">
        <v>450</v>
      </c>
      <c r="C7" s="131" t="s">
        <v>451</v>
      </c>
      <c r="D7" s="130" t="s">
        <v>452</v>
      </c>
      <c r="E7" s="132">
        <v>0.5</v>
      </c>
      <c r="F7" s="133">
        <f>I7</f>
        <v>25.28</v>
      </c>
      <c r="G7" s="133"/>
      <c r="H7" s="134">
        <f>E7*F7</f>
        <v>12.64</v>
      </c>
      <c r="I7" s="214">
        <v>25.28</v>
      </c>
      <c r="J7" s="214">
        <v>23.21</v>
      </c>
    </row>
    <row r="8" spans="1:10" s="120" customFormat="1" ht="12.75" x14ac:dyDescent="0.2">
      <c r="A8" s="152">
        <v>88316</v>
      </c>
      <c r="B8" s="130" t="s">
        <v>450</v>
      </c>
      <c r="C8" s="131" t="s">
        <v>349</v>
      </c>
      <c r="D8" s="130" t="s">
        <v>452</v>
      </c>
      <c r="E8" s="132">
        <v>0.5</v>
      </c>
      <c r="F8" s="133">
        <f>I8</f>
        <v>24.08</v>
      </c>
      <c r="G8" s="133"/>
      <c r="H8" s="134">
        <f>E8*F8</f>
        <v>12.04</v>
      </c>
      <c r="I8" s="214">
        <v>24.08</v>
      </c>
      <c r="J8" s="214">
        <v>22.26</v>
      </c>
    </row>
    <row r="9" spans="1:10" s="120" customFormat="1" ht="12.75" x14ac:dyDescent="0.2">
      <c r="A9" s="152">
        <v>88317</v>
      </c>
      <c r="B9" s="130" t="s">
        <v>450</v>
      </c>
      <c r="C9" s="131" t="s">
        <v>356</v>
      </c>
      <c r="D9" s="130" t="s">
        <v>452</v>
      </c>
      <c r="E9" s="132">
        <v>0.5</v>
      </c>
      <c r="F9" s="133">
        <f>I9</f>
        <v>30.57</v>
      </c>
      <c r="G9" s="133"/>
      <c r="H9" s="134">
        <f>E9*F9</f>
        <v>15.285</v>
      </c>
      <c r="I9" s="214">
        <v>30.57</v>
      </c>
      <c r="J9" s="214">
        <v>28.17</v>
      </c>
    </row>
    <row r="10" spans="1:10" s="120" customFormat="1" x14ac:dyDescent="0.2">
      <c r="A10" s="123"/>
      <c r="B10" s="124"/>
      <c r="C10" s="127"/>
      <c r="D10" s="361" t="s">
        <v>453</v>
      </c>
      <c r="E10" s="362"/>
      <c r="F10" s="363"/>
      <c r="G10" s="135"/>
      <c r="H10" s="136">
        <f>SUM(H7:H9)</f>
        <v>39.965000000000003</v>
      </c>
      <c r="I10" s="208"/>
      <c r="J10" s="209"/>
    </row>
    <row r="11" spans="1:10" s="120" customFormat="1" x14ac:dyDescent="0.2">
      <c r="A11" s="123"/>
      <c r="B11" s="124"/>
      <c r="C11" s="127" t="s">
        <v>331</v>
      </c>
      <c r="D11" s="127"/>
      <c r="E11" s="127"/>
      <c r="F11" s="128"/>
      <c r="G11" s="128"/>
      <c r="H11" s="129"/>
      <c r="I11" s="209"/>
      <c r="J11" s="209"/>
    </row>
    <row r="12" spans="1:10" s="120" customFormat="1" ht="56.25" x14ac:dyDescent="0.2">
      <c r="A12" s="180" t="s">
        <v>454</v>
      </c>
      <c r="B12" s="130" t="s">
        <v>21</v>
      </c>
      <c r="C12" s="131" t="s">
        <v>703</v>
      </c>
      <c r="D12" s="130" t="s">
        <v>455</v>
      </c>
      <c r="E12" s="132">
        <v>0.09</v>
      </c>
      <c r="F12" s="137">
        <f t="shared" ref="F12:F17" si="0">I12</f>
        <v>527.07000000000005</v>
      </c>
      <c r="G12" s="137"/>
      <c r="H12" s="129">
        <f t="shared" ref="H12:H17" si="1">E12*F12</f>
        <v>47.436300000000003</v>
      </c>
      <c r="I12" s="214">
        <v>527.07000000000005</v>
      </c>
      <c r="J12" s="214">
        <v>527.07000000000005</v>
      </c>
    </row>
    <row r="13" spans="1:10" s="120" customFormat="1" ht="22.5" x14ac:dyDescent="0.2">
      <c r="A13" s="152">
        <v>102487</v>
      </c>
      <c r="B13" s="130" t="s">
        <v>450</v>
      </c>
      <c r="C13" s="131" t="s">
        <v>456</v>
      </c>
      <c r="D13" s="130" t="s">
        <v>455</v>
      </c>
      <c r="E13" s="132">
        <v>3.5999999999999997E-2</v>
      </c>
      <c r="F13" s="137">
        <f t="shared" si="0"/>
        <v>608.49</v>
      </c>
      <c r="G13" s="137"/>
      <c r="H13" s="129">
        <f t="shared" si="1"/>
        <v>21.905639999999998</v>
      </c>
      <c r="I13" s="214">
        <v>608.49</v>
      </c>
      <c r="J13" s="214">
        <v>587.15</v>
      </c>
    </row>
    <row r="14" spans="1:10" s="120" customFormat="1" ht="33.75" x14ac:dyDescent="0.2">
      <c r="A14" s="152">
        <v>103316</v>
      </c>
      <c r="B14" s="130" t="s">
        <v>450</v>
      </c>
      <c r="C14" s="131" t="s">
        <v>457</v>
      </c>
      <c r="D14" s="130" t="s">
        <v>458</v>
      </c>
      <c r="E14" s="132">
        <v>0.45</v>
      </c>
      <c r="F14" s="137">
        <f t="shared" si="0"/>
        <v>78.239999999999995</v>
      </c>
      <c r="G14" s="137"/>
      <c r="H14" s="129">
        <f t="shared" si="1"/>
        <v>35.207999999999998</v>
      </c>
      <c r="I14" s="214">
        <v>78.239999999999995</v>
      </c>
      <c r="J14" s="214">
        <v>75.73</v>
      </c>
    </row>
    <row r="15" spans="1:10" s="120" customFormat="1" ht="22.5" x14ac:dyDescent="0.2">
      <c r="A15" s="152">
        <v>88415</v>
      </c>
      <c r="B15" s="130" t="s">
        <v>450</v>
      </c>
      <c r="C15" s="131" t="s">
        <v>459</v>
      </c>
      <c r="D15" s="130" t="s">
        <v>458</v>
      </c>
      <c r="E15" s="132">
        <v>1.05</v>
      </c>
      <c r="F15" s="137">
        <f t="shared" si="0"/>
        <v>5.1100000000000003</v>
      </c>
      <c r="G15" s="137"/>
      <c r="H15" s="129">
        <f t="shared" si="1"/>
        <v>5.3655000000000008</v>
      </c>
      <c r="I15" s="214">
        <v>5.1100000000000003</v>
      </c>
      <c r="J15" s="214">
        <v>4.95</v>
      </c>
    </row>
    <row r="16" spans="1:10" s="120" customFormat="1" ht="22.5" x14ac:dyDescent="0.2">
      <c r="A16" s="152">
        <v>88423</v>
      </c>
      <c r="B16" s="130" t="s">
        <v>450</v>
      </c>
      <c r="C16" s="131" t="s">
        <v>460</v>
      </c>
      <c r="D16" s="130" t="s">
        <v>458</v>
      </c>
      <c r="E16" s="132">
        <v>1.05</v>
      </c>
      <c r="F16" s="137">
        <f t="shared" si="0"/>
        <v>25.39</v>
      </c>
      <c r="G16" s="137"/>
      <c r="H16" s="129">
        <f t="shared" si="1"/>
        <v>26.659500000000001</v>
      </c>
      <c r="I16" s="214">
        <v>25.39</v>
      </c>
      <c r="J16" s="214">
        <v>24.98</v>
      </c>
    </row>
    <row r="17" spans="1:12" s="120" customFormat="1" ht="12.75" x14ac:dyDescent="0.2">
      <c r="A17" s="152">
        <v>93358</v>
      </c>
      <c r="B17" s="130" t="s">
        <v>450</v>
      </c>
      <c r="C17" s="131" t="s">
        <v>622</v>
      </c>
      <c r="D17" s="130" t="s">
        <v>455</v>
      </c>
      <c r="E17" s="132">
        <v>0.11</v>
      </c>
      <c r="F17" s="137">
        <f t="shared" si="0"/>
        <v>95.25</v>
      </c>
      <c r="G17" s="137"/>
      <c r="H17" s="129">
        <f t="shared" si="1"/>
        <v>10.477500000000001</v>
      </c>
      <c r="I17" s="214">
        <v>95.25</v>
      </c>
      <c r="J17" s="214">
        <v>88.05</v>
      </c>
    </row>
    <row r="18" spans="1:12" s="120" customFormat="1" ht="12.75" x14ac:dyDescent="0.2">
      <c r="A18" s="123"/>
      <c r="B18" s="124"/>
      <c r="C18" s="127"/>
      <c r="D18" s="127"/>
      <c r="E18" s="361" t="s">
        <v>461</v>
      </c>
      <c r="F18" s="363"/>
      <c r="G18" s="135"/>
      <c r="H18" s="136">
        <f>SUM(H12:H17)</f>
        <v>147.05243999999999</v>
      </c>
      <c r="I18" s="213"/>
      <c r="J18" s="213"/>
    </row>
    <row r="19" spans="1:12" s="120" customFormat="1" ht="12.75" x14ac:dyDescent="0.2">
      <c r="A19" s="123"/>
      <c r="B19" s="124"/>
      <c r="C19" s="127" t="s">
        <v>462</v>
      </c>
      <c r="D19" s="127"/>
      <c r="E19" s="127"/>
      <c r="F19" s="128"/>
      <c r="G19" s="128"/>
      <c r="H19" s="129"/>
      <c r="I19" s="213"/>
      <c r="J19" s="213"/>
    </row>
    <row r="20" spans="1:12" s="120" customFormat="1" ht="22.5" x14ac:dyDescent="0.2">
      <c r="A20" s="180">
        <v>7158</v>
      </c>
      <c r="B20" s="130" t="s">
        <v>450</v>
      </c>
      <c r="C20" s="131" t="s">
        <v>463</v>
      </c>
      <c r="D20" s="130" t="s">
        <v>458</v>
      </c>
      <c r="E20" s="132">
        <v>1.5</v>
      </c>
      <c r="F20" s="137">
        <f t="shared" ref="F20:F25" si="2">I20</f>
        <v>50</v>
      </c>
      <c r="G20" s="137"/>
      <c r="H20" s="129">
        <f t="shared" ref="H20:H25" si="3">E20*F20</f>
        <v>75</v>
      </c>
      <c r="I20" s="214">
        <v>50</v>
      </c>
      <c r="J20" s="214">
        <v>50</v>
      </c>
    </row>
    <row r="21" spans="1:12" s="120" customFormat="1" ht="12.75" x14ac:dyDescent="0.2">
      <c r="A21" s="180">
        <v>10997</v>
      </c>
      <c r="B21" s="130" t="s">
        <v>450</v>
      </c>
      <c r="C21" s="131" t="s">
        <v>464</v>
      </c>
      <c r="D21" s="130" t="s">
        <v>79</v>
      </c>
      <c r="E21" s="132">
        <v>0.15</v>
      </c>
      <c r="F21" s="137">
        <f t="shared" si="2"/>
        <v>30</v>
      </c>
      <c r="G21" s="137"/>
      <c r="H21" s="129">
        <f t="shared" si="3"/>
        <v>4.5</v>
      </c>
      <c r="I21" s="214">
        <v>30</v>
      </c>
      <c r="J21" s="214">
        <v>30</v>
      </c>
    </row>
    <row r="22" spans="1:12" s="120" customFormat="1" ht="22.5" x14ac:dyDescent="0.2">
      <c r="A22" s="180">
        <v>43132</v>
      </c>
      <c r="B22" s="130" t="s">
        <v>450</v>
      </c>
      <c r="C22" s="131" t="s">
        <v>465</v>
      </c>
      <c r="D22" s="130" t="s">
        <v>79</v>
      </c>
      <c r="E22" s="132">
        <v>0.2</v>
      </c>
      <c r="F22" s="137">
        <f t="shared" si="2"/>
        <v>18</v>
      </c>
      <c r="G22" s="137"/>
      <c r="H22" s="129">
        <f t="shared" si="3"/>
        <v>3.6</v>
      </c>
      <c r="I22" s="214">
        <v>18</v>
      </c>
      <c r="J22" s="214">
        <v>18</v>
      </c>
    </row>
    <row r="23" spans="1:12" s="120" customFormat="1" ht="30" customHeight="1" x14ac:dyDescent="0.2">
      <c r="A23" s="180">
        <v>21010</v>
      </c>
      <c r="B23" s="130" t="s">
        <v>450</v>
      </c>
      <c r="C23" s="131" t="s">
        <v>466</v>
      </c>
      <c r="D23" s="130" t="s">
        <v>467</v>
      </c>
      <c r="E23" s="132">
        <v>3</v>
      </c>
      <c r="F23" s="137">
        <f t="shared" si="2"/>
        <v>28.49</v>
      </c>
      <c r="G23" s="137"/>
      <c r="H23" s="129">
        <f t="shared" si="3"/>
        <v>85.47</v>
      </c>
      <c r="I23" s="214">
        <v>28.49</v>
      </c>
      <c r="J23" s="214">
        <v>28.49</v>
      </c>
    </row>
    <row r="24" spans="1:12" s="120" customFormat="1" ht="32.450000000000003" customHeight="1" x14ac:dyDescent="0.2">
      <c r="A24" s="180">
        <v>21013</v>
      </c>
      <c r="B24" s="130" t="s">
        <v>450</v>
      </c>
      <c r="C24" s="131" t="s">
        <v>468</v>
      </c>
      <c r="D24" s="130" t="s">
        <v>467</v>
      </c>
      <c r="E24" s="132">
        <v>2.95</v>
      </c>
      <c r="F24" s="137">
        <f t="shared" si="2"/>
        <v>59.88</v>
      </c>
      <c r="G24" s="137"/>
      <c r="H24" s="129">
        <f t="shared" si="3"/>
        <v>176.64600000000002</v>
      </c>
      <c r="I24" s="214">
        <v>59.88</v>
      </c>
      <c r="J24" s="214">
        <v>59.88</v>
      </c>
    </row>
    <row r="25" spans="1:12" s="120" customFormat="1" ht="21" customHeight="1" x14ac:dyDescent="0.2">
      <c r="A25" s="180">
        <v>2758</v>
      </c>
      <c r="B25" s="130" t="s">
        <v>21</v>
      </c>
      <c r="C25" s="131" t="s">
        <v>469</v>
      </c>
      <c r="D25" s="130" t="s">
        <v>458</v>
      </c>
      <c r="E25" s="132">
        <v>3</v>
      </c>
      <c r="F25" s="137">
        <f t="shared" si="2"/>
        <v>14.98</v>
      </c>
      <c r="G25" s="137"/>
      <c r="H25" s="129">
        <f t="shared" si="3"/>
        <v>44.94</v>
      </c>
      <c r="I25" s="214">
        <v>14.98</v>
      </c>
      <c r="J25" s="214">
        <v>14.98</v>
      </c>
    </row>
    <row r="26" spans="1:12" s="120" customFormat="1" ht="12.75" x14ac:dyDescent="0.2">
      <c r="A26" s="127"/>
      <c r="B26" s="138"/>
      <c r="C26" s="127"/>
      <c r="D26" s="127"/>
      <c r="E26" s="361" t="s">
        <v>470</v>
      </c>
      <c r="F26" s="363"/>
      <c r="G26" s="135"/>
      <c r="H26" s="136">
        <f>SUM(H20:H25)</f>
        <v>390.15600000000001</v>
      </c>
      <c r="I26" s="213"/>
      <c r="J26" s="213"/>
    </row>
    <row r="27" spans="1:12" s="120" customFormat="1" ht="12.75" x14ac:dyDescent="0.2">
      <c r="A27" s="139"/>
      <c r="B27" s="140"/>
      <c r="C27" s="141"/>
      <c r="D27" s="141"/>
      <c r="E27" s="141"/>
      <c r="F27" s="366" t="s">
        <v>471</v>
      </c>
      <c r="G27" s="366"/>
      <c r="H27" s="142">
        <f>H10+H18+H26</f>
        <v>577.17344000000003</v>
      </c>
      <c r="I27" s="213"/>
      <c r="J27" s="213"/>
    </row>
    <row r="28" spans="1:12" s="120" customFormat="1" ht="12.75" x14ac:dyDescent="0.2">
      <c r="A28" s="143"/>
      <c r="B28" s="144"/>
      <c r="C28" s="145"/>
      <c r="D28" s="145"/>
      <c r="E28" s="145"/>
      <c r="F28" s="356" t="s">
        <v>472</v>
      </c>
      <c r="G28" s="357"/>
      <c r="H28" s="146">
        <f>SUM(H27:H27)</f>
        <v>577.17344000000003</v>
      </c>
      <c r="I28" s="213"/>
      <c r="J28" s="213"/>
    </row>
    <row r="29" spans="1:12" x14ac:dyDescent="0.2">
      <c r="I29" s="213"/>
      <c r="J29" s="213"/>
    </row>
    <row r="30" spans="1:12" x14ac:dyDescent="0.2">
      <c r="I30" s="213"/>
      <c r="J30" s="213"/>
    </row>
    <row r="31" spans="1:12" x14ac:dyDescent="0.2">
      <c r="I31" s="213"/>
      <c r="J31" s="213"/>
    </row>
    <row r="32" spans="1:12" s="120" customFormat="1" ht="12.75" x14ac:dyDescent="0.2">
      <c r="A32" s="114" t="s">
        <v>440</v>
      </c>
      <c r="B32" s="115"/>
      <c r="C32" s="116" t="s">
        <v>818</v>
      </c>
      <c r="D32" s="117"/>
      <c r="E32" s="117"/>
      <c r="F32" s="118"/>
      <c r="G32" s="118"/>
      <c r="H32" s="119" t="s">
        <v>458</v>
      </c>
      <c r="I32" s="213"/>
      <c r="J32" s="213"/>
      <c r="K32" s="156"/>
      <c r="L32" s="157"/>
    </row>
    <row r="33" spans="1:12" s="120" customFormat="1" ht="21" customHeight="1" x14ac:dyDescent="0.2">
      <c r="A33" s="121" t="s">
        <v>441</v>
      </c>
      <c r="B33" s="122"/>
      <c r="C33" s="367" t="s">
        <v>864</v>
      </c>
      <c r="D33" s="367"/>
      <c r="E33" s="367"/>
      <c r="F33" s="367"/>
      <c r="G33" s="367"/>
      <c r="H33" s="368"/>
      <c r="I33" s="213"/>
      <c r="J33" s="213"/>
      <c r="K33" s="157"/>
      <c r="L33" s="157"/>
    </row>
    <row r="34" spans="1:12" s="120" customFormat="1" ht="21" customHeight="1" x14ac:dyDescent="0.2">
      <c r="A34" s="123" t="s">
        <v>442</v>
      </c>
      <c r="B34" s="124" t="s">
        <v>443</v>
      </c>
      <c r="C34" s="123" t="s">
        <v>444</v>
      </c>
      <c r="D34" s="123" t="s">
        <v>445</v>
      </c>
      <c r="E34" s="123" t="s">
        <v>8</v>
      </c>
      <c r="F34" s="125" t="s">
        <v>446</v>
      </c>
      <c r="G34" s="125" t="s">
        <v>447</v>
      </c>
      <c r="H34" s="126" t="s">
        <v>448</v>
      </c>
      <c r="I34" s="213"/>
      <c r="J34" s="213"/>
      <c r="K34" s="158"/>
      <c r="L34" s="157"/>
    </row>
    <row r="35" spans="1:12" s="120" customFormat="1" ht="12.75" x14ac:dyDescent="0.2">
      <c r="A35" s="123"/>
      <c r="B35" s="124"/>
      <c r="C35" s="127" t="s">
        <v>449</v>
      </c>
      <c r="D35" s="127"/>
      <c r="E35" s="127"/>
      <c r="F35" s="128"/>
      <c r="G35" s="128"/>
      <c r="H35" s="129"/>
      <c r="I35" s="213"/>
      <c r="J35" s="213"/>
      <c r="K35" s="156"/>
      <c r="L35" s="157"/>
    </row>
    <row r="36" spans="1:12" s="120" customFormat="1" ht="12.75" x14ac:dyDescent="0.2">
      <c r="A36" s="152">
        <v>88309</v>
      </c>
      <c r="B36" s="130" t="s">
        <v>450</v>
      </c>
      <c r="C36" s="131" t="s">
        <v>360</v>
      </c>
      <c r="D36" s="130" t="s">
        <v>452</v>
      </c>
      <c r="E36" s="132">
        <v>3.22</v>
      </c>
      <c r="F36" s="133">
        <f>I36</f>
        <v>29.85</v>
      </c>
      <c r="G36" s="133"/>
      <c r="H36" s="134">
        <f>E36*F36</f>
        <v>96.117000000000004</v>
      </c>
      <c r="I36" s="214">
        <v>29.85</v>
      </c>
      <c r="J36" s="214">
        <v>27.42</v>
      </c>
    </row>
    <row r="37" spans="1:12" s="120" customFormat="1" ht="12.75" x14ac:dyDescent="0.2">
      <c r="A37" s="152">
        <v>88316</v>
      </c>
      <c r="B37" s="130" t="s">
        <v>450</v>
      </c>
      <c r="C37" s="131" t="s">
        <v>349</v>
      </c>
      <c r="D37" s="130" t="s">
        <v>452</v>
      </c>
      <c r="E37" s="132">
        <v>1.61</v>
      </c>
      <c r="F37" s="133">
        <f>I37</f>
        <v>24.08</v>
      </c>
      <c r="G37" s="133"/>
      <c r="H37" s="134">
        <f>E37*F37</f>
        <v>38.768799999999999</v>
      </c>
      <c r="I37" s="214">
        <v>24.08</v>
      </c>
      <c r="J37" s="214">
        <v>22.26</v>
      </c>
    </row>
    <row r="38" spans="1:12" s="120" customFormat="1" ht="12.75" x14ac:dyDescent="0.2">
      <c r="A38" s="123"/>
      <c r="B38" s="124"/>
      <c r="C38" s="127"/>
      <c r="D38" s="361" t="s">
        <v>453</v>
      </c>
      <c r="E38" s="362"/>
      <c r="F38" s="363"/>
      <c r="G38" s="135"/>
      <c r="H38" s="136">
        <f>SUM(H36:H37)</f>
        <v>134.88580000000002</v>
      </c>
      <c r="I38" s="213"/>
      <c r="J38" s="213"/>
    </row>
    <row r="39" spans="1:12" s="120" customFormat="1" ht="12.75" x14ac:dyDescent="0.2">
      <c r="A39" s="123"/>
      <c r="B39" s="124"/>
      <c r="C39" s="127" t="s">
        <v>331</v>
      </c>
      <c r="D39" s="127"/>
      <c r="E39" s="127"/>
      <c r="F39" s="128"/>
      <c r="G39" s="128"/>
      <c r="H39" s="129"/>
      <c r="I39" s="213"/>
      <c r="J39" s="213"/>
    </row>
    <row r="40" spans="1:12" s="120" customFormat="1" ht="33.75" x14ac:dyDescent="0.2">
      <c r="A40" s="152">
        <v>87292</v>
      </c>
      <c r="B40" s="130" t="s">
        <v>450</v>
      </c>
      <c r="C40" s="131" t="s">
        <v>570</v>
      </c>
      <c r="D40" s="130" t="s">
        <v>455</v>
      </c>
      <c r="E40" s="132">
        <v>1.8200000000000001E-2</v>
      </c>
      <c r="F40" s="137">
        <f>I40</f>
        <v>701.6</v>
      </c>
      <c r="G40" s="137"/>
      <c r="H40" s="129">
        <f>E40*F40</f>
        <v>12.769120000000001</v>
      </c>
      <c r="I40" s="214">
        <v>701.6</v>
      </c>
      <c r="J40" s="214">
        <v>693.59</v>
      </c>
    </row>
    <row r="41" spans="1:12" s="120" customFormat="1" ht="12.75" x14ac:dyDescent="0.2">
      <c r="A41" s="123"/>
      <c r="B41" s="124"/>
      <c r="C41" s="127"/>
      <c r="D41" s="127"/>
      <c r="E41" s="361" t="s">
        <v>461</v>
      </c>
      <c r="F41" s="363"/>
      <c r="G41" s="135"/>
      <c r="H41" s="136">
        <f>H40</f>
        <v>12.769120000000001</v>
      </c>
      <c r="I41" s="213"/>
      <c r="J41" s="213"/>
    </row>
    <row r="42" spans="1:12" s="120" customFormat="1" ht="12.75" x14ac:dyDescent="0.2">
      <c r="A42" s="123"/>
      <c r="B42" s="124"/>
      <c r="C42" s="127" t="s">
        <v>462</v>
      </c>
      <c r="D42" s="127"/>
      <c r="E42" s="127"/>
      <c r="F42" s="128"/>
      <c r="G42" s="128"/>
      <c r="H42" s="129"/>
      <c r="I42" s="213"/>
      <c r="J42" s="213"/>
    </row>
    <row r="43" spans="1:12" s="120" customFormat="1" ht="22.5" x14ac:dyDescent="0.2">
      <c r="A43" s="180">
        <v>7271</v>
      </c>
      <c r="B43" s="130" t="s">
        <v>450</v>
      </c>
      <c r="C43" s="131" t="s">
        <v>571</v>
      </c>
      <c r="D43" s="130" t="s">
        <v>568</v>
      </c>
      <c r="E43" s="132">
        <v>56.62</v>
      </c>
      <c r="F43" s="137">
        <f>I43</f>
        <v>0.65</v>
      </c>
      <c r="G43" s="137"/>
      <c r="H43" s="129">
        <f>E43*F43</f>
        <v>36.802999999999997</v>
      </c>
      <c r="I43" s="214">
        <v>0.65</v>
      </c>
      <c r="J43" s="214">
        <v>0.65</v>
      </c>
    </row>
    <row r="44" spans="1:12" s="120" customFormat="1" ht="12.75" x14ac:dyDescent="0.2">
      <c r="A44" s="127"/>
      <c r="B44" s="138"/>
      <c r="C44" s="127"/>
      <c r="D44" s="127"/>
      <c r="E44" s="361" t="s">
        <v>470</v>
      </c>
      <c r="F44" s="363"/>
      <c r="G44" s="135"/>
      <c r="H44" s="136">
        <f>SUM(H43:H43)</f>
        <v>36.802999999999997</v>
      </c>
      <c r="I44" s="213"/>
      <c r="J44" s="213"/>
    </row>
    <row r="45" spans="1:12" s="120" customFormat="1" ht="12.75" x14ac:dyDescent="0.2">
      <c r="A45" s="139"/>
      <c r="B45" s="140"/>
      <c r="C45" s="141"/>
      <c r="D45" s="141"/>
      <c r="E45" s="141"/>
      <c r="F45" s="366" t="s">
        <v>471</v>
      </c>
      <c r="G45" s="366"/>
      <c r="H45" s="142">
        <f>H38+H41+H44</f>
        <v>184.45792</v>
      </c>
      <c r="I45" s="213"/>
      <c r="J45" s="213"/>
    </row>
    <row r="46" spans="1:12" s="120" customFormat="1" ht="12.75" x14ac:dyDescent="0.2">
      <c r="A46" s="143"/>
      <c r="B46" s="144"/>
      <c r="C46" s="145"/>
      <c r="D46" s="145"/>
      <c r="E46" s="145"/>
      <c r="F46" s="356" t="s">
        <v>572</v>
      </c>
      <c r="G46" s="357"/>
      <c r="H46" s="146">
        <f>SUM(H45:H45)</f>
        <v>184.45792</v>
      </c>
      <c r="I46" s="213"/>
      <c r="J46" s="213"/>
    </row>
    <row r="47" spans="1:12" x14ac:dyDescent="0.2">
      <c r="I47" s="213"/>
      <c r="J47" s="213"/>
    </row>
    <row r="48" spans="1:12" x14ac:dyDescent="0.2">
      <c r="I48" s="213"/>
      <c r="J48" s="213"/>
    </row>
    <row r="49" spans="1:10" x14ac:dyDescent="0.2">
      <c r="I49" s="213"/>
      <c r="J49" s="213"/>
    </row>
    <row r="50" spans="1:10" s="120" customFormat="1" ht="12.75" x14ac:dyDescent="0.2">
      <c r="A50" s="114" t="s">
        <v>440</v>
      </c>
      <c r="B50" s="115"/>
      <c r="C50" s="116" t="s">
        <v>819</v>
      </c>
      <c r="D50" s="117"/>
      <c r="E50" s="117"/>
      <c r="F50" s="118"/>
      <c r="G50" s="118"/>
      <c r="H50" s="119" t="s">
        <v>79</v>
      </c>
      <c r="I50" s="213"/>
      <c r="J50" s="213"/>
    </row>
    <row r="51" spans="1:10" s="120" customFormat="1" ht="20.45" customHeight="1" x14ac:dyDescent="0.2">
      <c r="A51" s="121" t="s">
        <v>441</v>
      </c>
      <c r="B51" s="122"/>
      <c r="C51" s="367" t="s">
        <v>575</v>
      </c>
      <c r="D51" s="367"/>
      <c r="E51" s="367"/>
      <c r="F51" s="367"/>
      <c r="G51" s="367"/>
      <c r="H51" s="368"/>
      <c r="I51" s="213"/>
      <c r="J51" s="213"/>
    </row>
    <row r="52" spans="1:10" s="120" customFormat="1" ht="12.75" x14ac:dyDescent="0.2">
      <c r="A52" s="123" t="s">
        <v>442</v>
      </c>
      <c r="B52" s="124" t="s">
        <v>443</v>
      </c>
      <c r="C52" s="123" t="s">
        <v>444</v>
      </c>
      <c r="D52" s="123" t="s">
        <v>445</v>
      </c>
      <c r="E52" s="123" t="s">
        <v>8</v>
      </c>
      <c r="F52" s="125" t="s">
        <v>446</v>
      </c>
      <c r="G52" s="125" t="s">
        <v>447</v>
      </c>
      <c r="H52" s="126" t="s">
        <v>448</v>
      </c>
      <c r="I52" s="213"/>
      <c r="J52" s="213"/>
    </row>
    <row r="53" spans="1:10" s="120" customFormat="1" ht="12.75" x14ac:dyDescent="0.2">
      <c r="A53" s="123"/>
      <c r="B53" s="124"/>
      <c r="C53" s="127" t="s">
        <v>449</v>
      </c>
      <c r="D53" s="127"/>
      <c r="E53" s="127"/>
      <c r="F53" s="128"/>
      <c r="G53" s="128"/>
      <c r="H53" s="129"/>
      <c r="I53" s="213"/>
      <c r="J53" s="213"/>
    </row>
    <row r="54" spans="1:10" s="120" customFormat="1" ht="12.75" x14ac:dyDescent="0.2">
      <c r="A54" s="152">
        <v>88240</v>
      </c>
      <c r="B54" s="130" t="s">
        <v>450</v>
      </c>
      <c r="C54" s="131" t="s">
        <v>350</v>
      </c>
      <c r="D54" s="130" t="s">
        <v>452</v>
      </c>
      <c r="E54" s="132">
        <v>8.3620000000000005E-4</v>
      </c>
      <c r="F54" s="133">
        <f>I54</f>
        <v>23.85</v>
      </c>
      <c r="G54" s="132"/>
      <c r="H54" s="129">
        <f t="shared" ref="H54:H56" si="4">E54*F54</f>
        <v>1.9943370000000002E-2</v>
      </c>
      <c r="I54" s="214">
        <v>23.85</v>
      </c>
      <c r="J54" s="214">
        <v>21.94</v>
      </c>
    </row>
    <row r="55" spans="1:10" s="120" customFormat="1" ht="22.5" x14ac:dyDescent="0.2">
      <c r="A55" s="152">
        <v>88278</v>
      </c>
      <c r="B55" s="130" t="s">
        <v>450</v>
      </c>
      <c r="C55" s="131" t="s">
        <v>354</v>
      </c>
      <c r="D55" s="130" t="s">
        <v>452</v>
      </c>
      <c r="E55" s="132">
        <v>2.3666E-3</v>
      </c>
      <c r="F55" s="133">
        <f>I55</f>
        <v>22.41</v>
      </c>
      <c r="G55" s="132"/>
      <c r="H55" s="129">
        <f t="shared" si="4"/>
        <v>5.3035505999999996E-2</v>
      </c>
      <c r="I55" s="214">
        <v>22.41</v>
      </c>
      <c r="J55" s="214">
        <v>20.65</v>
      </c>
    </row>
    <row r="56" spans="1:10" s="120" customFormat="1" ht="12.75" x14ac:dyDescent="0.2">
      <c r="A56" s="152">
        <v>88317</v>
      </c>
      <c r="B56" s="130" t="s">
        <v>450</v>
      </c>
      <c r="C56" s="131" t="s">
        <v>356</v>
      </c>
      <c r="D56" s="130" t="s">
        <v>452</v>
      </c>
      <c r="E56" s="132">
        <v>4.9857E-3</v>
      </c>
      <c r="F56" s="133">
        <f>I56</f>
        <v>30.57</v>
      </c>
      <c r="G56" s="132"/>
      <c r="H56" s="129">
        <f t="shared" si="4"/>
        <v>0.15241284899999999</v>
      </c>
      <c r="I56" s="214">
        <v>30.57</v>
      </c>
      <c r="J56" s="214">
        <v>28.17</v>
      </c>
    </row>
    <row r="57" spans="1:10" s="120" customFormat="1" ht="12.75" x14ac:dyDescent="0.2">
      <c r="A57" s="123"/>
      <c r="B57" s="124"/>
      <c r="C57" s="127"/>
      <c r="D57" s="361" t="s">
        <v>453</v>
      </c>
      <c r="E57" s="362"/>
      <c r="F57" s="363"/>
      <c r="G57" s="135"/>
      <c r="H57" s="136">
        <f>SUM(H54:H56)</f>
        <v>0.22539172499999999</v>
      </c>
      <c r="I57" s="213"/>
      <c r="J57" s="213"/>
    </row>
    <row r="58" spans="1:10" s="120" customFormat="1" ht="12.75" x14ac:dyDescent="0.2">
      <c r="A58" s="123"/>
      <c r="B58" s="124"/>
      <c r="C58" s="127" t="s">
        <v>331</v>
      </c>
      <c r="D58" s="127"/>
      <c r="E58" s="127"/>
      <c r="F58" s="128"/>
      <c r="G58" s="128"/>
      <c r="H58" s="129"/>
      <c r="I58" s="213"/>
      <c r="J58" s="213"/>
    </row>
    <row r="59" spans="1:10" s="120" customFormat="1" ht="22.5" x14ac:dyDescent="0.2">
      <c r="A59" s="154">
        <v>100716</v>
      </c>
      <c r="B59" s="130" t="s">
        <v>450</v>
      </c>
      <c r="C59" s="155" t="s">
        <v>576</v>
      </c>
      <c r="D59" s="130" t="s">
        <v>458</v>
      </c>
      <c r="E59" s="153">
        <v>7.8887499999999999E-2</v>
      </c>
      <c r="F59" s="133">
        <f>I59</f>
        <v>24.39</v>
      </c>
      <c r="G59" s="132"/>
      <c r="H59" s="129">
        <f>E59*F59</f>
        <v>1.924066125</v>
      </c>
      <c r="I59" s="214">
        <v>24.39</v>
      </c>
      <c r="J59" s="214">
        <v>24.09</v>
      </c>
    </row>
    <row r="60" spans="1:10" s="120" customFormat="1" ht="33.75" x14ac:dyDescent="0.2">
      <c r="A60" s="154">
        <v>100719</v>
      </c>
      <c r="B60" s="130" t="s">
        <v>450</v>
      </c>
      <c r="C60" s="155" t="s">
        <v>355</v>
      </c>
      <c r="D60" s="130" t="s">
        <v>458</v>
      </c>
      <c r="E60" s="153">
        <v>7.8887499999999999E-2</v>
      </c>
      <c r="F60" s="133">
        <f>I60</f>
        <v>13.9</v>
      </c>
      <c r="G60" s="132"/>
      <c r="H60" s="129">
        <f>E60*F60</f>
        <v>1.09653625</v>
      </c>
      <c r="I60" s="214">
        <v>13.9</v>
      </c>
      <c r="J60" s="214">
        <v>13.74</v>
      </c>
    </row>
    <row r="61" spans="1:10" s="120" customFormat="1" ht="33.75" x14ac:dyDescent="0.2">
      <c r="A61" s="154">
        <v>93288</v>
      </c>
      <c r="B61" s="130" t="s">
        <v>450</v>
      </c>
      <c r="C61" s="155" t="s">
        <v>351</v>
      </c>
      <c r="D61" s="130" t="s">
        <v>352</v>
      </c>
      <c r="E61" s="153">
        <v>5.2070000000000003E-4</v>
      </c>
      <c r="F61" s="133">
        <f>I61</f>
        <v>181.8</v>
      </c>
      <c r="G61" s="132"/>
      <c r="H61" s="129">
        <f>E61*F61</f>
        <v>9.4663260000000013E-2</v>
      </c>
      <c r="I61" s="214">
        <v>181.8</v>
      </c>
      <c r="J61" s="214">
        <v>178.94</v>
      </c>
    </row>
    <row r="62" spans="1:10" s="120" customFormat="1" ht="33.75" x14ac:dyDescent="0.2">
      <c r="A62" s="154">
        <v>93287</v>
      </c>
      <c r="B62" s="130" t="s">
        <v>450</v>
      </c>
      <c r="C62" s="155" t="s">
        <v>351</v>
      </c>
      <c r="D62" s="130" t="s">
        <v>353</v>
      </c>
      <c r="E62" s="153">
        <v>6.6270000000000001E-4</v>
      </c>
      <c r="F62" s="133">
        <f>I62</f>
        <v>354.97</v>
      </c>
      <c r="G62" s="132"/>
      <c r="H62" s="129">
        <f>E62*F62</f>
        <v>0.23523861900000001</v>
      </c>
      <c r="I62" s="214">
        <v>354.97</v>
      </c>
      <c r="J62" s="214">
        <v>352.11</v>
      </c>
    </row>
    <row r="63" spans="1:10" s="120" customFormat="1" ht="12.75" x14ac:dyDescent="0.2">
      <c r="A63" s="123"/>
      <c r="B63" s="124"/>
      <c r="C63" s="127"/>
      <c r="D63" s="127"/>
      <c r="E63" s="361" t="s">
        <v>461</v>
      </c>
      <c r="F63" s="363"/>
      <c r="G63" s="132"/>
      <c r="H63" s="136">
        <f>SUM(H59:H62)</f>
        <v>3.3505042540000001</v>
      </c>
      <c r="I63" s="213"/>
      <c r="J63" s="213"/>
    </row>
    <row r="64" spans="1:10" s="120" customFormat="1" ht="12.75" x14ac:dyDescent="0.2">
      <c r="A64" s="123"/>
      <c r="B64" s="124"/>
      <c r="C64" s="127" t="s">
        <v>462</v>
      </c>
      <c r="D64" s="127"/>
      <c r="E64" s="127"/>
      <c r="F64" s="128"/>
      <c r="G64" s="132"/>
      <c r="H64" s="129"/>
      <c r="I64" s="213"/>
      <c r="J64" s="213"/>
    </row>
    <row r="65" spans="1:10" s="120" customFormat="1" ht="22.15" customHeight="1" x14ac:dyDescent="0.2">
      <c r="A65" s="154">
        <v>43083</v>
      </c>
      <c r="B65" s="130" t="s">
        <v>450</v>
      </c>
      <c r="C65" s="155" t="s">
        <v>577</v>
      </c>
      <c r="D65" s="130" t="s">
        <v>79</v>
      </c>
      <c r="E65" s="153">
        <v>0.56602580000000002</v>
      </c>
      <c r="F65" s="133">
        <f>I65</f>
        <v>8.66</v>
      </c>
      <c r="G65" s="132"/>
      <c r="H65" s="129">
        <f>E65*F65</f>
        <v>4.9017834279999999</v>
      </c>
      <c r="I65" s="214">
        <v>8.66</v>
      </c>
      <c r="J65" s="214">
        <v>8.66</v>
      </c>
    </row>
    <row r="66" spans="1:10" s="120" customFormat="1" ht="22.5" x14ac:dyDescent="0.2">
      <c r="A66" s="154">
        <v>4777</v>
      </c>
      <c r="B66" s="130" t="s">
        <v>450</v>
      </c>
      <c r="C66" s="155" t="s">
        <v>357</v>
      </c>
      <c r="D66" s="130" t="s">
        <v>79</v>
      </c>
      <c r="E66" s="153">
        <v>0.51673250000000004</v>
      </c>
      <c r="F66" s="133">
        <f>I66</f>
        <v>8.02</v>
      </c>
      <c r="G66" s="132"/>
      <c r="H66" s="129">
        <f>E66*F66</f>
        <v>4.1441946500000002</v>
      </c>
      <c r="I66" s="214">
        <v>8.02</v>
      </c>
      <c r="J66" s="214">
        <v>8.02</v>
      </c>
    </row>
    <row r="67" spans="1:10" s="120" customFormat="1" ht="12.75" x14ac:dyDescent="0.2">
      <c r="A67" s="154">
        <v>1333</v>
      </c>
      <c r="B67" s="130" t="s">
        <v>450</v>
      </c>
      <c r="C67" s="155" t="s">
        <v>358</v>
      </c>
      <c r="D67" s="130" t="s">
        <v>79</v>
      </c>
      <c r="E67" s="153">
        <v>6.424E-3</v>
      </c>
      <c r="F67" s="133">
        <f>I67</f>
        <v>7.96</v>
      </c>
      <c r="G67" s="132"/>
      <c r="H67" s="129">
        <f>E67*F67</f>
        <v>5.113504E-2</v>
      </c>
      <c r="I67" s="214">
        <v>7.96</v>
      </c>
      <c r="J67" s="214">
        <v>7.96</v>
      </c>
    </row>
    <row r="68" spans="1:10" s="120" customFormat="1" ht="19.899999999999999" customHeight="1" x14ac:dyDescent="0.2">
      <c r="A68" s="154">
        <v>1332</v>
      </c>
      <c r="B68" s="130" t="s">
        <v>450</v>
      </c>
      <c r="C68" s="155" t="s">
        <v>359</v>
      </c>
      <c r="D68" s="130" t="s">
        <v>79</v>
      </c>
      <c r="E68" s="153">
        <v>1.8177E-3</v>
      </c>
      <c r="F68" s="133">
        <f>I68</f>
        <v>8.09</v>
      </c>
      <c r="G68" s="132"/>
      <c r="H68" s="129">
        <f>E68*F68</f>
        <v>1.4705193E-2</v>
      </c>
      <c r="I68" s="214">
        <v>8.09</v>
      </c>
      <c r="J68" s="214">
        <v>8.09</v>
      </c>
    </row>
    <row r="69" spans="1:10" s="120" customFormat="1" ht="12.75" x14ac:dyDescent="0.2">
      <c r="A69" s="127"/>
      <c r="B69" s="138"/>
      <c r="C69" s="127"/>
      <c r="D69" s="127"/>
      <c r="E69" s="361" t="s">
        <v>470</v>
      </c>
      <c r="F69" s="363"/>
      <c r="G69" s="135"/>
      <c r="H69" s="136">
        <f>SUM(H65:H68)</f>
        <v>9.1118183110000004</v>
      </c>
      <c r="I69" s="213"/>
      <c r="J69" s="213"/>
    </row>
    <row r="70" spans="1:10" s="120" customFormat="1" ht="12.75" x14ac:dyDescent="0.2">
      <c r="A70" s="139"/>
      <c r="B70" s="140"/>
      <c r="C70" s="141"/>
      <c r="D70" s="141"/>
      <c r="E70" s="141"/>
      <c r="F70" s="366" t="s">
        <v>471</v>
      </c>
      <c r="G70" s="366"/>
      <c r="H70" s="142">
        <f>H57+H63+H69</f>
        <v>12.687714290000001</v>
      </c>
      <c r="I70" s="213"/>
      <c r="J70" s="213"/>
    </row>
    <row r="71" spans="1:10" s="120" customFormat="1" ht="12.75" x14ac:dyDescent="0.2">
      <c r="A71" s="143"/>
      <c r="B71" s="144"/>
      <c r="C71" s="145"/>
      <c r="D71" s="145"/>
      <c r="E71" s="145"/>
      <c r="F71" s="356" t="s">
        <v>572</v>
      </c>
      <c r="G71" s="357"/>
      <c r="H71" s="146">
        <f>SUM(H70:H70)</f>
        <v>12.687714290000001</v>
      </c>
      <c r="I71" s="213"/>
      <c r="J71" s="213"/>
    </row>
    <row r="72" spans="1:10" x14ac:dyDescent="0.2">
      <c r="I72" s="213"/>
      <c r="J72" s="213"/>
    </row>
    <row r="73" spans="1:10" x14ac:dyDescent="0.2">
      <c r="I73" s="213"/>
      <c r="J73" s="213"/>
    </row>
    <row r="74" spans="1:10" x14ac:dyDescent="0.2">
      <c r="I74" s="213"/>
      <c r="J74" s="213"/>
    </row>
    <row r="75" spans="1:10" s="120" customFormat="1" ht="12.75" x14ac:dyDescent="0.2">
      <c r="A75" s="114" t="s">
        <v>440</v>
      </c>
      <c r="B75" s="115"/>
      <c r="C75" s="116" t="s">
        <v>611</v>
      </c>
      <c r="D75" s="117"/>
      <c r="E75" s="117"/>
      <c r="F75" s="118"/>
      <c r="G75" s="118"/>
      <c r="H75" s="119" t="s">
        <v>578</v>
      </c>
      <c r="I75" s="213"/>
      <c r="J75" s="213"/>
    </row>
    <row r="76" spans="1:10" s="120" customFormat="1" ht="13.5" customHeight="1" x14ac:dyDescent="0.2">
      <c r="A76" s="121" t="s">
        <v>441</v>
      </c>
      <c r="B76" s="122"/>
      <c r="C76" s="367" t="s">
        <v>232</v>
      </c>
      <c r="D76" s="367"/>
      <c r="E76" s="367"/>
      <c r="F76" s="367"/>
      <c r="G76" s="367"/>
      <c r="H76" s="368"/>
      <c r="I76" s="213"/>
      <c r="J76" s="213"/>
    </row>
    <row r="77" spans="1:10" s="120" customFormat="1" ht="12.75" x14ac:dyDescent="0.2">
      <c r="A77" s="123" t="s">
        <v>442</v>
      </c>
      <c r="B77" s="124" t="s">
        <v>443</v>
      </c>
      <c r="C77" s="123" t="s">
        <v>444</v>
      </c>
      <c r="D77" s="123" t="s">
        <v>445</v>
      </c>
      <c r="E77" s="123" t="s">
        <v>8</v>
      </c>
      <c r="F77" s="125" t="s">
        <v>446</v>
      </c>
      <c r="G77" s="125" t="s">
        <v>447</v>
      </c>
      <c r="H77" s="126" t="s">
        <v>448</v>
      </c>
      <c r="I77" s="213"/>
      <c r="J77" s="213"/>
    </row>
    <row r="78" spans="1:10" s="120" customFormat="1" ht="12.75" x14ac:dyDescent="0.2">
      <c r="A78" s="123"/>
      <c r="B78" s="124"/>
      <c r="C78" s="127" t="s">
        <v>449</v>
      </c>
      <c r="D78" s="127"/>
      <c r="E78" s="127"/>
      <c r="F78" s="128"/>
      <c r="G78" s="128"/>
      <c r="H78" s="129"/>
      <c r="I78" s="213"/>
      <c r="J78" s="213"/>
    </row>
    <row r="79" spans="1:10" s="120" customFormat="1" ht="12.75" x14ac:dyDescent="0.2">
      <c r="A79" s="152">
        <v>88316</v>
      </c>
      <c r="B79" s="130" t="s">
        <v>450</v>
      </c>
      <c r="C79" s="131" t="s">
        <v>349</v>
      </c>
      <c r="D79" s="130" t="s">
        <v>452</v>
      </c>
      <c r="E79" s="132">
        <v>1</v>
      </c>
      <c r="F79" s="133">
        <f>I79</f>
        <v>24.08</v>
      </c>
      <c r="G79" s="133"/>
      <c r="H79" s="129">
        <f t="shared" ref="H79:H80" si="5">E79*F79</f>
        <v>24.08</v>
      </c>
      <c r="I79" s="214">
        <v>24.08</v>
      </c>
      <c r="J79" s="214">
        <v>22.26</v>
      </c>
    </row>
    <row r="80" spans="1:10" s="120" customFormat="1" ht="12.75" x14ac:dyDescent="0.2">
      <c r="A80" s="152">
        <v>88264</v>
      </c>
      <c r="B80" s="130" t="s">
        <v>450</v>
      </c>
      <c r="C80" s="131" t="s">
        <v>348</v>
      </c>
      <c r="D80" s="130" t="s">
        <v>452</v>
      </c>
      <c r="E80" s="132">
        <v>1</v>
      </c>
      <c r="F80" s="133">
        <f>I80</f>
        <v>30.24</v>
      </c>
      <c r="G80" s="133"/>
      <c r="H80" s="129">
        <f t="shared" si="5"/>
        <v>30.24</v>
      </c>
      <c r="I80" s="214">
        <v>30.24</v>
      </c>
      <c r="J80" s="214">
        <v>27.77</v>
      </c>
    </row>
    <row r="81" spans="1:10" s="120" customFormat="1" ht="12.75" x14ac:dyDescent="0.2">
      <c r="A81" s="123"/>
      <c r="B81" s="124"/>
      <c r="C81" s="127"/>
      <c r="D81" s="361" t="s">
        <v>453</v>
      </c>
      <c r="E81" s="362"/>
      <c r="F81" s="363"/>
      <c r="G81" s="135"/>
      <c r="H81" s="136">
        <f>SUM(H79:H80)</f>
        <v>54.319999999999993</v>
      </c>
      <c r="I81" s="213"/>
      <c r="J81" s="213"/>
    </row>
    <row r="82" spans="1:10" s="120" customFormat="1" ht="12.75" x14ac:dyDescent="0.2">
      <c r="A82" s="123"/>
      <c r="B82" s="124"/>
      <c r="C82" s="127" t="s">
        <v>331</v>
      </c>
      <c r="D82" s="127"/>
      <c r="E82" s="127"/>
      <c r="F82" s="128"/>
      <c r="G82" s="128"/>
      <c r="H82" s="129"/>
      <c r="I82" s="213"/>
      <c r="J82" s="213"/>
    </row>
    <row r="83" spans="1:10" s="120" customFormat="1" ht="12.75" x14ac:dyDescent="0.2">
      <c r="A83" s="123"/>
      <c r="B83" s="124"/>
      <c r="C83" s="127"/>
      <c r="D83" s="127"/>
      <c r="E83" s="361" t="s">
        <v>461</v>
      </c>
      <c r="F83" s="363"/>
      <c r="G83" s="135"/>
      <c r="H83" s="136"/>
      <c r="I83" s="213"/>
      <c r="J83" s="213"/>
    </row>
    <row r="84" spans="1:10" s="120" customFormat="1" ht="12.75" x14ac:dyDescent="0.2">
      <c r="A84" s="123"/>
      <c r="B84" s="124"/>
      <c r="C84" s="127" t="s">
        <v>462</v>
      </c>
      <c r="D84" s="127"/>
      <c r="E84" s="127"/>
      <c r="F84" s="128"/>
      <c r="G84" s="128"/>
      <c r="H84" s="129"/>
      <c r="I84" s="213"/>
      <c r="J84" s="213"/>
    </row>
    <row r="85" spans="1:10" s="120" customFormat="1" ht="12.75" x14ac:dyDescent="0.2">
      <c r="A85" s="154" t="s">
        <v>384</v>
      </c>
      <c r="B85" s="130" t="s">
        <v>383</v>
      </c>
      <c r="C85" s="155" t="s">
        <v>385</v>
      </c>
      <c r="D85" s="130" t="s">
        <v>568</v>
      </c>
      <c r="E85" s="153">
        <v>1</v>
      </c>
      <c r="F85" s="133">
        <v>48.67</v>
      </c>
      <c r="G85" s="137"/>
      <c r="H85" s="129">
        <f>E85*F85</f>
        <v>48.67</v>
      </c>
      <c r="I85" s="213"/>
      <c r="J85" s="213"/>
    </row>
    <row r="86" spans="1:10" s="120" customFormat="1" ht="12.75" x14ac:dyDescent="0.2">
      <c r="A86" s="127"/>
      <c r="B86" s="138"/>
      <c r="C86" s="127"/>
      <c r="D86" s="127"/>
      <c r="E86" s="361" t="s">
        <v>470</v>
      </c>
      <c r="F86" s="363"/>
      <c r="G86" s="135"/>
      <c r="H86" s="136">
        <f>SUM(H85:H85)</f>
        <v>48.67</v>
      </c>
      <c r="I86" s="213"/>
      <c r="J86" s="213"/>
    </row>
    <row r="87" spans="1:10" s="120" customFormat="1" ht="12.75" x14ac:dyDescent="0.2">
      <c r="A87" s="139"/>
      <c r="B87" s="140"/>
      <c r="C87" s="141"/>
      <c r="D87" s="141"/>
      <c r="E87" s="141"/>
      <c r="F87" s="366" t="s">
        <v>471</v>
      </c>
      <c r="G87" s="366"/>
      <c r="H87" s="142">
        <f>H81+H83+H86</f>
        <v>102.99</v>
      </c>
      <c r="I87" s="213"/>
      <c r="J87" s="213"/>
    </row>
    <row r="88" spans="1:10" s="120" customFormat="1" ht="12.75" x14ac:dyDescent="0.2">
      <c r="A88" s="143"/>
      <c r="B88" s="144"/>
      <c r="C88" s="145"/>
      <c r="D88" s="145"/>
      <c r="E88" s="145"/>
      <c r="F88" s="356" t="s">
        <v>572</v>
      </c>
      <c r="G88" s="357"/>
      <c r="H88" s="146">
        <f>SUM(H87:H87)</f>
        <v>102.99</v>
      </c>
      <c r="I88" s="213"/>
      <c r="J88" s="213"/>
    </row>
    <row r="89" spans="1:10" x14ac:dyDescent="0.2">
      <c r="I89" s="213"/>
      <c r="J89" s="213"/>
    </row>
    <row r="90" spans="1:10" x14ac:dyDescent="0.2">
      <c r="I90" s="213"/>
      <c r="J90" s="213"/>
    </row>
    <row r="91" spans="1:10" x14ac:dyDescent="0.2">
      <c r="I91" s="213"/>
      <c r="J91" s="213"/>
    </row>
    <row r="92" spans="1:10" s="120" customFormat="1" ht="12.75" x14ac:dyDescent="0.2">
      <c r="A92" s="114" t="s">
        <v>440</v>
      </c>
      <c r="B92" s="115"/>
      <c r="C92" s="116" t="s">
        <v>820</v>
      </c>
      <c r="D92" s="117"/>
      <c r="E92" s="117"/>
      <c r="F92" s="118"/>
      <c r="G92" s="118"/>
      <c r="H92" s="119" t="s">
        <v>19</v>
      </c>
      <c r="I92" s="213"/>
      <c r="J92" s="213"/>
    </row>
    <row r="93" spans="1:10" s="120" customFormat="1" ht="12.6" customHeight="1" x14ac:dyDescent="0.2">
      <c r="A93" s="121" t="s">
        <v>441</v>
      </c>
      <c r="B93" s="122"/>
      <c r="C93" s="367" t="s">
        <v>187</v>
      </c>
      <c r="D93" s="367"/>
      <c r="E93" s="367"/>
      <c r="F93" s="367"/>
      <c r="G93" s="367"/>
      <c r="H93" s="368"/>
      <c r="I93" s="213"/>
      <c r="J93" s="213"/>
    </row>
    <row r="94" spans="1:10" s="120" customFormat="1" ht="12.75" x14ac:dyDescent="0.2">
      <c r="A94" s="123" t="s">
        <v>442</v>
      </c>
      <c r="B94" s="124" t="s">
        <v>443</v>
      </c>
      <c r="C94" s="123" t="s">
        <v>444</v>
      </c>
      <c r="D94" s="123" t="s">
        <v>445</v>
      </c>
      <c r="E94" s="123" t="s">
        <v>8</v>
      </c>
      <c r="F94" s="125" t="s">
        <v>446</v>
      </c>
      <c r="G94" s="125" t="s">
        <v>447</v>
      </c>
      <c r="H94" s="126" t="s">
        <v>448</v>
      </c>
      <c r="I94" s="213"/>
      <c r="J94" s="213"/>
    </row>
    <row r="95" spans="1:10" s="120" customFormat="1" ht="12.75" x14ac:dyDescent="0.2">
      <c r="A95" s="123"/>
      <c r="B95" s="124"/>
      <c r="C95" s="127" t="s">
        <v>449</v>
      </c>
      <c r="D95" s="127"/>
      <c r="E95" s="127"/>
      <c r="F95" s="128"/>
      <c r="G95" s="128"/>
      <c r="H95" s="129"/>
      <c r="I95" s="213"/>
      <c r="J95" s="213"/>
    </row>
    <row r="96" spans="1:10" s="120" customFormat="1" ht="12.75" x14ac:dyDescent="0.2">
      <c r="A96" s="152">
        <v>88309</v>
      </c>
      <c r="B96" s="130" t="s">
        <v>450</v>
      </c>
      <c r="C96" s="131" t="s">
        <v>360</v>
      </c>
      <c r="D96" s="130" t="s">
        <v>452</v>
      </c>
      <c r="E96" s="132">
        <v>0.4</v>
      </c>
      <c r="F96" s="133">
        <f>I96</f>
        <v>29.85</v>
      </c>
      <c r="G96" s="133"/>
      <c r="H96" s="129">
        <f t="shared" ref="H96" si="6">E96*F96</f>
        <v>11.940000000000001</v>
      </c>
      <c r="I96" s="214">
        <v>29.85</v>
      </c>
      <c r="J96" s="214">
        <v>27.42</v>
      </c>
    </row>
    <row r="97" spans="1:10" s="120" customFormat="1" ht="12.75" x14ac:dyDescent="0.2">
      <c r="A97" s="123"/>
      <c r="B97" s="124"/>
      <c r="C97" s="127"/>
      <c r="D97" s="361" t="s">
        <v>453</v>
      </c>
      <c r="E97" s="362"/>
      <c r="F97" s="363"/>
      <c r="G97" s="135"/>
      <c r="H97" s="136">
        <f>SUM(H96:H96)</f>
        <v>11.940000000000001</v>
      </c>
      <c r="I97" s="213"/>
      <c r="J97" s="213"/>
    </row>
    <row r="98" spans="1:10" s="120" customFormat="1" ht="12.75" x14ac:dyDescent="0.2">
      <c r="A98" s="123"/>
      <c r="B98" s="124"/>
      <c r="C98" s="127" t="s">
        <v>331</v>
      </c>
      <c r="D98" s="127"/>
      <c r="E98" s="127"/>
      <c r="F98" s="128"/>
      <c r="G98" s="128"/>
      <c r="H98" s="129"/>
      <c r="I98" s="213"/>
      <c r="J98" s="213"/>
    </row>
    <row r="99" spans="1:10" s="120" customFormat="1" ht="12.75" x14ac:dyDescent="0.2">
      <c r="A99" s="123"/>
      <c r="B99" s="124"/>
      <c r="C99" s="127"/>
      <c r="D99" s="127"/>
      <c r="E99" s="361" t="s">
        <v>461</v>
      </c>
      <c r="F99" s="363"/>
      <c r="G99" s="135"/>
      <c r="H99" s="136"/>
      <c r="I99" s="213"/>
      <c r="J99" s="213"/>
    </row>
    <row r="100" spans="1:10" s="120" customFormat="1" ht="12.75" x14ac:dyDescent="0.2">
      <c r="A100" s="123"/>
      <c r="B100" s="124"/>
      <c r="C100" s="127" t="s">
        <v>462</v>
      </c>
      <c r="D100" s="127"/>
      <c r="E100" s="127"/>
      <c r="F100" s="128"/>
      <c r="G100" s="128"/>
      <c r="H100" s="129"/>
      <c r="I100" s="213"/>
      <c r="J100" s="213"/>
    </row>
    <row r="101" spans="1:10" s="120" customFormat="1" ht="12.75" x14ac:dyDescent="0.2">
      <c r="A101" s="152">
        <v>2683</v>
      </c>
      <c r="B101" s="130" t="s">
        <v>21</v>
      </c>
      <c r="C101" s="155" t="s">
        <v>617</v>
      </c>
      <c r="D101" s="130" t="s">
        <v>79</v>
      </c>
      <c r="E101" s="153">
        <v>0.45</v>
      </c>
      <c r="F101" s="133">
        <f>I101</f>
        <v>0.9</v>
      </c>
      <c r="G101" s="137"/>
      <c r="H101" s="129">
        <f>E101*F101</f>
        <v>0.40500000000000003</v>
      </c>
      <c r="I101" s="214">
        <v>0.9</v>
      </c>
      <c r="J101" s="214">
        <v>0.9</v>
      </c>
    </row>
    <row r="102" spans="1:10" s="120" customFormat="1" ht="22.5" x14ac:dyDescent="0.2">
      <c r="A102" s="180" t="s">
        <v>609</v>
      </c>
      <c r="B102" s="130" t="s">
        <v>21</v>
      </c>
      <c r="C102" s="131" t="s">
        <v>618</v>
      </c>
      <c r="D102" s="130" t="s">
        <v>458</v>
      </c>
      <c r="E102" s="153">
        <v>1</v>
      </c>
      <c r="F102" s="133">
        <f>I102</f>
        <v>145.79</v>
      </c>
      <c r="G102" s="137"/>
      <c r="H102" s="129">
        <f>E102*F102</f>
        <v>145.79</v>
      </c>
      <c r="I102" s="214">
        <v>145.79</v>
      </c>
      <c r="J102" s="214">
        <v>145.79</v>
      </c>
    </row>
    <row r="103" spans="1:10" s="120" customFormat="1" ht="12.75" x14ac:dyDescent="0.2">
      <c r="B103" s="138"/>
      <c r="C103" s="127"/>
      <c r="D103" s="127"/>
      <c r="E103" s="361" t="s">
        <v>470</v>
      </c>
      <c r="F103" s="363"/>
      <c r="G103" s="135"/>
      <c r="H103" s="136">
        <f>SUM(H101:H102)</f>
        <v>146.19499999999999</v>
      </c>
      <c r="I103" s="213"/>
      <c r="J103" s="213"/>
    </row>
    <row r="104" spans="1:10" s="120" customFormat="1" ht="12.75" x14ac:dyDescent="0.2">
      <c r="A104" s="139"/>
      <c r="B104" s="140"/>
      <c r="C104" s="141"/>
      <c r="D104" s="141"/>
      <c r="E104" s="141"/>
      <c r="F104" s="366" t="s">
        <v>471</v>
      </c>
      <c r="G104" s="366"/>
      <c r="H104" s="142">
        <f>H97+H99+H103</f>
        <v>158.13499999999999</v>
      </c>
      <c r="I104" s="213"/>
      <c r="J104" s="213"/>
    </row>
    <row r="105" spans="1:10" s="120" customFormat="1" ht="12.75" x14ac:dyDescent="0.2">
      <c r="A105" s="143"/>
      <c r="B105" s="144"/>
      <c r="C105" s="145"/>
      <c r="D105" s="145"/>
      <c r="E105" s="145"/>
      <c r="F105" s="356" t="s">
        <v>572</v>
      </c>
      <c r="G105" s="357"/>
      <c r="H105" s="146">
        <f>SUM(H104:H104)</f>
        <v>158.13499999999999</v>
      </c>
      <c r="I105" s="213"/>
      <c r="J105" s="213"/>
    </row>
    <row r="106" spans="1:10" x14ac:dyDescent="0.2">
      <c r="I106" s="213"/>
      <c r="J106" s="213"/>
    </row>
    <row r="107" spans="1:10" x14ac:dyDescent="0.2">
      <c r="I107" s="213"/>
      <c r="J107" s="213"/>
    </row>
    <row r="108" spans="1:10" x14ac:dyDescent="0.2">
      <c r="I108" s="213"/>
      <c r="J108" s="213"/>
    </row>
    <row r="109" spans="1:10" s="120" customFormat="1" ht="12.75" x14ac:dyDescent="0.2">
      <c r="A109" s="114" t="s">
        <v>440</v>
      </c>
      <c r="B109" s="115"/>
      <c r="C109" s="116" t="s">
        <v>821</v>
      </c>
      <c r="D109" s="117"/>
      <c r="E109" s="117"/>
      <c r="F109" s="118"/>
      <c r="G109" s="118"/>
      <c r="H109" s="200" t="s">
        <v>578</v>
      </c>
      <c r="I109" s="213"/>
      <c r="J109" s="213"/>
    </row>
    <row r="110" spans="1:10" s="120" customFormat="1" ht="12" customHeight="1" x14ac:dyDescent="0.2">
      <c r="A110" s="121" t="s">
        <v>441</v>
      </c>
      <c r="B110" s="122"/>
      <c r="C110" s="367" t="s">
        <v>666</v>
      </c>
      <c r="D110" s="367"/>
      <c r="E110" s="367"/>
      <c r="F110" s="367"/>
      <c r="G110" s="367"/>
      <c r="H110" s="367"/>
      <c r="I110" s="213"/>
      <c r="J110" s="213"/>
    </row>
    <row r="111" spans="1:10" s="120" customFormat="1" ht="12.75" x14ac:dyDescent="0.2">
      <c r="A111" s="123" t="s">
        <v>442</v>
      </c>
      <c r="B111" s="124" t="s">
        <v>443</v>
      </c>
      <c r="C111" s="123" t="s">
        <v>444</v>
      </c>
      <c r="D111" s="123" t="s">
        <v>445</v>
      </c>
      <c r="E111" s="123" t="s">
        <v>8</v>
      </c>
      <c r="F111" s="125" t="s">
        <v>446</v>
      </c>
      <c r="G111" s="125" t="s">
        <v>447</v>
      </c>
      <c r="H111" s="201" t="s">
        <v>448</v>
      </c>
      <c r="I111" s="213"/>
      <c r="J111" s="213"/>
    </row>
    <row r="112" spans="1:10" s="120" customFormat="1" ht="12.75" x14ac:dyDescent="0.2">
      <c r="A112" s="123"/>
      <c r="B112" s="124"/>
      <c r="C112" s="127" t="s">
        <v>449</v>
      </c>
      <c r="D112" s="127"/>
      <c r="E112" s="127"/>
      <c r="F112" s="128"/>
      <c r="G112" s="128"/>
      <c r="H112" s="202"/>
      <c r="I112" s="213"/>
      <c r="J112" s="213"/>
    </row>
    <row r="113" spans="1:10" s="120" customFormat="1" ht="12.75" x14ac:dyDescent="0.2">
      <c r="A113" s="152">
        <v>93572</v>
      </c>
      <c r="B113" s="130" t="s">
        <v>450</v>
      </c>
      <c r="C113" s="131" t="s">
        <v>15</v>
      </c>
      <c r="D113" s="130" t="s">
        <v>667</v>
      </c>
      <c r="E113" s="132">
        <v>4</v>
      </c>
      <c r="F113" s="133">
        <f>I113</f>
        <v>6345.55</v>
      </c>
      <c r="G113" s="133"/>
      <c r="H113" s="129">
        <f t="shared" ref="H113" si="7">E113*F113</f>
        <v>25382.2</v>
      </c>
      <c r="I113" s="214">
        <v>6345.55</v>
      </c>
      <c r="J113" s="214">
        <v>5730.92</v>
      </c>
    </row>
    <row r="114" spans="1:10" s="120" customFormat="1" ht="12.75" x14ac:dyDescent="0.2">
      <c r="A114" s="123"/>
      <c r="B114" s="124"/>
      <c r="C114" s="127"/>
      <c r="D114" s="361" t="s">
        <v>453</v>
      </c>
      <c r="E114" s="362"/>
      <c r="F114" s="363"/>
      <c r="G114" s="135"/>
      <c r="H114" s="204">
        <f>SUM(H113:H113)</f>
        <v>25382.2</v>
      </c>
      <c r="I114" s="213"/>
      <c r="J114" s="213"/>
    </row>
    <row r="115" spans="1:10" s="120" customFormat="1" ht="12.75" x14ac:dyDescent="0.2">
      <c r="A115" s="123"/>
      <c r="B115" s="124"/>
      <c r="C115" s="127" t="s">
        <v>331</v>
      </c>
      <c r="D115" s="127"/>
      <c r="E115" s="127"/>
      <c r="F115" s="128"/>
      <c r="G115" s="128"/>
      <c r="H115" s="202"/>
      <c r="I115" s="213"/>
      <c r="J115" s="213"/>
    </row>
    <row r="116" spans="1:10" s="120" customFormat="1" ht="12.75" x14ac:dyDescent="0.2">
      <c r="A116" s="123"/>
      <c r="B116" s="124"/>
      <c r="C116" s="127"/>
      <c r="D116" s="127"/>
      <c r="E116" s="361" t="s">
        <v>461</v>
      </c>
      <c r="F116" s="363"/>
      <c r="G116" s="135"/>
      <c r="H116" s="204"/>
      <c r="I116" s="213"/>
      <c r="J116" s="213"/>
    </row>
    <row r="117" spans="1:10" s="120" customFormat="1" ht="12.75" x14ac:dyDescent="0.2">
      <c r="A117" s="123"/>
      <c r="B117" s="124"/>
      <c r="C117" s="127" t="s">
        <v>462</v>
      </c>
      <c r="D117" s="127"/>
      <c r="E117" s="127"/>
      <c r="F117" s="128"/>
      <c r="G117" s="128"/>
      <c r="H117" s="202"/>
      <c r="I117" s="213"/>
      <c r="J117" s="213"/>
    </row>
    <row r="118" spans="1:10" s="120" customFormat="1" ht="12.75" x14ac:dyDescent="0.2">
      <c r="A118" s="127"/>
      <c r="B118" s="138"/>
      <c r="C118" s="127"/>
      <c r="D118" s="127"/>
      <c r="E118" s="361" t="s">
        <v>470</v>
      </c>
      <c r="F118" s="363"/>
      <c r="G118" s="135"/>
      <c r="H118" s="204"/>
      <c r="I118" s="213"/>
      <c r="J118" s="213"/>
    </row>
    <row r="119" spans="1:10" s="120" customFormat="1" ht="12.75" x14ac:dyDescent="0.2">
      <c r="A119" s="139"/>
      <c r="B119" s="140"/>
      <c r="C119" s="141"/>
      <c r="D119" s="141"/>
      <c r="E119" s="141"/>
      <c r="F119" s="366" t="s">
        <v>471</v>
      </c>
      <c r="G119" s="366"/>
      <c r="H119" s="205">
        <f>SUM(H118+H116+H114)</f>
        <v>25382.2</v>
      </c>
      <c r="I119" s="213"/>
      <c r="J119" s="213"/>
    </row>
    <row r="120" spans="1:10" s="120" customFormat="1" ht="12.75" x14ac:dyDescent="0.2">
      <c r="A120" s="143"/>
      <c r="B120" s="144"/>
      <c r="C120" s="145"/>
      <c r="D120" s="145"/>
      <c r="E120" s="145"/>
      <c r="F120" s="356" t="s">
        <v>472</v>
      </c>
      <c r="G120" s="357"/>
      <c r="H120" s="206">
        <f>SUM(H119:H119)</f>
        <v>25382.2</v>
      </c>
      <c r="I120" s="213"/>
      <c r="J120" s="213"/>
    </row>
    <row r="124" spans="1:10" s="120" customFormat="1" ht="12.75" x14ac:dyDescent="0.2">
      <c r="A124" s="114" t="s">
        <v>440</v>
      </c>
      <c r="B124" s="115"/>
      <c r="C124" s="116" t="s">
        <v>822</v>
      </c>
      <c r="D124" s="117"/>
      <c r="E124" s="117"/>
      <c r="F124" s="118"/>
      <c r="G124" s="118"/>
      <c r="H124" s="200" t="s">
        <v>458</v>
      </c>
      <c r="I124" s="217"/>
      <c r="J124" s="217"/>
    </row>
    <row r="125" spans="1:10" s="120" customFormat="1" ht="19.899999999999999" customHeight="1" x14ac:dyDescent="0.2">
      <c r="A125" s="121" t="s">
        <v>441</v>
      </c>
      <c r="B125" s="122"/>
      <c r="C125" s="367" t="s">
        <v>704</v>
      </c>
      <c r="D125" s="367"/>
      <c r="E125" s="367"/>
      <c r="F125" s="367"/>
      <c r="G125" s="367"/>
      <c r="H125" s="367"/>
      <c r="I125" s="217"/>
      <c r="J125" s="217"/>
    </row>
    <row r="126" spans="1:10" s="120" customFormat="1" ht="12.75" x14ac:dyDescent="0.2">
      <c r="A126" s="123" t="s">
        <v>442</v>
      </c>
      <c r="B126" s="124" t="s">
        <v>443</v>
      </c>
      <c r="C126" s="123" t="s">
        <v>444</v>
      </c>
      <c r="D126" s="123" t="s">
        <v>445</v>
      </c>
      <c r="E126" s="123" t="s">
        <v>8</v>
      </c>
      <c r="F126" s="125" t="s">
        <v>446</v>
      </c>
      <c r="G126" s="125" t="s">
        <v>447</v>
      </c>
      <c r="H126" s="201" t="s">
        <v>448</v>
      </c>
      <c r="I126" s="217"/>
      <c r="J126" s="217"/>
    </row>
    <row r="127" spans="1:10" s="120" customFormat="1" x14ac:dyDescent="0.2">
      <c r="A127" s="123"/>
      <c r="B127" s="124"/>
      <c r="C127" s="127" t="s">
        <v>449</v>
      </c>
      <c r="D127" s="127"/>
      <c r="E127" s="127"/>
      <c r="F127" s="128"/>
      <c r="G127" s="128"/>
      <c r="H127" s="202"/>
      <c r="I127" s="192"/>
      <c r="J127" s="192"/>
    </row>
    <row r="128" spans="1:10" s="120" customFormat="1" ht="12.75" x14ac:dyDescent="0.2">
      <c r="A128" s="130">
        <v>88316</v>
      </c>
      <c r="B128" s="130" t="s">
        <v>450</v>
      </c>
      <c r="C128" s="131" t="s">
        <v>349</v>
      </c>
      <c r="D128" s="130" t="s">
        <v>452</v>
      </c>
      <c r="E128" s="132">
        <v>1</v>
      </c>
      <c r="F128" s="203">
        <f>I128</f>
        <v>24.08</v>
      </c>
      <c r="G128" s="133"/>
      <c r="H128" s="218">
        <f t="shared" ref="H128" si="8">TRUNC((E128*F128),2)</f>
        <v>24.08</v>
      </c>
      <c r="I128" s="188">
        <v>24.08</v>
      </c>
      <c r="J128" s="188">
        <v>22.26</v>
      </c>
    </row>
    <row r="129" spans="1:10" s="120" customFormat="1" ht="12.75" x14ac:dyDescent="0.2">
      <c r="A129" s="130">
        <v>88309</v>
      </c>
      <c r="B129" s="130" t="s">
        <v>450</v>
      </c>
      <c r="C129" s="131" t="s">
        <v>360</v>
      </c>
      <c r="D129" s="130" t="s">
        <v>452</v>
      </c>
      <c r="E129" s="132">
        <v>1</v>
      </c>
      <c r="F129" s="203">
        <f>I129</f>
        <v>29.85</v>
      </c>
      <c r="G129" s="133"/>
      <c r="H129" s="218">
        <f>E129*F129</f>
        <v>29.85</v>
      </c>
      <c r="I129" s="188">
        <v>29.85</v>
      </c>
      <c r="J129" s="188">
        <v>27.42</v>
      </c>
    </row>
    <row r="130" spans="1:10" s="120" customFormat="1" x14ac:dyDescent="0.2">
      <c r="A130" s="123"/>
      <c r="B130" s="124"/>
      <c r="C130" s="127"/>
      <c r="D130" s="361" t="s">
        <v>453</v>
      </c>
      <c r="E130" s="362"/>
      <c r="F130" s="363"/>
      <c r="G130" s="135"/>
      <c r="H130" s="204">
        <f>SUM(H128:H129)</f>
        <v>53.93</v>
      </c>
      <c r="I130" s="192"/>
      <c r="J130" s="192"/>
    </row>
    <row r="131" spans="1:10" s="120" customFormat="1" x14ac:dyDescent="0.2">
      <c r="A131" s="123"/>
      <c r="B131" s="124"/>
      <c r="C131" s="127" t="s">
        <v>331</v>
      </c>
      <c r="D131" s="127"/>
      <c r="E131" s="127"/>
      <c r="F131" s="128"/>
      <c r="G131" s="128"/>
      <c r="H131" s="202"/>
      <c r="I131" s="192"/>
      <c r="J131" s="192"/>
    </row>
    <row r="132" spans="1:10" s="120" customFormat="1" x14ac:dyDescent="0.2">
      <c r="A132" s="123"/>
      <c r="B132" s="124"/>
      <c r="C132" s="127"/>
      <c r="D132" s="127"/>
      <c r="E132" s="361" t="s">
        <v>461</v>
      </c>
      <c r="F132" s="363"/>
      <c r="G132" s="135"/>
      <c r="H132" s="204"/>
      <c r="I132" s="192"/>
      <c r="J132" s="192"/>
    </row>
    <row r="133" spans="1:10" s="120" customFormat="1" ht="12.75" x14ac:dyDescent="0.2">
      <c r="A133" s="123"/>
      <c r="B133" s="124"/>
      <c r="C133" s="127" t="s">
        <v>462</v>
      </c>
      <c r="D133" s="127"/>
      <c r="E133" s="127"/>
      <c r="F133" s="128"/>
      <c r="G133" s="128"/>
      <c r="H133" s="202"/>
      <c r="I133" s="217"/>
      <c r="J133" s="217"/>
    </row>
    <row r="134" spans="1:10" s="120" customFormat="1" ht="22.5" x14ac:dyDescent="0.2">
      <c r="A134" s="154" t="s">
        <v>705</v>
      </c>
      <c r="B134" s="130" t="s">
        <v>21</v>
      </c>
      <c r="C134" s="155" t="s">
        <v>706</v>
      </c>
      <c r="D134" s="130" t="s">
        <v>707</v>
      </c>
      <c r="E134" s="153">
        <v>0.19700000000000001</v>
      </c>
      <c r="F134" s="203">
        <f>I134</f>
        <v>1283.47</v>
      </c>
      <c r="G134" s="137"/>
      <c r="H134" s="218">
        <f t="shared" ref="H134:H137" si="9">TRUNC((E134*F134),2)</f>
        <v>252.84</v>
      </c>
      <c r="I134" s="219">
        <v>1283.47</v>
      </c>
      <c r="J134" s="219">
        <v>1283.47</v>
      </c>
    </row>
    <row r="135" spans="1:10" s="120" customFormat="1" ht="22.5" x14ac:dyDescent="0.2">
      <c r="A135" s="154" t="s">
        <v>708</v>
      </c>
      <c r="B135" s="130" t="s">
        <v>21</v>
      </c>
      <c r="C135" s="155" t="s">
        <v>709</v>
      </c>
      <c r="D135" s="130" t="s">
        <v>707</v>
      </c>
      <c r="E135" s="153">
        <v>0.24629999999999999</v>
      </c>
      <c r="F135" s="203">
        <f>I135</f>
        <v>393.89</v>
      </c>
      <c r="G135" s="137"/>
      <c r="H135" s="218">
        <f t="shared" si="9"/>
        <v>97.01</v>
      </c>
      <c r="I135" s="219">
        <v>393.89</v>
      </c>
      <c r="J135" s="219">
        <v>393.89</v>
      </c>
    </row>
    <row r="136" spans="1:10" s="120" customFormat="1" ht="22.5" x14ac:dyDescent="0.2">
      <c r="A136" s="154">
        <v>12678</v>
      </c>
      <c r="B136" s="130" t="s">
        <v>21</v>
      </c>
      <c r="C136" s="155" t="s">
        <v>710</v>
      </c>
      <c r="D136" s="130" t="s">
        <v>707</v>
      </c>
      <c r="E136" s="153">
        <v>1.5</v>
      </c>
      <c r="F136" s="203">
        <f>I136</f>
        <v>12.98</v>
      </c>
      <c r="G136" s="137"/>
      <c r="H136" s="218">
        <f t="shared" si="9"/>
        <v>19.47</v>
      </c>
      <c r="I136" s="219">
        <v>12.98</v>
      </c>
      <c r="J136" s="219">
        <v>12.98</v>
      </c>
    </row>
    <row r="137" spans="1:10" s="120" customFormat="1" ht="12.75" x14ac:dyDescent="0.2">
      <c r="A137" s="154">
        <v>12679</v>
      </c>
      <c r="B137" s="130" t="s">
        <v>21</v>
      </c>
      <c r="C137" s="155" t="s">
        <v>711</v>
      </c>
      <c r="D137" s="130" t="s">
        <v>707</v>
      </c>
      <c r="E137" s="153">
        <v>0.24629999999999999</v>
      </c>
      <c r="F137" s="203">
        <f>I137</f>
        <v>10.29</v>
      </c>
      <c r="G137" s="137"/>
      <c r="H137" s="218">
        <f t="shared" si="9"/>
        <v>2.5299999999999998</v>
      </c>
      <c r="I137" s="219">
        <v>10.29</v>
      </c>
      <c r="J137" s="219">
        <v>10.29</v>
      </c>
    </row>
    <row r="138" spans="1:10" s="120" customFormat="1" ht="12.75" x14ac:dyDescent="0.2">
      <c r="A138" s="127"/>
      <c r="B138" s="138"/>
      <c r="C138" s="127"/>
      <c r="D138" s="127"/>
      <c r="E138" s="361" t="s">
        <v>470</v>
      </c>
      <c r="F138" s="363"/>
      <c r="G138" s="135"/>
      <c r="H138" s="204">
        <f>SUM(H134:H137)</f>
        <v>371.85</v>
      </c>
      <c r="I138" s="217"/>
      <c r="J138" s="217"/>
    </row>
    <row r="139" spans="1:10" s="120" customFormat="1" ht="12.75" x14ac:dyDescent="0.2">
      <c r="A139" s="139"/>
      <c r="B139" s="140"/>
      <c r="C139" s="141"/>
      <c r="D139" s="141"/>
      <c r="E139" s="141"/>
      <c r="F139" s="366" t="s">
        <v>471</v>
      </c>
      <c r="G139" s="366"/>
      <c r="H139" s="205">
        <f>H130+H132+H138</f>
        <v>425.78000000000003</v>
      </c>
      <c r="I139" s="217"/>
      <c r="J139" s="217"/>
    </row>
    <row r="140" spans="1:10" s="120" customFormat="1" ht="12.75" x14ac:dyDescent="0.2">
      <c r="A140" s="143"/>
      <c r="B140" s="144"/>
      <c r="C140" s="145"/>
      <c r="D140" s="145"/>
      <c r="E140" s="145"/>
      <c r="F140" s="356" t="s">
        <v>472</v>
      </c>
      <c r="G140" s="357"/>
      <c r="H140" s="206">
        <f>SUM(H139:H139)</f>
        <v>425.78000000000003</v>
      </c>
      <c r="I140" s="217"/>
      <c r="J140" s="217"/>
    </row>
    <row r="141" spans="1:10" s="120" customFormat="1" ht="12.75" x14ac:dyDescent="0.2">
      <c r="A141" s="220"/>
      <c r="B141" s="221"/>
      <c r="C141" s="222"/>
      <c r="D141" s="223"/>
      <c r="E141" s="224"/>
      <c r="F141" s="224"/>
      <c r="G141" s="224"/>
      <c r="H141" s="225"/>
      <c r="I141" s="224"/>
    </row>
    <row r="142" spans="1:10" s="120" customFormat="1" ht="12.75" x14ac:dyDescent="0.2">
      <c r="A142" s="220"/>
      <c r="B142" s="221"/>
      <c r="C142" s="222"/>
      <c r="D142" s="223"/>
      <c r="E142" s="224"/>
      <c r="F142" s="224"/>
      <c r="G142" s="224"/>
      <c r="H142" s="225"/>
      <c r="I142" s="224"/>
    </row>
    <row r="143" spans="1:10" s="120" customFormat="1" ht="12.75" x14ac:dyDescent="0.2">
      <c r="A143" s="220"/>
      <c r="B143" s="221"/>
      <c r="C143" s="222"/>
      <c r="D143" s="223"/>
      <c r="E143" s="224"/>
      <c r="F143" s="224"/>
      <c r="G143" s="224"/>
      <c r="H143" s="225"/>
      <c r="I143" s="224"/>
    </row>
    <row r="144" spans="1:10" s="120" customFormat="1" ht="12.75" x14ac:dyDescent="0.2">
      <c r="A144" s="114" t="s">
        <v>440</v>
      </c>
      <c r="B144" s="115"/>
      <c r="C144" s="116" t="s">
        <v>792</v>
      </c>
      <c r="D144" s="117"/>
      <c r="E144" s="117"/>
      <c r="F144" s="118"/>
      <c r="G144" s="118"/>
      <c r="H144" s="119" t="s">
        <v>19</v>
      </c>
      <c r="I144" s="217"/>
      <c r="J144" s="217"/>
    </row>
    <row r="145" spans="1:10" s="120" customFormat="1" ht="14.45" customHeight="1" x14ac:dyDescent="0.2">
      <c r="A145" s="121" t="s">
        <v>441</v>
      </c>
      <c r="B145" s="122"/>
      <c r="C145" s="367" t="s">
        <v>734</v>
      </c>
      <c r="D145" s="367"/>
      <c r="E145" s="367"/>
      <c r="F145" s="367"/>
      <c r="G145" s="367"/>
      <c r="H145" s="368"/>
      <c r="I145" s="217"/>
      <c r="J145" s="217"/>
    </row>
    <row r="146" spans="1:10" s="120" customFormat="1" ht="12.75" x14ac:dyDescent="0.2">
      <c r="A146" s="123" t="s">
        <v>442</v>
      </c>
      <c r="B146" s="124" t="s">
        <v>443</v>
      </c>
      <c r="C146" s="123" t="s">
        <v>444</v>
      </c>
      <c r="D146" s="123" t="s">
        <v>445</v>
      </c>
      <c r="E146" s="123" t="s">
        <v>8</v>
      </c>
      <c r="F146" s="125" t="s">
        <v>446</v>
      </c>
      <c r="G146" s="125" t="s">
        <v>447</v>
      </c>
      <c r="H146" s="126" t="s">
        <v>448</v>
      </c>
      <c r="I146" s="217"/>
      <c r="J146" s="217"/>
    </row>
    <row r="147" spans="1:10" s="120" customFormat="1" x14ac:dyDescent="0.2">
      <c r="A147" s="123"/>
      <c r="B147" s="124"/>
      <c r="C147" s="127" t="s">
        <v>449</v>
      </c>
      <c r="D147" s="127"/>
      <c r="E147" s="127"/>
      <c r="F147" s="128"/>
      <c r="G147" s="128"/>
      <c r="H147" s="129"/>
      <c r="I147" s="192"/>
      <c r="J147" s="192"/>
    </row>
    <row r="148" spans="1:10" s="120" customFormat="1" ht="12.75" x14ac:dyDescent="0.2">
      <c r="A148" s="130">
        <v>88316</v>
      </c>
      <c r="B148" s="130" t="s">
        <v>450</v>
      </c>
      <c r="C148" s="131" t="s">
        <v>349</v>
      </c>
      <c r="D148" s="130" t="s">
        <v>452</v>
      </c>
      <c r="E148" s="132">
        <v>0.33</v>
      </c>
      <c r="F148" s="133">
        <f>I148</f>
        <v>24.08</v>
      </c>
      <c r="G148" s="133"/>
      <c r="H148" s="129">
        <f t="shared" ref="H148:H149" si="10">E148*F148</f>
        <v>7.9463999999999997</v>
      </c>
      <c r="I148" s="188">
        <v>24.08</v>
      </c>
      <c r="J148" s="188">
        <v>22.26</v>
      </c>
    </row>
    <row r="149" spans="1:10" s="120" customFormat="1" ht="12.75" x14ac:dyDescent="0.2">
      <c r="A149" s="130">
        <v>88317</v>
      </c>
      <c r="B149" s="130" t="s">
        <v>450</v>
      </c>
      <c r="C149" s="131" t="s">
        <v>356</v>
      </c>
      <c r="D149" s="130" t="s">
        <v>452</v>
      </c>
      <c r="E149" s="132">
        <v>0.09</v>
      </c>
      <c r="F149" s="133">
        <f>I149</f>
        <v>30.57</v>
      </c>
      <c r="G149" s="133"/>
      <c r="H149" s="129">
        <f t="shared" si="10"/>
        <v>2.7513000000000001</v>
      </c>
      <c r="I149" s="188">
        <v>30.57</v>
      </c>
      <c r="J149" s="188">
        <v>28.17</v>
      </c>
    </row>
    <row r="150" spans="1:10" s="120" customFormat="1" x14ac:dyDescent="0.2">
      <c r="A150" s="123"/>
      <c r="B150" s="124"/>
      <c r="C150" s="127"/>
      <c r="D150" s="361" t="s">
        <v>453</v>
      </c>
      <c r="E150" s="362"/>
      <c r="F150" s="363"/>
      <c r="G150" s="135"/>
      <c r="H150" s="136">
        <f>SUM(H148:H149)</f>
        <v>10.697699999999999</v>
      </c>
      <c r="I150" s="192"/>
      <c r="J150" s="192"/>
    </row>
    <row r="151" spans="1:10" s="120" customFormat="1" x14ac:dyDescent="0.2">
      <c r="A151" s="123"/>
      <c r="B151" s="124"/>
      <c r="C151" s="127" t="s">
        <v>331</v>
      </c>
      <c r="D151" s="127"/>
      <c r="E151" s="127"/>
      <c r="F151" s="128"/>
      <c r="G151" s="128"/>
      <c r="H151" s="129"/>
      <c r="I151" s="192"/>
      <c r="J151" s="192"/>
    </row>
    <row r="152" spans="1:10" s="120" customFormat="1" ht="22.5" x14ac:dyDescent="0.2">
      <c r="A152" s="154" t="s">
        <v>735</v>
      </c>
      <c r="B152" s="130" t="s">
        <v>21</v>
      </c>
      <c r="C152" s="155" t="s">
        <v>736</v>
      </c>
      <c r="D152" s="130" t="s">
        <v>458</v>
      </c>
      <c r="E152" s="153">
        <f>(0.1*2)+(0.1*2)</f>
        <v>0.4</v>
      </c>
      <c r="F152" s="133">
        <f>I152</f>
        <v>21.5</v>
      </c>
      <c r="G152" s="137"/>
      <c r="H152" s="129">
        <f>E152*F152</f>
        <v>8.6</v>
      </c>
      <c r="I152" s="188">
        <v>21.5</v>
      </c>
      <c r="J152" s="188">
        <v>21.5</v>
      </c>
    </row>
    <row r="153" spans="1:10" s="120" customFormat="1" ht="33.75" x14ac:dyDescent="0.2">
      <c r="A153" s="154" t="s">
        <v>737</v>
      </c>
      <c r="B153" s="130" t="s">
        <v>21</v>
      </c>
      <c r="C153" s="155" t="s">
        <v>738</v>
      </c>
      <c r="D153" s="130" t="s">
        <v>458</v>
      </c>
      <c r="E153" s="153">
        <f>(0.1*2)+(0.1*2)</f>
        <v>0.4</v>
      </c>
      <c r="F153" s="133">
        <f>I153</f>
        <v>23.65</v>
      </c>
      <c r="G153" s="137"/>
      <c r="H153" s="129">
        <f>E153*F153</f>
        <v>9.4599999999999991</v>
      </c>
      <c r="I153" s="188">
        <v>23.65</v>
      </c>
      <c r="J153" s="188">
        <v>23.65</v>
      </c>
    </row>
    <row r="154" spans="1:10" s="120" customFormat="1" ht="12.75" x14ac:dyDescent="0.2">
      <c r="A154" s="123"/>
      <c r="B154" s="124"/>
      <c r="C154" s="127"/>
      <c r="D154" s="127"/>
      <c r="E154" s="361" t="s">
        <v>461</v>
      </c>
      <c r="F154" s="363"/>
      <c r="G154" s="135"/>
      <c r="H154" s="136">
        <f>SUM(H152:H153)</f>
        <v>18.059999999999999</v>
      </c>
      <c r="I154" s="219"/>
      <c r="J154" s="219"/>
    </row>
    <row r="155" spans="1:10" s="120" customFormat="1" ht="12.75" x14ac:dyDescent="0.2">
      <c r="A155" s="123"/>
      <c r="B155" s="124"/>
      <c r="C155" s="127" t="s">
        <v>462</v>
      </c>
      <c r="D155" s="127"/>
      <c r="E155" s="127"/>
      <c r="F155" s="128"/>
      <c r="G155" s="128"/>
      <c r="H155" s="129"/>
      <c r="I155" s="219"/>
      <c r="J155" s="219"/>
    </row>
    <row r="156" spans="1:10" s="120" customFormat="1" ht="12.75" x14ac:dyDescent="0.2">
      <c r="A156" s="154" t="s">
        <v>739</v>
      </c>
      <c r="B156" s="130" t="s">
        <v>21</v>
      </c>
      <c r="C156" s="155" t="s">
        <v>740</v>
      </c>
      <c r="D156" s="130" t="s">
        <v>452</v>
      </c>
      <c r="E156" s="153">
        <v>0.09</v>
      </c>
      <c r="F156" s="133">
        <f>I156</f>
        <v>4</v>
      </c>
      <c r="G156" s="137"/>
      <c r="H156" s="129">
        <f>E156*F156</f>
        <v>0.36</v>
      </c>
      <c r="I156" s="219">
        <v>4</v>
      </c>
      <c r="J156" s="219">
        <v>4</v>
      </c>
    </row>
    <row r="157" spans="1:10" s="120" customFormat="1" ht="12.75" customHeight="1" x14ac:dyDescent="0.2">
      <c r="A157" s="154" t="s">
        <v>389</v>
      </c>
      <c r="B157" s="130" t="s">
        <v>383</v>
      </c>
      <c r="C157" s="155" t="s">
        <v>742</v>
      </c>
      <c r="D157" s="130" t="s">
        <v>19</v>
      </c>
      <c r="E157" s="153">
        <v>1</v>
      </c>
      <c r="F157" s="133">
        <v>79.17</v>
      </c>
      <c r="G157" s="137"/>
      <c r="H157" s="129">
        <f>E157*F157</f>
        <v>79.17</v>
      </c>
      <c r="I157" s="219"/>
      <c r="J157" s="219"/>
    </row>
    <row r="158" spans="1:10" s="120" customFormat="1" ht="12.75" x14ac:dyDescent="0.2">
      <c r="A158" s="127"/>
      <c r="B158" s="138"/>
      <c r="C158" s="127"/>
      <c r="D158" s="127"/>
      <c r="E158" s="361" t="s">
        <v>470</v>
      </c>
      <c r="F158" s="363"/>
      <c r="G158" s="135"/>
      <c r="H158" s="136">
        <f>SUM(H156:H157)</f>
        <v>79.53</v>
      </c>
      <c r="I158" s="217"/>
      <c r="J158" s="217"/>
    </row>
    <row r="159" spans="1:10" s="120" customFormat="1" ht="12.75" x14ac:dyDescent="0.2">
      <c r="A159" s="139"/>
      <c r="B159" s="140"/>
      <c r="C159" s="141"/>
      <c r="D159" s="141"/>
      <c r="E159" s="141"/>
      <c r="F159" s="366" t="s">
        <v>471</v>
      </c>
      <c r="G159" s="366"/>
      <c r="H159" s="142">
        <f>H150+H154+H158</f>
        <v>108.2877</v>
      </c>
      <c r="I159" s="217"/>
      <c r="J159" s="217"/>
    </row>
    <row r="160" spans="1:10" s="120" customFormat="1" ht="12.75" x14ac:dyDescent="0.2">
      <c r="A160" s="143"/>
      <c r="B160" s="144"/>
      <c r="C160" s="145"/>
      <c r="D160" s="145"/>
      <c r="E160" s="145"/>
      <c r="F160" s="356" t="s">
        <v>572</v>
      </c>
      <c r="G160" s="357"/>
      <c r="H160" s="146">
        <f>SUM(H159:H159)</f>
        <v>108.2877</v>
      </c>
      <c r="I160" s="217"/>
      <c r="J160" s="217"/>
    </row>
    <row r="164" spans="1:10" s="120" customFormat="1" ht="12.75" x14ac:dyDescent="0.2">
      <c r="A164" s="114" t="s">
        <v>440</v>
      </c>
      <c r="B164" s="115"/>
      <c r="C164" s="116" t="s">
        <v>823</v>
      </c>
      <c r="D164" s="117"/>
      <c r="E164" s="117"/>
      <c r="F164" s="118"/>
      <c r="G164" s="118"/>
      <c r="H164" s="200" t="s">
        <v>458</v>
      </c>
      <c r="I164" s="217"/>
      <c r="J164" s="228"/>
    </row>
    <row r="165" spans="1:10" s="120" customFormat="1" ht="12.75" x14ac:dyDescent="0.2">
      <c r="A165" s="121" t="s">
        <v>441</v>
      </c>
      <c r="B165" s="122"/>
      <c r="C165" s="367" t="s">
        <v>768</v>
      </c>
      <c r="D165" s="367"/>
      <c r="E165" s="367"/>
      <c r="F165" s="367"/>
      <c r="G165" s="367"/>
      <c r="H165" s="367"/>
      <c r="I165" s="217"/>
      <c r="J165" s="228"/>
    </row>
    <row r="166" spans="1:10" s="120" customFormat="1" ht="12.75" x14ac:dyDescent="0.2">
      <c r="A166" s="123" t="s">
        <v>442</v>
      </c>
      <c r="B166" s="124" t="s">
        <v>443</v>
      </c>
      <c r="C166" s="123" t="s">
        <v>444</v>
      </c>
      <c r="D166" s="123" t="s">
        <v>445</v>
      </c>
      <c r="E166" s="123" t="s">
        <v>8</v>
      </c>
      <c r="F166" s="125" t="s">
        <v>446</v>
      </c>
      <c r="G166" s="125" t="s">
        <v>447</v>
      </c>
      <c r="H166" s="201" t="s">
        <v>448</v>
      </c>
      <c r="I166" s="217"/>
      <c r="J166" s="228"/>
    </row>
    <row r="167" spans="1:10" s="120" customFormat="1" ht="12.75" x14ac:dyDescent="0.2">
      <c r="A167" s="123"/>
      <c r="B167" s="124"/>
      <c r="C167" s="127" t="s">
        <v>449</v>
      </c>
      <c r="D167" s="127"/>
      <c r="E167" s="127"/>
      <c r="F167" s="128"/>
      <c r="G167" s="128"/>
      <c r="H167" s="202"/>
      <c r="I167" s="217"/>
      <c r="J167" s="228"/>
    </row>
    <row r="168" spans="1:10" s="120" customFormat="1" ht="12.75" x14ac:dyDescent="0.2">
      <c r="A168" s="130">
        <v>88316</v>
      </c>
      <c r="B168" s="130" t="s">
        <v>450</v>
      </c>
      <c r="C168" s="131" t="s">
        <v>349</v>
      </c>
      <c r="D168" s="130" t="s">
        <v>452</v>
      </c>
      <c r="E168" s="132">
        <v>0.75</v>
      </c>
      <c r="F168" s="133">
        <f>I168</f>
        <v>24.08</v>
      </c>
      <c r="G168" s="133"/>
      <c r="H168" s="218">
        <f t="shared" ref="H168" si="11">TRUNC((E168*F168),2)</f>
        <v>18.059999999999999</v>
      </c>
      <c r="I168" s="219">
        <v>24.08</v>
      </c>
      <c r="J168" s="229">
        <v>22.26</v>
      </c>
    </row>
    <row r="169" spans="1:10" s="120" customFormat="1" ht="12.75" x14ac:dyDescent="0.2">
      <c r="A169" s="123"/>
      <c r="B169" s="124"/>
      <c r="C169" s="127"/>
      <c r="D169" s="361" t="s">
        <v>453</v>
      </c>
      <c r="E169" s="362"/>
      <c r="F169" s="363"/>
      <c r="G169" s="135"/>
      <c r="H169" s="204">
        <f>SUM(H168:H168)</f>
        <v>18.059999999999999</v>
      </c>
      <c r="I169" s="217"/>
      <c r="J169" s="228"/>
    </row>
    <row r="170" spans="1:10" s="120" customFormat="1" ht="12.75" x14ac:dyDescent="0.2">
      <c r="A170" s="123"/>
      <c r="B170" s="124"/>
      <c r="C170" s="127" t="s">
        <v>331</v>
      </c>
      <c r="D170" s="127"/>
      <c r="E170" s="127"/>
      <c r="F170" s="128"/>
      <c r="G170" s="128"/>
      <c r="H170" s="202"/>
      <c r="I170" s="217"/>
      <c r="J170" s="228"/>
    </row>
    <row r="171" spans="1:10" s="120" customFormat="1" ht="12.75" x14ac:dyDescent="0.2">
      <c r="A171" s="123"/>
      <c r="B171" s="124"/>
      <c r="C171" s="127"/>
      <c r="D171" s="127"/>
      <c r="E171" s="361" t="s">
        <v>461</v>
      </c>
      <c r="F171" s="363"/>
      <c r="G171" s="135"/>
      <c r="H171" s="204"/>
      <c r="I171" s="217"/>
      <c r="J171" s="228"/>
    </row>
    <row r="172" spans="1:10" s="120" customFormat="1" ht="12.75" x14ac:dyDescent="0.2">
      <c r="A172" s="123"/>
      <c r="B172" s="124"/>
      <c r="C172" s="127" t="s">
        <v>462</v>
      </c>
      <c r="D172" s="127"/>
      <c r="E172" s="127"/>
      <c r="F172" s="128"/>
      <c r="G172" s="128"/>
      <c r="H172" s="202"/>
      <c r="I172" s="217"/>
      <c r="J172" s="228"/>
    </row>
    <row r="173" spans="1:10" s="120" customFormat="1" ht="22.5" x14ac:dyDescent="0.2">
      <c r="A173" s="154" t="s">
        <v>361</v>
      </c>
      <c r="B173" s="130" t="s">
        <v>383</v>
      </c>
      <c r="C173" s="155" t="s">
        <v>767</v>
      </c>
      <c r="D173" s="130" t="s">
        <v>568</v>
      </c>
      <c r="E173" s="153">
        <v>1.05</v>
      </c>
      <c r="F173" s="133">
        <f>COTAÇÃO!D30</f>
        <v>278.19152542372876</v>
      </c>
      <c r="G173" s="137"/>
      <c r="H173" s="218">
        <f t="shared" ref="H173" si="12">TRUNC((E173*F173),2)</f>
        <v>292.10000000000002</v>
      </c>
      <c r="I173" s="217"/>
      <c r="J173" s="228"/>
    </row>
    <row r="174" spans="1:10" s="120" customFormat="1" ht="12.75" x14ac:dyDescent="0.2">
      <c r="A174" s="127"/>
      <c r="B174" s="138"/>
      <c r="C174" s="127"/>
      <c r="D174" s="127"/>
      <c r="E174" s="361" t="s">
        <v>470</v>
      </c>
      <c r="F174" s="363"/>
      <c r="G174" s="135"/>
      <c r="H174" s="204">
        <f>SUM(H173:H173)</f>
        <v>292.10000000000002</v>
      </c>
      <c r="I174" s="217"/>
      <c r="J174" s="228"/>
    </row>
    <row r="175" spans="1:10" s="120" customFormat="1" ht="12.75" x14ac:dyDescent="0.2">
      <c r="A175" s="139"/>
      <c r="B175" s="140"/>
      <c r="C175" s="141"/>
      <c r="D175" s="141"/>
      <c r="E175" s="141"/>
      <c r="F175" s="366" t="s">
        <v>471</v>
      </c>
      <c r="G175" s="366"/>
      <c r="H175" s="205">
        <f>H169+H171+H174</f>
        <v>310.16000000000003</v>
      </c>
      <c r="I175" s="217"/>
      <c r="J175" s="228"/>
    </row>
    <row r="176" spans="1:10" s="120" customFormat="1" ht="12.75" x14ac:dyDescent="0.2">
      <c r="A176" s="143"/>
      <c r="B176" s="144"/>
      <c r="C176" s="145"/>
      <c r="D176" s="145"/>
      <c r="E176" s="145"/>
      <c r="F176" s="356" t="s">
        <v>472</v>
      </c>
      <c r="G176" s="357"/>
      <c r="H176" s="206">
        <f>SUM(H175:H175)</f>
        <v>310.16000000000003</v>
      </c>
      <c r="I176" s="217"/>
      <c r="J176" s="228"/>
    </row>
    <row r="180" spans="1:10" s="120" customFormat="1" ht="12.75" x14ac:dyDescent="0.2">
      <c r="A180" s="114" t="s">
        <v>440</v>
      </c>
      <c r="B180" s="115"/>
      <c r="C180" s="116" t="s">
        <v>824</v>
      </c>
      <c r="D180" s="117"/>
      <c r="E180" s="117"/>
      <c r="F180" s="118"/>
      <c r="G180" s="118"/>
      <c r="H180" s="119" t="s">
        <v>19</v>
      </c>
      <c r="I180" s="217"/>
      <c r="J180" s="228"/>
    </row>
    <row r="181" spans="1:10" s="120" customFormat="1" ht="12.75" x14ac:dyDescent="0.2">
      <c r="A181" s="121" t="s">
        <v>441</v>
      </c>
      <c r="B181" s="122"/>
      <c r="C181" s="367" t="s">
        <v>770</v>
      </c>
      <c r="D181" s="367"/>
      <c r="E181" s="367"/>
      <c r="F181" s="367"/>
      <c r="G181" s="367"/>
      <c r="H181" s="368"/>
      <c r="I181" s="217"/>
      <c r="J181" s="228"/>
    </row>
    <row r="182" spans="1:10" s="120" customFormat="1" ht="12.75" x14ac:dyDescent="0.2">
      <c r="A182" s="123" t="s">
        <v>442</v>
      </c>
      <c r="B182" s="124" t="s">
        <v>443</v>
      </c>
      <c r="C182" s="123" t="s">
        <v>444</v>
      </c>
      <c r="D182" s="123" t="s">
        <v>445</v>
      </c>
      <c r="E182" s="123" t="s">
        <v>8</v>
      </c>
      <c r="F182" s="125" t="s">
        <v>446</v>
      </c>
      <c r="G182" s="125" t="s">
        <v>447</v>
      </c>
      <c r="H182" s="126" t="s">
        <v>448</v>
      </c>
      <c r="I182" s="217"/>
      <c r="J182" s="228"/>
    </row>
    <row r="183" spans="1:10" s="120" customFormat="1" ht="12.75" x14ac:dyDescent="0.2">
      <c r="A183" s="123"/>
      <c r="B183" s="124"/>
      <c r="C183" s="127" t="s">
        <v>449</v>
      </c>
      <c r="D183" s="127"/>
      <c r="E183" s="127"/>
      <c r="F183" s="128"/>
      <c r="G183" s="128"/>
      <c r="H183" s="129"/>
      <c r="I183" s="217"/>
      <c r="J183" s="228"/>
    </row>
    <row r="184" spans="1:10" s="120" customFormat="1" ht="12.75" x14ac:dyDescent="0.2">
      <c r="A184" s="130">
        <v>88316</v>
      </c>
      <c r="B184" s="130" t="s">
        <v>450</v>
      </c>
      <c r="C184" s="131" t="s">
        <v>349</v>
      </c>
      <c r="D184" s="130" t="s">
        <v>452</v>
      </c>
      <c r="E184" s="132">
        <v>0.41660000000000003</v>
      </c>
      <c r="F184" s="133">
        <f>I184</f>
        <v>24.08</v>
      </c>
      <c r="G184" s="133"/>
      <c r="H184" s="151">
        <f t="shared" ref="H184:H185" si="13">TRUNC((E184*F184),2)</f>
        <v>10.029999999999999</v>
      </c>
      <c r="I184" s="219">
        <v>24.08</v>
      </c>
      <c r="J184" s="229">
        <v>22.26</v>
      </c>
    </row>
    <row r="185" spans="1:10" s="120" customFormat="1" ht="12.75" x14ac:dyDescent="0.2">
      <c r="A185" s="130">
        <v>88264</v>
      </c>
      <c r="B185" s="130" t="s">
        <v>450</v>
      </c>
      <c r="C185" s="131" t="s">
        <v>348</v>
      </c>
      <c r="D185" s="130" t="s">
        <v>452</v>
      </c>
      <c r="E185" s="132">
        <v>0.41660000000000003</v>
      </c>
      <c r="F185" s="133">
        <f>I185</f>
        <v>30.24</v>
      </c>
      <c r="G185" s="133"/>
      <c r="H185" s="151">
        <f t="shared" si="13"/>
        <v>12.59</v>
      </c>
      <c r="I185" s="219">
        <v>30.24</v>
      </c>
      <c r="J185" s="229">
        <v>27.77</v>
      </c>
    </row>
    <row r="186" spans="1:10" s="120" customFormat="1" ht="12.75" x14ac:dyDescent="0.2">
      <c r="A186" s="123"/>
      <c r="B186" s="124"/>
      <c r="C186" s="127"/>
      <c r="D186" s="361" t="s">
        <v>453</v>
      </c>
      <c r="E186" s="362"/>
      <c r="F186" s="363"/>
      <c r="G186" s="135"/>
      <c r="H186" s="136">
        <f>SUM(H184:H185)</f>
        <v>22.619999999999997</v>
      </c>
      <c r="I186" s="217"/>
      <c r="J186" s="228"/>
    </row>
    <row r="187" spans="1:10" s="120" customFormat="1" ht="12.75" x14ac:dyDescent="0.2">
      <c r="A187" s="123"/>
      <c r="B187" s="124"/>
      <c r="C187" s="127" t="s">
        <v>331</v>
      </c>
      <c r="D187" s="127"/>
      <c r="E187" s="127"/>
      <c r="F187" s="128"/>
      <c r="G187" s="128"/>
      <c r="H187" s="129"/>
      <c r="I187" s="217"/>
      <c r="J187" s="228"/>
    </row>
    <row r="188" spans="1:10" s="120" customFormat="1" ht="12.75" x14ac:dyDescent="0.2">
      <c r="A188" s="123"/>
      <c r="B188" s="124"/>
      <c r="C188" s="127"/>
      <c r="D188" s="127"/>
      <c r="E188" s="361" t="s">
        <v>461</v>
      </c>
      <c r="F188" s="363"/>
      <c r="G188" s="135"/>
      <c r="H188" s="136"/>
      <c r="I188" s="217"/>
      <c r="J188" s="228"/>
    </row>
    <row r="189" spans="1:10" s="120" customFormat="1" ht="12.75" x14ac:dyDescent="0.2">
      <c r="A189" s="123"/>
      <c r="B189" s="124"/>
      <c r="C189" s="127" t="s">
        <v>462</v>
      </c>
      <c r="D189" s="127"/>
      <c r="E189" s="127"/>
      <c r="F189" s="128"/>
      <c r="G189" s="128"/>
      <c r="H189" s="129"/>
      <c r="I189" s="217"/>
      <c r="J189" s="228"/>
    </row>
    <row r="190" spans="1:10" s="120" customFormat="1" ht="12.75" x14ac:dyDescent="0.2">
      <c r="A190" s="154" t="s">
        <v>772</v>
      </c>
      <c r="B190" s="130" t="s">
        <v>21</v>
      </c>
      <c r="C190" s="155" t="s">
        <v>773</v>
      </c>
      <c r="D190" s="130" t="s">
        <v>19</v>
      </c>
      <c r="E190" s="153">
        <v>1</v>
      </c>
      <c r="F190" s="133">
        <f>I190</f>
        <v>17.899999999999999</v>
      </c>
      <c r="G190" s="137"/>
      <c r="H190" s="151">
        <f t="shared" ref="H190" si="14">TRUNC((E190*F190),2)</f>
        <v>17.899999999999999</v>
      </c>
      <c r="I190" s="219">
        <v>17.899999999999999</v>
      </c>
      <c r="J190" s="219">
        <v>17.899999999999999</v>
      </c>
    </row>
    <row r="191" spans="1:10" s="120" customFormat="1" ht="12.75" x14ac:dyDescent="0.2">
      <c r="A191" s="127"/>
      <c r="B191" s="138"/>
      <c r="C191" s="127"/>
      <c r="D191" s="127"/>
      <c r="E191" s="361" t="s">
        <v>470</v>
      </c>
      <c r="F191" s="363"/>
      <c r="G191" s="135"/>
      <c r="H191" s="136">
        <f>SUM(H190:H190)</f>
        <v>17.899999999999999</v>
      </c>
      <c r="I191" s="217"/>
      <c r="J191" s="228"/>
    </row>
    <row r="192" spans="1:10" s="120" customFormat="1" ht="12.75" x14ac:dyDescent="0.2">
      <c r="A192" s="139"/>
      <c r="B192" s="140"/>
      <c r="C192" s="141"/>
      <c r="D192" s="141"/>
      <c r="E192" s="141"/>
      <c r="F192" s="366" t="s">
        <v>471</v>
      </c>
      <c r="G192" s="366"/>
      <c r="H192" s="142">
        <f>H186+H188+H191</f>
        <v>40.519999999999996</v>
      </c>
      <c r="I192" s="217"/>
      <c r="J192" s="228"/>
    </row>
    <row r="193" spans="1:10" s="120" customFormat="1" ht="12.75" x14ac:dyDescent="0.2">
      <c r="A193" s="143"/>
      <c r="B193" s="144"/>
      <c r="C193" s="145"/>
      <c r="D193" s="145"/>
      <c r="E193" s="145"/>
      <c r="F193" s="356" t="s">
        <v>472</v>
      </c>
      <c r="G193" s="357"/>
      <c r="H193" s="146">
        <f>SUM(H192:H192)</f>
        <v>40.519999999999996</v>
      </c>
      <c r="I193" s="217"/>
      <c r="J193" s="228"/>
    </row>
    <row r="197" spans="1:10" s="120" customFormat="1" ht="12.75" x14ac:dyDescent="0.2">
      <c r="A197" s="114" t="s">
        <v>440</v>
      </c>
      <c r="B197" s="115"/>
      <c r="C197" s="116" t="s">
        <v>840</v>
      </c>
      <c r="D197" s="117"/>
      <c r="E197" s="117"/>
      <c r="F197" s="118"/>
      <c r="G197" s="118"/>
      <c r="H197" s="119" t="s">
        <v>458</v>
      </c>
      <c r="I197" s="217"/>
      <c r="J197" s="228"/>
    </row>
    <row r="198" spans="1:10" s="120" customFormat="1" ht="19.899999999999999" customHeight="1" x14ac:dyDescent="0.2">
      <c r="A198" s="121" t="s">
        <v>441</v>
      </c>
      <c r="B198" s="122"/>
      <c r="C198" s="358" t="s">
        <v>841</v>
      </c>
      <c r="D198" s="359"/>
      <c r="E198" s="359"/>
      <c r="F198" s="359"/>
      <c r="G198" s="359"/>
      <c r="H198" s="360"/>
      <c r="I198" s="217"/>
      <c r="J198" s="228"/>
    </row>
    <row r="199" spans="1:10" s="120" customFormat="1" ht="12.75" x14ac:dyDescent="0.2">
      <c r="A199" s="123" t="s">
        <v>442</v>
      </c>
      <c r="B199" s="124" t="s">
        <v>443</v>
      </c>
      <c r="C199" s="123" t="s">
        <v>444</v>
      </c>
      <c r="D199" s="123" t="s">
        <v>445</v>
      </c>
      <c r="E199" s="123" t="s">
        <v>8</v>
      </c>
      <c r="F199" s="125" t="s">
        <v>446</v>
      </c>
      <c r="G199" s="125" t="s">
        <v>447</v>
      </c>
      <c r="H199" s="126" t="s">
        <v>448</v>
      </c>
      <c r="I199" s="217"/>
      <c r="J199" s="228"/>
    </row>
    <row r="200" spans="1:10" s="120" customFormat="1" ht="12.75" x14ac:dyDescent="0.2">
      <c r="A200" s="123"/>
      <c r="B200" s="124"/>
      <c r="C200" s="127" t="s">
        <v>449</v>
      </c>
      <c r="D200" s="127"/>
      <c r="E200" s="127"/>
      <c r="F200" s="128"/>
      <c r="G200" s="128"/>
      <c r="H200" s="129"/>
      <c r="I200" s="217"/>
      <c r="J200" s="228"/>
    </row>
    <row r="201" spans="1:10" s="120" customFormat="1" ht="12.75" x14ac:dyDescent="0.2">
      <c r="A201" s="130">
        <v>88310</v>
      </c>
      <c r="B201" s="130" t="s">
        <v>450</v>
      </c>
      <c r="C201" s="131" t="s">
        <v>837</v>
      </c>
      <c r="D201" s="130" t="s">
        <v>452</v>
      </c>
      <c r="E201" s="132">
        <v>0.6</v>
      </c>
      <c r="F201" s="133">
        <f>I201</f>
        <v>31.52</v>
      </c>
      <c r="G201" s="133"/>
      <c r="H201" s="129">
        <f t="shared" ref="H201:H202" si="15">E201*F201</f>
        <v>18.911999999999999</v>
      </c>
      <c r="I201" s="219">
        <v>31.52</v>
      </c>
      <c r="J201" s="229">
        <v>29.1</v>
      </c>
    </row>
    <row r="202" spans="1:10" s="120" customFormat="1" ht="12.75" x14ac:dyDescent="0.2">
      <c r="A202" s="130">
        <v>88316</v>
      </c>
      <c r="B202" s="130" t="s">
        <v>450</v>
      </c>
      <c r="C202" s="131" t="s">
        <v>349</v>
      </c>
      <c r="D202" s="130" t="s">
        <v>452</v>
      </c>
      <c r="E202" s="132">
        <v>0.4</v>
      </c>
      <c r="F202" s="133">
        <f>I202</f>
        <v>24.08</v>
      </c>
      <c r="G202" s="133"/>
      <c r="H202" s="129">
        <f t="shared" si="15"/>
        <v>9.6319999999999997</v>
      </c>
      <c r="I202" s="219">
        <v>24.08</v>
      </c>
      <c r="J202" s="229">
        <v>22.26</v>
      </c>
    </row>
    <row r="203" spans="1:10" s="120" customFormat="1" ht="12.75" x14ac:dyDescent="0.2">
      <c r="A203" s="123"/>
      <c r="B203" s="124"/>
      <c r="C203" s="127"/>
      <c r="D203" s="361" t="s">
        <v>453</v>
      </c>
      <c r="E203" s="362"/>
      <c r="F203" s="363"/>
      <c r="G203" s="135"/>
      <c r="H203" s="136">
        <f>SUM(H201:H202)</f>
        <v>28.543999999999997</v>
      </c>
      <c r="I203" s="217"/>
      <c r="J203" s="228"/>
    </row>
    <row r="204" spans="1:10" s="120" customFormat="1" ht="12.75" x14ac:dyDescent="0.2">
      <c r="A204" s="123"/>
      <c r="B204" s="124"/>
      <c r="C204" s="127" t="s">
        <v>331</v>
      </c>
      <c r="D204" s="127"/>
      <c r="E204" s="127"/>
      <c r="F204" s="128"/>
      <c r="G204" s="128"/>
      <c r="H204" s="129"/>
      <c r="I204" s="217"/>
      <c r="J204" s="228"/>
    </row>
    <row r="205" spans="1:10" s="120" customFormat="1" ht="12.75" x14ac:dyDescent="0.2">
      <c r="A205" s="123"/>
      <c r="B205" s="124"/>
      <c r="C205" s="127"/>
      <c r="D205" s="127"/>
      <c r="E205" s="364" t="s">
        <v>461</v>
      </c>
      <c r="F205" s="365"/>
      <c r="G205" s="135"/>
      <c r="H205" s="136"/>
      <c r="I205" s="217"/>
      <c r="J205" s="228"/>
    </row>
    <row r="206" spans="1:10" s="120" customFormat="1" ht="12.75" x14ac:dyDescent="0.2">
      <c r="A206" s="123"/>
      <c r="B206" s="124"/>
      <c r="C206" s="127" t="s">
        <v>462</v>
      </c>
      <c r="D206" s="127"/>
      <c r="E206" s="127"/>
      <c r="F206" s="128"/>
      <c r="G206" s="128"/>
      <c r="H206" s="129"/>
      <c r="I206" s="217"/>
      <c r="J206" s="228"/>
    </row>
    <row r="207" spans="1:10" s="120" customFormat="1" ht="33.75" x14ac:dyDescent="0.2">
      <c r="A207" s="154" t="s">
        <v>558</v>
      </c>
      <c r="B207" s="130" t="s">
        <v>383</v>
      </c>
      <c r="C207" s="155" t="s">
        <v>838</v>
      </c>
      <c r="D207" s="130" t="s">
        <v>79</v>
      </c>
      <c r="E207" s="153">
        <v>0.56000000000000005</v>
      </c>
      <c r="F207" s="133">
        <v>43.98</v>
      </c>
      <c r="G207" s="137"/>
      <c r="H207" s="129">
        <f>E207*F207</f>
        <v>24.628800000000002</v>
      </c>
      <c r="I207" s="217"/>
      <c r="J207" s="228"/>
    </row>
    <row r="208" spans="1:10" s="120" customFormat="1" ht="12.75" x14ac:dyDescent="0.2">
      <c r="A208" s="127"/>
      <c r="B208" s="138"/>
      <c r="C208" s="127"/>
      <c r="D208" s="127"/>
      <c r="E208" s="361" t="s">
        <v>470</v>
      </c>
      <c r="F208" s="363"/>
      <c r="G208" s="135"/>
      <c r="H208" s="136">
        <f>SUM(H207:H207)</f>
        <v>24.628800000000002</v>
      </c>
      <c r="I208" s="217"/>
      <c r="J208" s="228"/>
    </row>
    <row r="209" spans="1:10" s="120" customFormat="1" ht="12.75" x14ac:dyDescent="0.2">
      <c r="A209" s="139"/>
      <c r="B209" s="140"/>
      <c r="C209" s="141"/>
      <c r="D209" s="141"/>
      <c r="E209" s="141"/>
      <c r="F209" s="366" t="s">
        <v>471</v>
      </c>
      <c r="G209" s="366"/>
      <c r="H209" s="142">
        <f>H203+H205+H208</f>
        <v>53.172799999999995</v>
      </c>
      <c r="I209" s="217"/>
      <c r="J209" s="228"/>
    </row>
    <row r="210" spans="1:10" s="120" customFormat="1" ht="12.75" x14ac:dyDescent="0.2">
      <c r="A210" s="143"/>
      <c r="B210" s="144"/>
      <c r="C210" s="145"/>
      <c r="D210" s="145"/>
      <c r="E210" s="145"/>
      <c r="F210" s="356" t="s">
        <v>472</v>
      </c>
      <c r="G210" s="357"/>
      <c r="H210" s="146">
        <f>SUM(H209:H209)</f>
        <v>53.172799999999995</v>
      </c>
      <c r="I210" s="217"/>
      <c r="J210" s="228"/>
    </row>
  </sheetData>
  <mergeCells count="67">
    <mergeCell ref="F160:G160"/>
    <mergeCell ref="F140:G140"/>
    <mergeCell ref="C125:H125"/>
    <mergeCell ref="D130:F130"/>
    <mergeCell ref="E132:F132"/>
    <mergeCell ref="E138:F138"/>
    <mergeCell ref="F139:G139"/>
    <mergeCell ref="C145:H145"/>
    <mergeCell ref="D150:F150"/>
    <mergeCell ref="E154:F154"/>
    <mergeCell ref="E158:F158"/>
    <mergeCell ref="F159:G159"/>
    <mergeCell ref="A1:H1"/>
    <mergeCell ref="F28:G28"/>
    <mergeCell ref="C4:H4"/>
    <mergeCell ref="D10:F10"/>
    <mergeCell ref="E18:F18"/>
    <mergeCell ref="E26:F26"/>
    <mergeCell ref="F27:G27"/>
    <mergeCell ref="F45:G45"/>
    <mergeCell ref="F46:G46"/>
    <mergeCell ref="C33:H33"/>
    <mergeCell ref="D38:F38"/>
    <mergeCell ref="E41:F41"/>
    <mergeCell ref="E44:F44"/>
    <mergeCell ref="C51:H51"/>
    <mergeCell ref="D57:F57"/>
    <mergeCell ref="E63:F63"/>
    <mergeCell ref="E69:F69"/>
    <mergeCell ref="F70:G70"/>
    <mergeCell ref="F71:G71"/>
    <mergeCell ref="C76:H76"/>
    <mergeCell ref="D81:F81"/>
    <mergeCell ref="E83:F83"/>
    <mergeCell ref="E86:F86"/>
    <mergeCell ref="E103:F103"/>
    <mergeCell ref="F104:G104"/>
    <mergeCell ref="F105:G105"/>
    <mergeCell ref="F87:G87"/>
    <mergeCell ref="F88:G88"/>
    <mergeCell ref="C93:H93"/>
    <mergeCell ref="D97:F97"/>
    <mergeCell ref="E99:F99"/>
    <mergeCell ref="F120:G120"/>
    <mergeCell ref="C110:H110"/>
    <mergeCell ref="D114:F114"/>
    <mergeCell ref="E116:F116"/>
    <mergeCell ref="E118:F118"/>
    <mergeCell ref="F119:G119"/>
    <mergeCell ref="C165:H165"/>
    <mergeCell ref="D169:F169"/>
    <mergeCell ref="E171:F171"/>
    <mergeCell ref="E174:F174"/>
    <mergeCell ref="F175:G175"/>
    <mergeCell ref="E191:F191"/>
    <mergeCell ref="F192:G192"/>
    <mergeCell ref="F193:G193"/>
    <mergeCell ref="F176:G176"/>
    <mergeCell ref="C181:H181"/>
    <mergeCell ref="D186:F186"/>
    <mergeCell ref="E188:F188"/>
    <mergeCell ref="F210:G210"/>
    <mergeCell ref="C198:H198"/>
    <mergeCell ref="D203:F203"/>
    <mergeCell ref="E205:F205"/>
    <mergeCell ref="E208:F208"/>
    <mergeCell ref="F209:G209"/>
  </mergeCells>
  <pageMargins left="0.511811024" right="0.511811024" top="0.78740157499999996" bottom="0.78740157499999996" header="0.31496062000000002" footer="0.31496062000000002"/>
  <pageSetup paperSize="9" scale="74" fitToHeight="0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2878-A952-4FE6-87EC-00219D653CB0}">
  <sheetPr>
    <pageSetUpPr fitToPage="1"/>
  </sheetPr>
  <dimension ref="A1:E41"/>
  <sheetViews>
    <sheetView zoomScaleNormal="100" zoomScaleSheetLayoutView="100" workbookViewId="0">
      <selection sqref="A1:D41"/>
    </sheetView>
  </sheetViews>
  <sheetFormatPr defaultColWidth="9" defaultRowHeight="14.25" x14ac:dyDescent="0.2"/>
  <cols>
    <col min="1" max="1" width="11.5" customWidth="1"/>
    <col min="2" max="2" width="16.875" customWidth="1"/>
    <col min="3" max="3" width="41.375" customWidth="1"/>
    <col min="4" max="4" width="27.875" customWidth="1"/>
  </cols>
  <sheetData>
    <row r="1" spans="1:5" x14ac:dyDescent="0.2">
      <c r="A1" s="372" t="s">
        <v>362</v>
      </c>
      <c r="B1" s="373"/>
      <c r="C1" s="373"/>
      <c r="D1" s="373"/>
    </row>
    <row r="2" spans="1:5" x14ac:dyDescent="0.2">
      <c r="A2" s="374"/>
      <c r="B2" s="374"/>
      <c r="C2" s="374"/>
      <c r="D2" s="374"/>
    </row>
    <row r="3" spans="1:5" x14ac:dyDescent="0.2">
      <c r="A3" s="108" t="s">
        <v>363</v>
      </c>
      <c r="B3" s="108" t="s">
        <v>364</v>
      </c>
      <c r="C3" s="108" t="s">
        <v>365</v>
      </c>
      <c r="D3" s="108" t="s">
        <v>366</v>
      </c>
    </row>
    <row r="4" spans="1:5" x14ac:dyDescent="0.2">
      <c r="A4" s="54" t="s">
        <v>367</v>
      </c>
      <c r="B4" s="54" t="s">
        <v>368</v>
      </c>
      <c r="C4" s="55" t="s">
        <v>369</v>
      </c>
      <c r="D4" s="54" t="s">
        <v>370</v>
      </c>
      <c r="E4" s="56"/>
    </row>
    <row r="5" spans="1:5" x14ac:dyDescent="0.2">
      <c r="A5" s="54" t="s">
        <v>371</v>
      </c>
      <c r="B5" s="54" t="s">
        <v>372</v>
      </c>
      <c r="C5" s="55" t="s">
        <v>373</v>
      </c>
      <c r="D5" s="54" t="s">
        <v>374</v>
      </c>
      <c r="E5" s="56"/>
    </row>
    <row r="6" spans="1:5" x14ac:dyDescent="0.2">
      <c r="A6" s="54" t="s">
        <v>375</v>
      </c>
      <c r="B6" s="55" t="s">
        <v>376</v>
      </c>
      <c r="C6" s="55" t="s">
        <v>377</v>
      </c>
      <c r="D6" s="54" t="s">
        <v>378</v>
      </c>
      <c r="E6" s="56"/>
    </row>
    <row r="7" spans="1:5" x14ac:dyDescent="0.2">
      <c r="A7" s="54" t="s">
        <v>752</v>
      </c>
      <c r="B7" s="55" t="s">
        <v>746</v>
      </c>
      <c r="C7" s="55" t="s">
        <v>743</v>
      </c>
      <c r="D7" s="54" t="s">
        <v>747</v>
      </c>
      <c r="E7" s="56"/>
    </row>
    <row r="8" spans="1:5" x14ac:dyDescent="0.2">
      <c r="A8" s="54" t="s">
        <v>753</v>
      </c>
      <c r="B8" s="55" t="s">
        <v>748</v>
      </c>
      <c r="C8" s="55" t="s">
        <v>744</v>
      </c>
      <c r="D8" s="54" t="s">
        <v>749</v>
      </c>
      <c r="E8" s="56"/>
    </row>
    <row r="9" spans="1:5" x14ac:dyDescent="0.2">
      <c r="A9" s="54" t="s">
        <v>754</v>
      </c>
      <c r="B9" s="55" t="s">
        <v>750</v>
      </c>
      <c r="C9" s="55" t="s">
        <v>745</v>
      </c>
      <c r="D9" s="54" t="s">
        <v>751</v>
      </c>
      <c r="E9" s="56"/>
    </row>
    <row r="10" spans="1:5" x14ac:dyDescent="0.2">
      <c r="A10" s="54" t="s">
        <v>758</v>
      </c>
      <c r="B10" s="55" t="s">
        <v>756</v>
      </c>
      <c r="C10" s="55" t="s">
        <v>755</v>
      </c>
      <c r="D10" s="54" t="s">
        <v>757</v>
      </c>
      <c r="E10" s="56"/>
    </row>
    <row r="11" spans="1:5" x14ac:dyDescent="0.2">
      <c r="A11" s="54" t="s">
        <v>759</v>
      </c>
      <c r="B11" s="55" t="s">
        <v>761</v>
      </c>
      <c r="C11" s="55" t="s">
        <v>795</v>
      </c>
      <c r="D11" s="54" t="s">
        <v>762</v>
      </c>
      <c r="E11" s="56"/>
    </row>
    <row r="12" spans="1:5" x14ac:dyDescent="0.2">
      <c r="A12" s="54" t="s">
        <v>760</v>
      </c>
      <c r="B12" s="55" t="s">
        <v>764</v>
      </c>
      <c r="C12" s="55" t="s">
        <v>763</v>
      </c>
      <c r="D12" s="54" t="s">
        <v>765</v>
      </c>
      <c r="E12" s="56"/>
    </row>
    <row r="15" spans="1:5" x14ac:dyDescent="0.2">
      <c r="A15" s="108" t="s">
        <v>379</v>
      </c>
      <c r="B15" s="108" t="s">
        <v>380</v>
      </c>
      <c r="C15" s="108" t="s">
        <v>381</v>
      </c>
      <c r="D15" s="230" t="s">
        <v>382</v>
      </c>
    </row>
    <row r="16" spans="1:5" ht="17.25" customHeight="1" x14ac:dyDescent="0.2">
      <c r="A16" s="109" t="s">
        <v>383</v>
      </c>
      <c r="B16" s="110" t="s">
        <v>384</v>
      </c>
      <c r="C16" s="109" t="s">
        <v>385</v>
      </c>
      <c r="D16" s="226">
        <f>D18</f>
        <v>48.67</v>
      </c>
    </row>
    <row r="17" spans="1:4" x14ac:dyDescent="0.2">
      <c r="A17" s="54" t="s">
        <v>386</v>
      </c>
      <c r="B17" s="54" t="s">
        <v>387</v>
      </c>
      <c r="C17" s="54" t="s">
        <v>388</v>
      </c>
      <c r="D17" s="54" t="s">
        <v>362</v>
      </c>
    </row>
    <row r="18" spans="1:4" x14ac:dyDescent="0.2">
      <c r="A18" s="57">
        <v>45830</v>
      </c>
      <c r="B18" s="55" t="s">
        <v>367</v>
      </c>
      <c r="C18" s="54" t="s">
        <v>369</v>
      </c>
      <c r="D18" s="54">
        <v>48.67</v>
      </c>
    </row>
    <row r="19" spans="1:4" x14ac:dyDescent="0.2">
      <c r="A19" s="57">
        <v>45830</v>
      </c>
      <c r="B19" s="54" t="s">
        <v>371</v>
      </c>
      <c r="C19" s="54" t="s">
        <v>373</v>
      </c>
      <c r="D19" s="54">
        <v>51.31</v>
      </c>
    </row>
    <row r="20" spans="1:4" ht="12" customHeight="1" x14ac:dyDescent="0.2">
      <c r="A20" s="57">
        <v>45830</v>
      </c>
      <c r="B20" s="54" t="s">
        <v>375</v>
      </c>
      <c r="C20" s="55" t="s">
        <v>377</v>
      </c>
      <c r="D20" s="54">
        <v>34.79</v>
      </c>
    </row>
    <row r="22" spans="1:4" x14ac:dyDescent="0.2">
      <c r="A22" s="108" t="s">
        <v>379</v>
      </c>
      <c r="B22" s="108" t="s">
        <v>380</v>
      </c>
      <c r="C22" s="108" t="s">
        <v>381</v>
      </c>
      <c r="D22" s="230" t="s">
        <v>741</v>
      </c>
    </row>
    <row r="23" spans="1:4" x14ac:dyDescent="0.2">
      <c r="A23" s="109" t="s">
        <v>383</v>
      </c>
      <c r="B23" s="110" t="s">
        <v>389</v>
      </c>
      <c r="C23" s="109" t="s">
        <v>742</v>
      </c>
      <c r="D23" s="226">
        <v>79.17</v>
      </c>
    </row>
    <row r="24" spans="1:4" x14ac:dyDescent="0.2">
      <c r="A24" s="55" t="s">
        <v>386</v>
      </c>
      <c r="B24" s="55" t="s">
        <v>387</v>
      </c>
      <c r="C24" s="55" t="s">
        <v>388</v>
      </c>
      <c r="D24" s="55" t="s">
        <v>362</v>
      </c>
    </row>
    <row r="25" spans="1:4" x14ac:dyDescent="0.2">
      <c r="A25" s="57">
        <v>45830</v>
      </c>
      <c r="B25" s="54" t="s">
        <v>752</v>
      </c>
      <c r="C25" s="55" t="s">
        <v>743</v>
      </c>
      <c r="D25" s="227">
        <f>495.48/6</f>
        <v>82.58</v>
      </c>
    </row>
    <row r="26" spans="1:4" x14ac:dyDescent="0.2">
      <c r="A26" s="57">
        <v>45830</v>
      </c>
      <c r="B26" s="54" t="s">
        <v>753</v>
      </c>
      <c r="C26" s="55" t="s">
        <v>744</v>
      </c>
      <c r="D26" s="227">
        <f>475/6</f>
        <v>79.166666666666671</v>
      </c>
    </row>
    <row r="27" spans="1:4" x14ac:dyDescent="0.2">
      <c r="A27" s="57">
        <v>45830</v>
      </c>
      <c r="B27" s="54" t="s">
        <v>754</v>
      </c>
      <c r="C27" s="55" t="s">
        <v>745</v>
      </c>
      <c r="D27" s="227">
        <f>448.82/6</f>
        <v>74.803333333333327</v>
      </c>
    </row>
    <row r="29" spans="1:4" x14ac:dyDescent="0.2">
      <c r="A29" s="108" t="s">
        <v>379</v>
      </c>
      <c r="B29" s="108" t="s">
        <v>380</v>
      </c>
      <c r="C29" s="108" t="s">
        <v>381</v>
      </c>
      <c r="D29" s="230" t="s">
        <v>766</v>
      </c>
    </row>
    <row r="30" spans="1:4" ht="22.5" x14ac:dyDescent="0.2">
      <c r="A30" s="109" t="s">
        <v>383</v>
      </c>
      <c r="B30" s="110" t="s">
        <v>361</v>
      </c>
      <c r="C30" s="109" t="s">
        <v>767</v>
      </c>
      <c r="D30" s="226">
        <f>D34</f>
        <v>278.19152542372876</v>
      </c>
    </row>
    <row r="31" spans="1:4" x14ac:dyDescent="0.2">
      <c r="A31" s="55" t="s">
        <v>386</v>
      </c>
      <c r="B31" s="55" t="s">
        <v>387</v>
      </c>
      <c r="C31" s="55" t="s">
        <v>388</v>
      </c>
      <c r="D31" s="55" t="s">
        <v>362</v>
      </c>
    </row>
    <row r="32" spans="1:4" x14ac:dyDescent="0.2">
      <c r="A32" s="57">
        <v>45830</v>
      </c>
      <c r="B32" s="54" t="s">
        <v>758</v>
      </c>
      <c r="C32" s="55" t="s">
        <v>755</v>
      </c>
      <c r="D32" s="227">
        <f>1559.26/5.9</f>
        <v>264.28135593220338</v>
      </c>
    </row>
    <row r="33" spans="1:4" x14ac:dyDescent="0.2">
      <c r="A33" s="57">
        <v>45830</v>
      </c>
      <c r="B33" s="54" t="s">
        <v>759</v>
      </c>
      <c r="C33" s="55" t="s">
        <v>795</v>
      </c>
      <c r="D33" s="227">
        <f>1723.4/5.9</f>
        <v>292.10169491525426</v>
      </c>
    </row>
    <row r="34" spans="1:4" x14ac:dyDescent="0.2">
      <c r="A34" s="57">
        <v>45830</v>
      </c>
      <c r="B34" s="54" t="s">
        <v>760</v>
      </c>
      <c r="C34" s="55" t="s">
        <v>763</v>
      </c>
      <c r="D34" s="227">
        <f>1641.33/5.9</f>
        <v>278.19152542372876</v>
      </c>
    </row>
    <row r="36" spans="1:4" x14ac:dyDescent="0.2">
      <c r="A36" s="108" t="s">
        <v>379</v>
      </c>
      <c r="B36" s="108" t="s">
        <v>380</v>
      </c>
      <c r="C36" s="108" t="s">
        <v>381</v>
      </c>
      <c r="D36" s="108" t="s">
        <v>839</v>
      </c>
    </row>
    <row r="37" spans="1:4" ht="33.75" x14ac:dyDescent="0.2">
      <c r="A37" s="109" t="s">
        <v>383</v>
      </c>
      <c r="B37" s="110" t="s">
        <v>558</v>
      </c>
      <c r="C37" s="109" t="s">
        <v>838</v>
      </c>
      <c r="D37" s="226">
        <v>43.98</v>
      </c>
    </row>
    <row r="38" spans="1:4" x14ac:dyDescent="0.2">
      <c r="A38" s="54" t="s">
        <v>386</v>
      </c>
      <c r="B38" s="54" t="s">
        <v>387</v>
      </c>
      <c r="C38" s="54" t="s">
        <v>388</v>
      </c>
      <c r="D38" s="54" t="s">
        <v>362</v>
      </c>
    </row>
    <row r="39" spans="1:4" x14ac:dyDescent="0.2">
      <c r="A39" s="57">
        <v>45830</v>
      </c>
      <c r="B39" s="55" t="s">
        <v>759</v>
      </c>
      <c r="C39" s="54" t="s">
        <v>795</v>
      </c>
      <c r="D39" s="227">
        <v>43.98</v>
      </c>
    </row>
    <row r="40" spans="1:4" x14ac:dyDescent="0.2">
      <c r="A40" s="57">
        <v>45830</v>
      </c>
      <c r="B40" s="55" t="s">
        <v>371</v>
      </c>
      <c r="C40" s="54" t="s">
        <v>373</v>
      </c>
      <c r="D40" s="227">
        <v>58.09</v>
      </c>
    </row>
    <row r="41" spans="1:4" x14ac:dyDescent="0.2">
      <c r="A41" s="57">
        <v>45830</v>
      </c>
      <c r="B41" s="55" t="s">
        <v>367</v>
      </c>
      <c r="C41" s="54" t="s">
        <v>369</v>
      </c>
      <c r="D41" s="227">
        <v>41.08</v>
      </c>
    </row>
  </sheetData>
  <mergeCells count="2">
    <mergeCell ref="A1:D1"/>
    <mergeCell ref="A2:D2"/>
  </mergeCells>
  <phoneticPr fontId="26" type="noConversion"/>
  <hyperlinks>
    <hyperlink ref="D4" r:id="rId1" xr:uid="{56B605BA-CC84-4C56-933F-02980A7EBCA5}"/>
    <hyperlink ref="D5" r:id="rId2" xr:uid="{571F9E7E-B7BA-48A8-A5AA-EC154F4B6E28}"/>
    <hyperlink ref="D6" r:id="rId3" xr:uid="{2F8A32CD-A734-46B9-AA14-DB0F48AF4E47}"/>
    <hyperlink ref="D7" r:id="rId4" xr:uid="{528D7037-4667-4757-96F0-6B401BB80957}"/>
    <hyperlink ref="D8" r:id="rId5" xr:uid="{45DF9BB8-6395-4F4D-BB91-ECF2363EEA36}"/>
    <hyperlink ref="D9" r:id="rId6" xr:uid="{FAA6ACB5-520A-460B-B426-FA9804F368F9}"/>
    <hyperlink ref="D10" r:id="rId7" xr:uid="{9B954DFB-EAFA-4A82-8002-BBC405E7625E}"/>
    <hyperlink ref="D11" r:id="rId8" xr:uid="{A3897A8A-9BF5-49F8-AE2A-8293C5991DB5}"/>
    <hyperlink ref="D12" r:id="rId9" xr:uid="{6099EC8E-B932-42BA-8088-8572FBB0A594}"/>
  </hyperlinks>
  <pageMargins left="0.511811024" right="0.511811024" top="0.78740157499999996" bottom="0.78740157499999996" header="0.31496062000000002" footer="0.31496062000000002"/>
  <pageSetup paperSize="9" scale="85" fitToHeight="0" orientation="portrait" horizontalDpi="360" verticalDpi="36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RESUMO</vt:lpstr>
      <vt:lpstr>Orçamento Sintético</vt:lpstr>
      <vt:lpstr>MC</vt:lpstr>
      <vt:lpstr>CFF </vt:lpstr>
      <vt:lpstr>BDI 01</vt:lpstr>
      <vt:lpstr>BDI 02</vt:lpstr>
      <vt:lpstr>COMPOSIÇÕES</vt:lpstr>
      <vt:lpstr>COTAÇÃO</vt:lpstr>
      <vt:lpstr>'CFF '!Area_de_impressao</vt:lpstr>
      <vt:lpstr>COMPOSIÇÕES!Area_de_impressao</vt:lpstr>
      <vt:lpstr>COTAÇÃO!Area_de_impressao</vt:lpstr>
      <vt:lpstr>MC!Area_de_impressao</vt:lpstr>
      <vt:lpstr>'Orçamento Sintético'!Area_de_impressao</vt:lpstr>
      <vt:lpstr>RESUMO!Area_de_impressao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Licitação</cp:lastModifiedBy>
  <cp:revision>0</cp:revision>
  <cp:lastPrinted>2025-08-11T15:09:37Z</cp:lastPrinted>
  <dcterms:created xsi:type="dcterms:W3CDTF">2024-08-21T14:36:47Z</dcterms:created>
  <dcterms:modified xsi:type="dcterms:W3CDTF">2025-08-22T11:44:07Z</dcterms:modified>
</cp:coreProperties>
</file>