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EFESA CIVIL\boa vista\"/>
    </mc:Choice>
  </mc:AlternateContent>
  <xr:revisionPtr revIDLastSave="0" documentId="8_{CFBCC515-2B57-408C-9CB7-A942EA744D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Orçamento NÃO DESONERADO" sheetId="19" r:id="rId1"/>
    <sheet name="BDI NÃO DESONERADO PAV" sheetId="20" r:id="rId2"/>
    <sheet name="Cronograma" sheetId="4" r:id="rId3"/>
    <sheet name="Memória de Calculo" sheetId="14" r:id="rId4"/>
    <sheet name="GEORREFERENCIA E FOTOS" sheetId="15" r:id="rId5"/>
    <sheet name="MODELO PLACA DE OBRAS" sheetId="16" r:id="rId6"/>
  </sheets>
  <externalReferences>
    <externalReference r:id="rId7"/>
    <externalReference r:id="rId8"/>
  </externalReferences>
  <definedNames>
    <definedName name="_xlnm._FilterDatabase" localSheetId="4" hidden="1">'GEORREFERENCIA E FOTOS'!$A$4:$K$18</definedName>
    <definedName name="_xlnm._FilterDatabase" localSheetId="3" hidden="1">'Memória de Calculo'!$A$4:$E$45</definedName>
    <definedName name="_xlnm._FilterDatabase" localSheetId="5" hidden="1">'MODELO PLACA DE OBRAS'!#REF!</definedName>
    <definedName name="_xlnm._FilterDatabase" localSheetId="0" hidden="1">'Orçamento NÃO DESONERADO'!$A$4:$I$45</definedName>
    <definedName name="_xlnm.Print_Area" localSheetId="1">'BDI NÃO DESONERADO PAV'!$A$1:$C$25</definedName>
    <definedName name="_xlnm.Print_Area" localSheetId="2">Cronograma!$A$1:$E$17</definedName>
    <definedName name="_xlnm.Print_Area" localSheetId="4">'GEORREFERENCIA E FOTOS'!$A$1:$K$18</definedName>
    <definedName name="_xlnm.Print_Area" localSheetId="3">'Memória de Calculo'!$A$1:$E$45</definedName>
    <definedName name="_xlnm.Print_Area" localSheetId="5">'MODELO PLACA DE OBRAS'!$A$1:$E$38</definedName>
    <definedName name="_xlnm.Print_Titles" localSheetId="4">'GEORREFERENCIA E FOTOS'!$2:$4</definedName>
    <definedName name="_xlnm.Print_Titles" localSheetId="3">'Memória de Calculo'!$1:$4</definedName>
    <definedName name="_xlnm.Print_Titles" localSheetId="5">'MODELO PLACA DE OBRAS'!$1:$3</definedName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H49" i="19" l="1"/>
  <c r="I32" i="19"/>
  <c r="I31" i="19" s="1"/>
  <c r="I20" i="19"/>
  <c r="I19" i="19" s="1"/>
  <c r="C7" i="4" s="1"/>
  <c r="I7" i="19"/>
  <c r="I6" i="19" s="1"/>
  <c r="I5" i="19" s="1"/>
  <c r="C5" i="4" s="1"/>
  <c r="D2" i="15"/>
  <c r="C20" i="20"/>
  <c r="D17" i="20" s="1"/>
  <c r="D15" i="20"/>
  <c r="C15" i="20" s="1"/>
  <c r="D12" i="20"/>
  <c r="C12" i="20" s="1"/>
  <c r="D11" i="20"/>
  <c r="C11" i="20" s="1"/>
  <c r="D10" i="20"/>
  <c r="C10" i="20" s="1"/>
  <c r="D9" i="20"/>
  <c r="C9" i="20" s="1"/>
  <c r="F21" i="20" s="1"/>
  <c r="C23" i="20" s="1"/>
  <c r="C9" i="4" l="1"/>
  <c r="F34" i="14"/>
  <c r="G22" i="14"/>
  <c r="F8" i="14"/>
  <c r="F7" i="14"/>
  <c r="B2" i="4"/>
  <c r="B9" i="4"/>
  <c r="B7" i="4"/>
  <c r="B5" i="4"/>
  <c r="F45" i="14"/>
  <c r="H42" i="14"/>
  <c r="G42" i="14"/>
  <c r="F42" i="14"/>
  <c r="J29" i="14"/>
  <c r="H29" i="14"/>
  <c r="G29" i="14"/>
  <c r="F29" i="14"/>
  <c r="I16" i="14"/>
  <c r="H16" i="14"/>
  <c r="G16" i="14"/>
  <c r="F16" i="14"/>
  <c r="F43" i="14"/>
  <c r="I37" i="14"/>
  <c r="K37" i="14" s="1"/>
  <c r="I24" i="14"/>
  <c r="K24" i="14" s="1"/>
  <c r="I10" i="14"/>
  <c r="K10" i="14" s="1"/>
  <c r="B2" i="16"/>
  <c r="B4" i="14"/>
  <c r="I7" i="4" l="1"/>
  <c r="I9" i="4"/>
  <c r="F9" i="4" l="1"/>
  <c r="F7" i="4"/>
  <c r="F5" i="4" l="1"/>
  <c r="E6" i="4" l="1"/>
  <c r="E10" i="4"/>
  <c r="I6" i="4" l="1"/>
  <c r="J6" i="4" s="1"/>
  <c r="I10" i="4"/>
  <c r="J10" i="4" s="1"/>
  <c r="F10" i="4"/>
  <c r="G10" i="4" s="1"/>
  <c r="F6" i="4"/>
  <c r="G6" i="4" s="1"/>
  <c r="E8" i="4" l="1"/>
  <c r="E13" i="4" s="1"/>
  <c r="E15" i="4" s="1"/>
  <c r="C11" i="4"/>
  <c r="D5" i="4" s="1"/>
  <c r="D7" i="4" l="1"/>
  <c r="I8" i="4"/>
  <c r="J8" i="4" s="1"/>
  <c r="E12" i="4"/>
  <c r="E14" i="4" s="1"/>
  <c r="F8" i="4"/>
  <c r="G8" i="4" s="1"/>
  <c r="D9" i="4"/>
  <c r="F11" i="4"/>
  <c r="D11" i="4" l="1"/>
  <c r="F12" i="4"/>
  <c r="F13" i="4"/>
  <c r="G13" i="4" s="1"/>
  <c r="G11" i="4"/>
</calcChain>
</file>

<file path=xl/sharedStrings.xml><?xml version="1.0" encoding="utf-8"?>
<sst xmlns="http://schemas.openxmlformats.org/spreadsheetml/2006/main" count="510" uniqueCount="207">
  <si>
    <t>Bancos</t>
  </si>
  <si>
    <t>B.D.I.</t>
  </si>
  <si>
    <t>Encargos Sociais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</si>
  <si>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</si>
  <si>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</si>
  <si>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</si>
  <si>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</si>
  <si>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</si>
  <si>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</si>
  <si>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</si>
  <si>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</si>
  <si>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</si>
  <si>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</si>
  <si>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 </t>
  </si>
  <si>
    <t/>
  </si>
  <si>
    <t>SINAPI</t>
  </si>
  <si>
    <t>ENGENHEIRO CIVIL DE OBRA JUNIOR COM ENCARGOS COMPLEMENTARES</t>
  </si>
  <si>
    <t>H</t>
  </si>
  <si>
    <t>ENCARREGADO GERAL COM ENCARGOS COMPLEMENTARES</t>
  </si>
  <si>
    <t>Total Geral</t>
  </si>
  <si>
    <t>L</t>
  </si>
  <si>
    <t>Custo Acumulado</t>
  </si>
  <si>
    <t>Porcentagem Acumulado</t>
  </si>
  <si>
    <t>Custo</t>
  </si>
  <si>
    <t>Porcentagem</t>
  </si>
  <si>
    <t>Total Por Etapa</t>
  </si>
  <si>
    <t>Observações</t>
  </si>
  <si>
    <t>Me</t>
  </si>
  <si>
    <t>% DO ITEM</t>
  </si>
  <si>
    <t>TOTAL GERAL</t>
  </si>
  <si>
    <t>PREFEITURA MUNICIPAL DE GOIANA</t>
  </si>
  <si>
    <t>1.0</t>
  </si>
  <si>
    <t>2.0</t>
  </si>
  <si>
    <t>VALORES BDI POR TIPO DE OBRAS</t>
  </si>
  <si>
    <t>BDI</t>
  </si>
  <si>
    <t>SELECIONE UM TIPO DE SERVIÇO</t>
  </si>
  <si>
    <t>1°QUARTIL</t>
  </si>
  <si>
    <t>MÉDIO</t>
  </si>
  <si>
    <t>3°QUARTIL</t>
  </si>
  <si>
    <t>CONSTRUÇÃO DE EDIFÍCIOS</t>
  </si>
  <si>
    <t>CONSTRUÇÃO DE RODOVIAS E FERROVIAS</t>
  </si>
  <si>
    <t>MERO FORNECIMENTO DE MATERIAIS E EQUIPAMENTOS</t>
  </si>
  <si>
    <t>AC</t>
  </si>
  <si>
    <t>DF</t>
  </si>
  <si>
    <t>R</t>
  </si>
  <si>
    <t>S+G</t>
  </si>
  <si>
    <t>DESCONSIDERAR ISS</t>
  </si>
  <si>
    <t>BDI COM TRIBUTOS (%)</t>
  </si>
  <si>
    <r>
      <rPr>
        <sz val="11"/>
        <rFont val="Calibri"/>
        <family val="1"/>
      </rPr>
      <t>I.3                                                     ISSQN</t>
    </r>
  </si>
  <si>
    <r>
      <rPr>
        <sz val="11"/>
        <rFont val="Calibri"/>
        <family val="1"/>
      </rPr>
      <t>I.2                                                     COFINS</t>
    </r>
  </si>
  <si>
    <r>
      <rPr>
        <sz val="11"/>
        <rFont val="Calibri"/>
        <family val="1"/>
      </rPr>
      <t>I.1                                                     PIS</t>
    </r>
  </si>
  <si>
    <r>
      <rPr>
        <b/>
        <sz val="11"/>
        <rFont val="Calibri"/>
        <family val="1"/>
      </rPr>
      <t>TRIBUTOS</t>
    </r>
  </si>
  <si>
    <r>
      <rPr>
        <sz val="11"/>
        <rFont val="Calibri"/>
        <family val="1"/>
      </rPr>
      <t>LUCRO OPERACIONAL</t>
    </r>
  </si>
  <si>
    <r>
      <rPr>
        <sz val="11"/>
        <rFont val="Calibri"/>
        <family val="1"/>
      </rPr>
      <t>L</t>
    </r>
  </si>
  <si>
    <r>
      <rPr>
        <b/>
        <sz val="11"/>
        <rFont val="Calibri"/>
        <family val="1"/>
      </rPr>
      <t>LUCRO</t>
    </r>
  </si>
  <si>
    <r>
      <rPr>
        <sz val="11"/>
        <rFont val="Calibri"/>
        <family val="1"/>
      </rPr>
      <t>SEGUROS E GARANTIAS CONTRATUAIS</t>
    </r>
  </si>
  <si>
    <r>
      <rPr>
        <sz val="11"/>
        <rFont val="Calibri"/>
        <family val="1"/>
      </rPr>
      <t>S+G</t>
    </r>
  </si>
  <si>
    <r>
      <rPr>
        <sz val="11"/>
        <rFont val="Calibri"/>
        <family val="1"/>
      </rPr>
      <t>RISCOS</t>
    </r>
  </si>
  <si>
    <r>
      <rPr>
        <sz val="11"/>
        <rFont val="Calibri"/>
        <family val="1"/>
      </rPr>
      <t>R</t>
    </r>
  </si>
  <si>
    <r>
      <rPr>
        <sz val="11"/>
        <rFont val="Calibri"/>
        <family val="1"/>
      </rPr>
      <t>DESPESAS FINANCEIRAS</t>
    </r>
  </si>
  <si>
    <r>
      <rPr>
        <sz val="11"/>
        <rFont val="Calibri"/>
        <family val="1"/>
      </rPr>
      <t>DF</t>
    </r>
  </si>
  <si>
    <r>
      <rPr>
        <sz val="11"/>
        <rFont val="Calibri"/>
        <family val="1"/>
      </rPr>
      <t>ADMINISTRAÇÃO CENTRAL</t>
    </r>
  </si>
  <si>
    <r>
      <rPr>
        <sz val="11"/>
        <rFont val="Calibri"/>
        <family val="1"/>
      </rPr>
      <t>AC</t>
    </r>
  </si>
  <si>
    <r>
      <rPr>
        <b/>
        <sz val="11"/>
        <rFont val="Calibri"/>
        <family val="1"/>
      </rPr>
      <t>ADMINISTRAÇÃO CENTRAL</t>
    </r>
  </si>
  <si>
    <r>
      <rPr>
        <b/>
        <sz val="11"/>
        <rFont val="Calibri"/>
        <family val="1"/>
      </rPr>
      <t>%</t>
    </r>
  </si>
  <si>
    <r>
      <rPr>
        <b/>
        <sz val="11"/>
        <rFont val="Calibri"/>
        <family val="1"/>
      </rPr>
      <t>ITEM</t>
    </r>
  </si>
  <si>
    <t>Cronograma Físico e Financeiro -  Desonerado</t>
  </si>
  <si>
    <t>3.0</t>
  </si>
  <si>
    <t>3.1</t>
  </si>
  <si>
    <t>ATERRO MECANIZADO DE VALA COM RETROESCAVADEIRA (CAPACIDADE DA CAÇAMBA DA RETRO: 0,26 M³ / POTÊNCIA: 88 HP), LARGURA ATÉ 1,5 M, PROFUNDIDADE ATÉ 1,5 M, COM SOLO ARGILO-ARENOSO. AF_08/2023</t>
  </si>
  <si>
    <t>30 dias</t>
  </si>
  <si>
    <r>
      <rPr>
        <b/>
        <sz val="11"/>
        <rFont val="Calibri"/>
        <family val="1"/>
      </rPr>
      <t>MUNICÍPIO DE GOIANA</t>
    </r>
  </si>
  <si>
    <t>I.4                           CONTRIBUIÇÃO PREVIDENCIÁRIA SOBRE A RENDA BRUTA</t>
  </si>
  <si>
    <r>
      <rPr>
        <b/>
        <sz val="11"/>
        <color theme="1"/>
        <rFont val="Calibri"/>
        <family val="2"/>
        <scheme val="minor"/>
      </rPr>
      <t>REFERÊNCIAS NORMATIVAS:</t>
    </r>
    <r>
      <rPr>
        <sz val="11"/>
        <rFont val="Arial"/>
        <family val="1"/>
      </rPr>
      <t xml:space="preserve">
•	Lei nº 12.546/2011, arts. 7º, 7º-A, 9º, 9º-A e 9º-B
•	Lei nº 14.973/2024 — regime de transição 2025-2027
•	Lei nº 14.133/2021 — arts. 23, 124, 130 e 134
•	Acórdão TCU nº 2.622/2013 — Plenário (fórmula e faixas por tipo de obra)
•	Súmula TCU nº 253/2010 (BDI reduzido para mero fornecimento)
•	Instrução Normativa DNIT nº 62/2021 (obrigatoriedade de elaborar as duas condições)
•	Memorando-Circular 03-DIREX/DNIT (BDI diferenciado para materiais betuminosos)
•	Orientação SEGES/MGI de fevereiro de 2025
•	Legislação tributária municipal de Goiana/PE (ISSQN = 2,00%)</t>
    </r>
  </si>
  <si>
    <t>LONGITUDE:</t>
  </si>
  <si>
    <t>COORDENADAS UTM:</t>
  </si>
  <si>
    <t>LATITUDE:</t>
  </si>
  <si>
    <t>RUAS CONTEMPLADAS NO ORÇAMENTO</t>
  </si>
  <si>
    <t>M3</t>
  </si>
  <si>
    <t>M2</t>
  </si>
  <si>
    <t>LARG</t>
  </si>
  <si>
    <t>TAXA</t>
  </si>
  <si>
    <t>COMPRIMENTO</t>
  </si>
  <si>
    <t>=34,00 COMP * 6,00 LARG * 40% * 0,50 ALT = 40,80 M³</t>
  </si>
  <si>
    <t>=34,00 COMP * 6,00 LARG * 40% = 81,60 M²</t>
  </si>
  <si>
    <t>RUA 01 (ATRÁS DA ESCOLA MUNICIPAL DA BOA VISTA) - COORDENADAS: 277516.73 m E 9163899.52 m S</t>
  </si>
  <si>
    <t>RUA 02  - COORDENADAS: 277471.08 m E 9163870.24 m S</t>
  </si>
  <si>
    <t>=55,00 COMP * 6,00 LARG * 20% * 0,50 ALT = 33,00 M³</t>
  </si>
  <si>
    <t>=55,00 COMP * 6,00 LARG * 20% = 66,00 M²</t>
  </si>
  <si>
    <t>RUA 03 - COORDENADAS: 277489.02 m E 9163817.88 m S</t>
  </si>
  <si>
    <t>=30,00 COMP * 6,00 LARG * 20% = 36,00 M²</t>
  </si>
  <si>
    <t>ARRIMO DO CANAL - COORDENADAS: 277482.27 m E 9163842.14 m S</t>
  </si>
  <si>
    <t>PEDRA ARGAMASSADA COM CIMENTO E AREIA 1:3, 40% DE ARGAMASSA EM VOLUME - AREIA E PEDRA DE MÃO COMERCIAIS - FORNECIMENTO E ASSENTAMENTO. AF_08/2022</t>
  </si>
  <si>
    <t>277516.73 m E</t>
  </si>
  <si>
    <t>9163899.52 m S</t>
  </si>
  <si>
    <t>277471.08 m E</t>
  </si>
  <si>
    <t>9163870.24 m S</t>
  </si>
  <si>
    <t>277489.02 m E</t>
  </si>
  <si>
    <t>9163817.88 m S</t>
  </si>
  <si>
    <t>277482.27 m E</t>
  </si>
  <si>
    <t xml:space="preserve"> 9163842.14 m S</t>
  </si>
  <si>
    <t>ASSENTAMENTO DE GUIA (MEIO-FIO) EM TRECHO CURVO, CONFECCIONADA EM CONCRETO PRÉ-FABRICADO, DIMENSÕES 100X15X13X30 CM (COMPRIMENTO X BASE INFERIOR X BASE SUPERIOR X ALTURA). AF_01/2024</t>
  </si>
  <si>
    <t>M</t>
  </si>
  <si>
    <t>5 M LADO ESQUERDO + 5 M LADO DIREITO = 10 M</t>
  </si>
  <si>
    <t>=2,5 COMP * 4,0 LARG = 10,00M²</t>
  </si>
  <si>
    <t>5 M LADO ESQUERDO + 5 M LADO DIREITO = 10 M * 1,5M LARG = 15M²</t>
  </si>
  <si>
    <t>=SOLO DO ITEM 3.1 + PEDRA ARGAMASSADA ITEM 3.10 + AREIA PAV. ITENS 3.5 E 3.2 + PEDRA PARALELEPÍPEDO = 40,80M³+8,18M³+1,14M³+9,30M³+1,3M³= 60,72M³</t>
  </si>
  <si>
    <t>=SOLO DO ITEM 3.1 + PEDRA ARGAMASSADA ITEM 3.10 + AREIA PAV. ITENS 3.5 E 3.2 + PEDRA PARALELEPÍPEDO = ((40,80M³ * 1,6T/M3) + (8,18M³*1,5T/M³) + ((1,14M³+9,30M³)*1,6T/M³) + (1,3M³*1,5T/M³)) 30KM =  96,20T * 30KM = 2886,00 TXKM</t>
  </si>
  <si>
    <t>=6,00 COMP * 3,00 ALT * 0,50 ESP = 9,00M³</t>
  </si>
  <si>
    <t>FORNECIMENTO E INSTALAÇÃO DE PLACA DE OBRA COM CHAPA GALVANIZADA E ESTRUTURA DE MADEIRA. AF_03/2022_PS</t>
  </si>
  <si>
    <t>MODELO DE PLACA DE OBRA PARA SER CONFECCIONADO *ALTERAR OS DADOS ABAIXO*</t>
  </si>
  <si>
    <t>*</t>
  </si>
  <si>
    <t>UTILIZAR DADOS REFERENTE À OBRA</t>
  </si>
  <si>
    <t>**</t>
  </si>
  <si>
    <t>UTILIZAR LOGO DA PREFEITURA MUNICIPAL DE GOIANA</t>
  </si>
  <si>
    <t>= 3,60 COMP * 1,80 LARG = 6,48 M²</t>
  </si>
  <si>
    <t xml:space="preserve"> 90777 </t>
  </si>
  <si>
    <t xml:space="preserve"> 90776 </t>
  </si>
  <si>
    <t xml:space="preserve"> 103689 </t>
  </si>
  <si>
    <t>m²</t>
  </si>
  <si>
    <t xml:space="preserve"> 94316 </t>
  </si>
  <si>
    <t>m³</t>
  </si>
  <si>
    <t xml:space="preserve"> 101169 </t>
  </si>
  <si>
    <t>EXECUÇÃO DE PAVIMENTO EM PARALELEPÍPEDOS, REJUNTAMENTO COM ARGAMASSA TRAÇO 1:3 (CIMENTO E AREIA). AF_05/2020</t>
  </si>
  <si>
    <t xml:space="preserve"> 94274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</si>
  <si>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</si>
  <si>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</si>
  <si>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101852 </t>
  </si>
  <si>
    <t>REASSENTAMENTO DE PARALELEPÍPEDOS, REJUNTAMENTO COM ARGAMASSA, COM REAPROVEITAMENTO DOS PARALELEPÍPEDOS - INCLUSO RETIRADA E COLOCAÇÃO DO MATERIAL. AF_12/2020</t>
  </si>
  <si>
    <t xml:space="preserve"> 100978 </t>
  </si>
  <si>
    <t>CARGA, MANOBRA E DESCARGA DE SOLOS E MATERIAIS GRANULARES EM CAMINHÃO BASCULANTE 10 M³ - CARGA COM ESCAVADEIRA HIDRÁULICA (CAÇAMBA DE 1,20 M³ / 155 HP) E DESCARGA LIVRE (UNIDADE: M3). AF_02/2026</t>
  </si>
  <si>
    <t xml:space="preserve"> 95878 </t>
  </si>
  <si>
    <t>TRANSPORTE COM CAMINHÃO BASCULANTE DE 10 M³, EM VIA URBANA PAVIMENTADA, DMT ATÉ 30 KM (UNIDADE: TXKM). AF_02/2026</t>
  </si>
  <si>
    <t>TXKM</t>
  </si>
  <si>
    <t xml:space="preserve"> 93596 </t>
  </si>
  <si>
    <t>TRANSPORTE COM CAMINHÃO BASCULANTE DE 10 M³, EM VIA URBANA PAVIMENTADA, ADICIONAL PARA DMT EXCEDENTE A 30 KM (UNIDADE: TXKM). AF_02/2026</t>
  </si>
  <si>
    <t xml:space="preserve"> 103800 </t>
  </si>
  <si>
    <t xml:space="preserve">SINAPI - 04/2026 - Pernambuco
ORSE - 02/2026 - Sergipe
SEINFRA - 028 - Ceará
</t>
  </si>
  <si>
    <t>=SOLO DO ITEM 4.1 + AREIA PAV. ITENS 4.5 E 4.2 + PEDRA PARALELEPÍPEDO = 33,00M³+7,52M³+1,14M³+1,3M³= 42,96M³</t>
  </si>
  <si>
    <t>=SOLO DO ITEM 4.1 + AREIA PAV. ITENS 4.5 E 4.2 + PEDRA PARALELEPÍPEDO = ((33,00M³ * 1,6T/M3) + ((1,14M³+7,52M³)*1,6T/M³) + (1,3M³*1,5T/M³)) 30KM =  68,61T * 30KM = 2058,30 TXKM</t>
  </si>
  <si>
    <t>=SOLO DO ITEM 5.1 + AREIA PAV. ITENS 5.5 E 5.2 + PEDRA PARALELEPÍPEDO = ((18,00M³ * 1,6T/M3) + ((1,14M³+4,10M³)*1,6T/M³) + (1,3M³*1,5T/M³)) 30KM =  39,13 T * 30KM = 1.173,90 TXKM</t>
  </si>
  <si>
    <t>OBJETO: RECOMPOSIÇÃO DE PARALELEPÍPEDO E SISTEMAS DE DRENAGEM DO BAIRRO DA BOA VISTA, GOIANA/PE                                                                                    ENDEREÇO:  GOIANA/PE.                             DATA: MAIO/ 2026</t>
  </si>
  <si>
    <t xml:space="preserve">SINAPI - 04/2026 - Pernambuco
ORSE - 02/2026 - Sergipe
SEINFRA - 028 - Ceará           </t>
  </si>
  <si>
    <t>TUBO DE CONCRETO PARA REDES COLETORAS DE ÁGUAS PLUVIAIS, DIÂMETRO DE 800 MM, JUNTA RÍGIDA, INSTALADO EM LOCAL COM ALTO NÍVEL DE INTERFERÊNCIAS - FORNECIMENTO E ASSENTAMENTO. AF_03/2024</t>
  </si>
  <si>
    <t>ALVENARIA DE VEDAÇÃO DE BLOCOS CERÂMICOS FURADOS NA HORIZONTAL DE 9X14X19 CM (ESPESSURA 9 CM) E ARGAMASSA DE ASSENTAMENTO COM PREPARO MANUAL. AF_12/2021</t>
  </si>
  <si>
    <t>ESCAVAÇÃO HORIZONTAL, INCLUINDO CARGA E DESCARGA EM SOLO DE 1A CATEGORIA COM TRATOR DE ESTEIRAS (100HP/LÂMINA: 2,19M3). AF_07/2020</t>
  </si>
  <si>
    <t>=30,00 COMP * 6,00 LARG * 20% * 0,50 ALT = 18,00 M³ + (33,00*0,5*1,5) = 42,75 m³</t>
  </si>
  <si>
    <t>=SOLO DO ITEM 5.1 + AREIA PAV. ITENS 5.5 E 5.2 + PEDRA PARALELEPÍPEDO = 18,00M³+4,10M³+1,14M³+1,3M³= 24,54M³ + 24,75 m³ = 49,29 m³</t>
  </si>
  <si>
    <t>comp 6,00 metros * altura 5,00 metros = 30,00 m²</t>
  </si>
  <si>
    <t>META 01</t>
  </si>
  <si>
    <t>1.1</t>
  </si>
  <si>
    <t>META 02</t>
  </si>
  <si>
    <t>2.1</t>
  </si>
  <si>
    <t>META 03</t>
  </si>
  <si>
    <t>comp rede de drenagem 55,00 m</t>
  </si>
  <si>
    <t>= 55,00 metros de rede * 1,50m alt * 1,50m largura</t>
  </si>
  <si>
    <t xml:space="preserve"> 101124 </t>
  </si>
  <si>
    <t xml:space="preserve"> 103333 </t>
  </si>
  <si>
    <t xml:space="preserve"> 92223 </t>
  </si>
  <si>
    <t xml:space="preserve"> 3.1.2 </t>
  </si>
  <si>
    <t xml:space="preserve"> 3.1.1 </t>
  </si>
  <si>
    <t xml:space="preserve"> 3.1 </t>
  </si>
  <si>
    <t xml:space="preserve"> 2.1.2 </t>
  </si>
  <si>
    <t xml:space="preserve"> 2.1.1 </t>
  </si>
  <si>
    <t xml:space="preserve"> 2.1 </t>
  </si>
  <si>
    <t xml:space="preserve"> 1.1.9 </t>
  </si>
  <si>
    <t xml:space="preserve"> 1.1.8 </t>
  </si>
  <si>
    <t xml:space="preserve"> 1.1.7 </t>
  </si>
  <si>
    <t xml:space="preserve"> 1.1.6 </t>
  </si>
  <si>
    <t xml:space="preserve"> 1.1.5 </t>
  </si>
  <si>
    <t xml:space="preserve"> 1.1.4 </t>
  </si>
  <si>
    <t xml:space="preserve"> 1.1.3 </t>
  </si>
  <si>
    <t xml:space="preserve"> 1.1.2 </t>
  </si>
  <si>
    <t xml:space="preserve"> 1.1.1 </t>
  </si>
  <si>
    <t xml:space="preserve"> 1.1 </t>
  </si>
  <si>
    <t>Não Desonerado: embutido nos preços unitário dos insumos de mão de obra, de acordo com as bases.</t>
  </si>
  <si>
    <t>19,45%</t>
  </si>
  <si>
    <t>SINAPI - 04/2026 - Pernambuco
ORSE - 02/2026 - Sergipe
SEINFRA - 028 - Ceará</t>
  </si>
  <si>
    <t>=1 MÊS * 0,2 HORAS POR DIA * 22 DIAS ÚTEIS NO MÊS</t>
  </si>
  <si>
    <t>=1 MÊS * 2,5 HORAS POR DIA * 22 DIAS ÚTEIS NO MÊS</t>
  </si>
  <si>
    <t>=1 MÊS * 1,5 HORAS POR DIA * 22 DIAS ÚTEIS NO MÊS</t>
  </si>
  <si>
    <t>=1 MÊS * 3,5 HORAS POR DIA * 22 DIAS ÚTEIS NO MÊS</t>
  </si>
  <si>
    <r>
      <t xml:space="preserve">COMPOSIÇÃO BDI </t>
    </r>
    <r>
      <rPr>
        <b/>
        <sz val="12"/>
        <rFont val="Calibri"/>
        <family val="2"/>
      </rPr>
      <t>(NÃO DESONERADO)</t>
    </r>
  </si>
  <si>
    <r>
      <rPr>
        <b/>
        <sz val="11"/>
        <rFont val="Calibri"/>
        <family val="1"/>
      </rPr>
      <t xml:space="preserve">FÓRMULA:
</t>
    </r>
    <r>
      <rPr>
        <sz val="11"/>
        <rFont val="Calibri"/>
        <family val="1"/>
      </rPr>
      <t xml:space="preserve">OBSERVAÇÕES:
Onde:
AC = taxa de rateio da administração central S = taxa representativa de seguros
R = taxa representativa correspondente os riscos e imprevistos G = taxa que representa o ônus das garantias exigidas em edital DF = taxa representativa das despesas financeiras
L = corresponde à remuneração bruta do construtor
I = taxa representativa dos tributos incidentes sobre o preço de venda (PIS, Cofins, CPRB e ISS).
</t>
    </r>
  </si>
  <si>
    <t xml:space="preserve"> 1.1.10</t>
  </si>
  <si>
    <t xml:space="preserve"> 1.1.11</t>
  </si>
  <si>
    <t xml:space="preserve"> 1.1.12</t>
  </si>
  <si>
    <t xml:space="preserve"> 2.1.10</t>
  </si>
  <si>
    <t xml:space="preserve"> 3.1.10</t>
  </si>
  <si>
    <t xml:space="preserve"> 3.1.11</t>
  </si>
  <si>
    <t xml:space="preserve"> 3.1.12</t>
  </si>
  <si>
    <t xml:space="preserve"> 3.1.13</t>
  </si>
  <si>
    <t xml:space="preserve"> 2.1.3</t>
  </si>
  <si>
    <t xml:space="preserve"> 2.1.4</t>
  </si>
  <si>
    <t xml:space="preserve"> 2.1.5</t>
  </si>
  <si>
    <t xml:space="preserve"> 2.1.6</t>
  </si>
  <si>
    <t xml:space="preserve"> 2.1.7</t>
  </si>
  <si>
    <t xml:space="preserve"> 2.1.8</t>
  </si>
  <si>
    <t xml:space="preserve"> 2.1.9</t>
  </si>
  <si>
    <t xml:space="preserve"> 3.1.3</t>
  </si>
  <si>
    <t xml:space="preserve"> 3.1.4</t>
  </si>
  <si>
    <t xml:space="preserve"> 3.1.5</t>
  </si>
  <si>
    <t xml:space="preserve"> 3.1.6</t>
  </si>
  <si>
    <t xml:space="preserve"> 3.1.7</t>
  </si>
  <si>
    <t xml:space="preserve"> 3.1.8</t>
  </si>
  <si>
    <t xml:space="preserve"> 3.1.9</t>
  </si>
  <si>
    <t>cento e quatorze mil, setecentos e cinquenta e um reais e doze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</si>
</sst>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&quot;R$&quot;\ #,##0.00"/>
    <numFmt numFmtId="165" formatCode="0.00000000"/>
  </numFmts>
  <fonts count="33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Calibri"/>
      <family val="1"/>
    </font>
    <font>
      <b/>
      <sz val="11"/>
      <name val="Calibri"/>
      <family val="1"/>
    </font>
    <font>
      <b/>
      <sz val="11"/>
      <color rgb="FF000000"/>
      <name val="Times New Roman"/>
      <family val="1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name val="Arial"/>
      <family val="1"/>
    </font>
    <font>
      <sz val="10"/>
      <color rgb="FFFF0000"/>
      <name val="Times New Roman"/>
      <family val="1"/>
    </font>
    <font>
      <sz val="8"/>
      <name val="Arial"/>
      <family val="1"/>
    </font>
    <font>
      <b/>
      <sz val="11"/>
      <name val="Arial"/>
      <family val="2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FF0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ECF6"/>
      </patternFill>
    </fill>
    <fill>
      <patternFill patternType="solid">
        <fgColor theme="0"/>
        <bgColor rgb="FFFFFFFF"/>
      </patternFill>
    </fill>
    <fill>
      <patternFill patternType="solid">
        <fgColor rgb="FFBFBFBF"/>
      </patternFill>
    </fill>
    <fill>
      <patternFill patternType="solid">
        <fgColor rgb="FFFFFFFF"/>
      </patternFill>
    </fill>
    <fill>
      <patternFill patternType="solid">
        <fgColor theme="0" tint="-0.499984740745262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92D050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9" fontId="10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47">
    <xf numFmtId="0" fontId="0" fillId="0" borderId="0" xfId="0"/>
    <xf numFmtId="0" fontId="6" fillId="11" borderId="0" xfId="0" applyFont="1" applyFill="1" applyAlignment="1">
      <alignment horizontal="center" vertical="top" wrapText="1"/>
    </xf>
    <xf numFmtId="0" fontId="6" fillId="11" borderId="1" xfId="0" applyFont="1" applyFill="1" applyBorder="1" applyAlignment="1">
      <alignment horizontal="left" vertical="top" wrapText="1"/>
    </xf>
    <xf numFmtId="2" fontId="5" fillId="11" borderId="11" xfId="0" applyNumberFormat="1" applyFont="1" applyFill="1" applyBorder="1" applyAlignment="1">
      <alignment horizontal="left" vertical="top" wrapText="1"/>
    </xf>
    <xf numFmtId="2" fontId="5" fillId="11" borderId="11" xfId="0" applyNumberFormat="1" applyFont="1" applyFill="1" applyBorder="1" applyAlignment="1">
      <alignment horizontal="center" vertical="top" wrapText="1"/>
    </xf>
    <xf numFmtId="0" fontId="7" fillId="11" borderId="0" xfId="0" applyFont="1" applyFill="1" applyAlignment="1">
      <alignment horizontal="center" vertical="top" wrapText="1"/>
    </xf>
    <xf numFmtId="0" fontId="6" fillId="11" borderId="0" xfId="0" applyFont="1" applyFill="1" applyAlignment="1">
      <alignment horizontal="left" vertical="top" wrapText="1"/>
    </xf>
    <xf numFmtId="0" fontId="5" fillId="11" borderId="0" xfId="0" applyFont="1" applyFill="1" applyAlignment="1">
      <alignment horizontal="left" vertical="top" wrapText="1"/>
    </xf>
    <xf numFmtId="0" fontId="6" fillId="11" borderId="7" xfId="0" applyFont="1" applyFill="1" applyBorder="1" applyAlignment="1">
      <alignment horizontal="left" vertical="top" wrapText="1"/>
    </xf>
    <xf numFmtId="0" fontId="22" fillId="0" borderId="0" xfId="0" applyFont="1"/>
    <xf numFmtId="0" fontId="9" fillId="4" borderId="10" xfId="0" applyFont="1" applyFill="1" applyBorder="1" applyAlignment="1">
      <alignment horizontal="left" vertical="top" wrapText="1"/>
    </xf>
    <xf numFmtId="0" fontId="9" fillId="6" borderId="11" xfId="0" applyFont="1" applyFill="1" applyBorder="1" applyAlignment="1">
      <alignment horizontal="right" vertical="top" wrapText="1"/>
    </xf>
    <xf numFmtId="0" fontId="9" fillId="4" borderId="11" xfId="0" applyFont="1" applyFill="1" applyBorder="1" applyAlignment="1">
      <alignment horizontal="left" vertical="top" wrapText="1"/>
    </xf>
    <xf numFmtId="0" fontId="9" fillId="6" borderId="9" xfId="0" applyFont="1" applyFill="1" applyBorder="1" applyAlignment="1">
      <alignment horizontal="right" vertical="top" wrapText="1"/>
    </xf>
    <xf numFmtId="0" fontId="9" fillId="11" borderId="11" xfId="0" applyFont="1" applyFill="1" applyBorder="1" applyAlignment="1">
      <alignment horizontal="right" vertical="top" wrapText="1"/>
    </xf>
    <xf numFmtId="0" fontId="9" fillId="6" borderId="12" xfId="0" applyFont="1" applyFill="1" applyBorder="1" applyAlignment="1">
      <alignment horizontal="right" vertical="top" wrapText="1"/>
    </xf>
    <xf numFmtId="0" fontId="20" fillId="0" borderId="0" xfId="0" applyFont="1"/>
    <xf numFmtId="0" fontId="22" fillId="13" borderId="0" xfId="0" applyFont="1" applyFill="1"/>
    <xf numFmtId="0" fontId="9" fillId="7" borderId="9" xfId="0" applyFont="1" applyFill="1" applyBorder="1" applyAlignment="1">
      <alignment horizontal="left" vertical="justify" wrapText="1"/>
    </xf>
    <xf numFmtId="4" fontId="9" fillId="8" borderId="15" xfId="0" applyNumberFormat="1" applyFont="1" applyFill="1" applyBorder="1" applyAlignment="1">
      <alignment horizontal="center" vertical="center" wrapText="1"/>
    </xf>
    <xf numFmtId="4" fontId="9" fillId="9" borderId="9" xfId="0" applyNumberFormat="1" applyFont="1" applyFill="1" applyBorder="1" applyAlignment="1">
      <alignment horizontal="center" vertical="center" wrapText="1"/>
    </xf>
    <xf numFmtId="10" fontId="9" fillId="9" borderId="14" xfId="0" applyNumberFormat="1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wrapText="1"/>
    </xf>
    <xf numFmtId="0" fontId="21" fillId="10" borderId="2" xfId="0" applyFont="1" applyFill="1" applyBorder="1" applyAlignment="1">
      <alignment horizontal="left" vertical="top" wrapText="1"/>
    </xf>
    <xf numFmtId="0" fontId="21" fillId="10" borderId="0" xfId="0" applyFont="1" applyFill="1" applyAlignment="1">
      <alignment horizontal="left" vertical="top" wrapText="1"/>
    </xf>
    <xf numFmtId="0" fontId="9" fillId="5" borderId="11" xfId="0" applyFont="1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5" fillId="11" borderId="0" xfId="0" applyFont="1" applyFill="1" applyAlignment="1">
      <alignment horizontal="center" vertical="center" wrapText="1"/>
    </xf>
    <xf numFmtId="0" fontId="6" fillId="15" borderId="25" xfId="0" applyFont="1" applyFill="1" applyBorder="1" applyAlignment="1">
      <alignment horizontal="center" vertical="center" wrapText="1"/>
    </xf>
    <xf numFmtId="0" fontId="6" fillId="11" borderId="25" xfId="0" applyFont="1" applyFill="1" applyBorder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6" fillId="11" borderId="0" xfId="0" applyFont="1" applyFill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right" vertical="center" wrapText="1"/>
    </xf>
    <xf numFmtId="10" fontId="6" fillId="15" borderId="25" xfId="0" applyNumberFormat="1" applyFont="1" applyFill="1" applyBorder="1" applyAlignment="1">
      <alignment horizontal="center" vertical="center" wrapText="1"/>
    </xf>
    <xf numFmtId="44" fontId="6" fillId="15" borderId="25" xfId="0" applyNumberFormat="1" applyFont="1" applyFill="1" applyBorder="1" applyAlignment="1">
      <alignment horizontal="center" vertical="center" wrapText="1"/>
    </xf>
    <xf numFmtId="10" fontId="6" fillId="11" borderId="25" xfId="0" applyNumberFormat="1" applyFont="1" applyFill="1" applyBorder="1" applyAlignment="1">
      <alignment horizontal="center" vertical="center" wrapText="1"/>
    </xf>
    <xf numFmtId="44" fontId="6" fillId="11" borderId="25" xfId="0" applyNumberFormat="1" applyFont="1" applyFill="1" applyBorder="1" applyAlignment="1">
      <alignment horizontal="center" vertical="center" wrapText="1"/>
    </xf>
    <xf numFmtId="2" fontId="5" fillId="11" borderId="12" xfId="0" applyNumberFormat="1" applyFont="1" applyFill="1" applyBorder="1" applyAlignment="1">
      <alignment horizontal="center" vertical="top" wrapText="1"/>
    </xf>
    <xf numFmtId="10" fontId="5" fillId="0" borderId="1" xfId="0" applyNumberFormat="1" applyFont="1" applyBorder="1" applyAlignment="1">
      <alignment horizontal="center" vertical="top"/>
    </xf>
    <xf numFmtId="0" fontId="6" fillId="11" borderId="1" xfId="0" applyFont="1" applyFill="1" applyBorder="1" applyAlignment="1">
      <alignment horizontal="center" vertical="top" wrapText="1"/>
    </xf>
    <xf numFmtId="2" fontId="0" fillId="0" borderId="0" xfId="0" applyNumberFormat="1"/>
    <xf numFmtId="2" fontId="6" fillId="9" borderId="9" xfId="0" applyNumberFormat="1" applyFont="1" applyFill="1" applyBorder="1" applyAlignment="1">
      <alignment horizontal="left" vertical="top" wrapText="1"/>
    </xf>
    <xf numFmtId="2" fontId="6" fillId="9" borderId="9" xfId="0" applyNumberFormat="1" applyFont="1" applyFill="1" applyBorder="1" applyAlignment="1">
      <alignment horizontal="center" vertical="top" wrapText="1"/>
    </xf>
    <xf numFmtId="2" fontId="6" fillId="9" borderId="14" xfId="0" applyNumberFormat="1" applyFont="1" applyFill="1" applyBorder="1" applyAlignment="1">
      <alignment horizontal="center" vertical="top" wrapText="1"/>
    </xf>
    <xf numFmtId="2" fontId="0" fillId="13" borderId="0" xfId="0" applyNumberFormat="1" applyFill="1"/>
    <xf numFmtId="0" fontId="0" fillId="0" borderId="0" xfId="0" applyAlignment="1">
      <alignment horizontal="center"/>
    </xf>
    <xf numFmtId="0" fontId="6" fillId="11" borderId="1" xfId="0" applyFont="1" applyFill="1" applyBorder="1" applyAlignment="1">
      <alignment horizontal="center" vertical="center" wrapText="1"/>
    </xf>
    <xf numFmtId="0" fontId="6" fillId="14" borderId="25" xfId="0" applyFont="1" applyFill="1" applyBorder="1" applyAlignment="1">
      <alignment horizontal="center" vertical="top" wrapText="1"/>
    </xf>
    <xf numFmtId="0" fontId="6" fillId="14" borderId="25" xfId="0" applyFont="1" applyFill="1" applyBorder="1" applyAlignment="1">
      <alignment horizontal="left" vertical="top" wrapText="1"/>
    </xf>
    <xf numFmtId="4" fontId="6" fillId="14" borderId="25" xfId="0" applyNumberFormat="1" applyFont="1" applyFill="1" applyBorder="1" applyAlignment="1">
      <alignment horizontal="center" vertical="center" wrapText="1"/>
    </xf>
    <xf numFmtId="10" fontId="6" fillId="14" borderId="25" xfId="0" applyNumberFormat="1" applyFont="1" applyFill="1" applyBorder="1" applyAlignment="1">
      <alignment horizontal="center" vertical="center" wrapText="1"/>
    </xf>
    <xf numFmtId="10" fontId="7" fillId="14" borderId="25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0" fontId="6" fillId="14" borderId="25" xfId="0" applyFont="1" applyFill="1" applyBorder="1" applyAlignment="1">
      <alignment horizontal="center" vertical="center" wrapText="1"/>
    </xf>
    <xf numFmtId="44" fontId="6" fillId="14" borderId="25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6" fillId="14" borderId="25" xfId="0" applyFont="1" applyFill="1" applyBorder="1" applyAlignment="1">
      <alignment horizontal="right" vertical="top" wrapText="1"/>
    </xf>
    <xf numFmtId="44" fontId="0" fillId="0" borderId="0" xfId="0" applyNumberFormat="1"/>
    <xf numFmtId="0" fontId="0" fillId="0" borderId="0" xfId="0" applyAlignment="1">
      <alignment horizontal="center" vertical="center"/>
    </xf>
    <xf numFmtId="0" fontId="22" fillId="12" borderId="17" xfId="0" applyFont="1" applyFill="1" applyBorder="1" applyAlignment="1">
      <alignment vertical="center" wrapText="1"/>
    </xf>
    <xf numFmtId="0" fontId="22" fillId="12" borderId="17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9" fillId="13" borderId="5" xfId="0" applyFont="1" applyFill="1" applyBorder="1" applyAlignment="1">
      <alignment horizontal="center" wrapText="1"/>
    </xf>
    <xf numFmtId="0" fontId="9" fillId="13" borderId="6" xfId="0" applyFont="1" applyFill="1" applyBorder="1" applyAlignment="1">
      <alignment horizontal="center" wrapText="1"/>
    </xf>
    <xf numFmtId="0" fontId="9" fillId="10" borderId="1" xfId="0" applyFont="1" applyFill="1" applyBorder="1" applyAlignment="1">
      <alignment horizontal="left" vertical="top" wrapText="1"/>
    </xf>
    <xf numFmtId="2" fontId="0" fillId="0" borderId="9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5" fillId="11" borderId="3" xfId="0" applyFont="1" applyFill="1" applyBorder="1" applyAlignment="1">
      <alignment horizontal="left" vertical="top" wrapText="1"/>
    </xf>
    <xf numFmtId="0" fontId="5" fillId="11" borderId="3" xfId="0" applyFont="1" applyFill="1" applyBorder="1" applyAlignment="1">
      <alignment horizontal="center" vertical="top" wrapText="1"/>
    </xf>
    <xf numFmtId="0" fontId="5" fillId="11" borderId="4" xfId="0" applyFont="1" applyFill="1" applyBorder="1" applyAlignment="1">
      <alignment horizontal="center" vertical="top" wrapText="1"/>
    </xf>
    <xf numFmtId="2" fontId="0" fillId="0" borderId="0" xfId="0" applyNumberFormat="1" applyAlignment="1">
      <alignment horizontal="center" vertical="center"/>
    </xf>
    <xf numFmtId="0" fontId="5" fillId="11" borderId="0" xfId="0" applyFont="1" applyFill="1" applyAlignment="1">
      <alignment horizontal="center" vertical="top" wrapText="1"/>
    </xf>
    <xf numFmtId="0" fontId="29" fillId="0" borderId="0" xfId="0" applyFont="1" applyAlignment="1">
      <alignment horizontal="right"/>
    </xf>
    <xf numFmtId="0" fontId="29" fillId="0" borderId="0" xfId="0" applyFont="1"/>
    <xf numFmtId="0" fontId="30" fillId="19" borderId="27" xfId="0" applyFont="1" applyFill="1" applyBorder="1" applyAlignment="1">
      <alignment horizontal="left" vertical="top" wrapText="1"/>
    </xf>
    <xf numFmtId="0" fontId="30" fillId="19" borderId="27" xfId="0" applyFont="1" applyFill="1" applyBorder="1" applyAlignment="1">
      <alignment horizontal="center" vertical="top" wrapText="1"/>
    </xf>
    <xf numFmtId="0" fontId="30" fillId="19" borderId="27" xfId="0" applyFont="1" applyFill="1" applyBorder="1" applyAlignment="1">
      <alignment horizontal="right" vertical="top" wrapText="1"/>
    </xf>
    <xf numFmtId="4" fontId="30" fillId="19" borderId="27" xfId="0" applyNumberFormat="1" applyFont="1" applyFill="1" applyBorder="1" applyAlignment="1">
      <alignment horizontal="right" vertical="top" wrapText="1"/>
    </xf>
    <xf numFmtId="2" fontId="30" fillId="19" borderId="27" xfId="0" applyNumberFormat="1" applyFont="1" applyFill="1" applyBorder="1" applyAlignment="1">
      <alignment horizontal="right" vertical="top" wrapText="1"/>
    </xf>
    <xf numFmtId="2" fontId="7" fillId="0" borderId="9" xfId="0" applyNumberFormat="1" applyFont="1" applyBorder="1" applyAlignment="1">
      <alignment horizontal="justify" vertical="justify" wrapText="1"/>
    </xf>
    <xf numFmtId="2" fontId="7" fillId="0" borderId="9" xfId="0" applyNumberFormat="1" applyFont="1" applyBorder="1" applyAlignment="1">
      <alignment horizontal="center" vertical="top" wrapText="1"/>
    </xf>
    <xf numFmtId="2" fontId="7" fillId="0" borderId="14" xfId="0" quotePrefix="1" applyNumberFormat="1" applyFont="1" applyBorder="1" applyAlignment="1">
      <alignment horizontal="center" vertical="top" wrapText="1"/>
    </xf>
    <xf numFmtId="4" fontId="7" fillId="0" borderId="9" xfId="0" applyNumberFormat="1" applyFont="1" applyBorder="1" applyAlignment="1">
      <alignment horizontal="center" vertical="center" wrapText="1"/>
    </xf>
    <xf numFmtId="2" fontId="7" fillId="0" borderId="14" xfId="0" quotePrefix="1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 wrapText="1"/>
    </xf>
    <xf numFmtId="0" fontId="32" fillId="11" borderId="3" xfId="0" applyFont="1" applyFill="1" applyBorder="1" applyAlignment="1">
      <alignment horizontal="left" vertical="top" wrapText="1"/>
    </xf>
    <xf numFmtId="0" fontId="22" fillId="11" borderId="1" xfId="0" applyFont="1" applyFill="1" applyBorder="1" applyAlignment="1">
      <alignment horizontal="left" vertical="top" wrapText="1"/>
    </xf>
    <xf numFmtId="2" fontId="32" fillId="11" borderId="11" xfId="0" applyNumberFormat="1" applyFont="1" applyFill="1" applyBorder="1" applyAlignment="1">
      <alignment horizontal="center" vertical="top" wrapText="1"/>
    </xf>
    <xf numFmtId="2" fontId="22" fillId="9" borderId="9" xfId="0" applyNumberFormat="1" applyFont="1" applyFill="1" applyBorder="1" applyAlignment="1">
      <alignment horizontal="center" vertical="top" wrapText="1"/>
    </xf>
    <xf numFmtId="2" fontId="22" fillId="0" borderId="9" xfId="0" applyNumberFormat="1" applyFont="1" applyBorder="1" applyAlignment="1">
      <alignment horizontal="center" vertical="top" wrapText="1"/>
    </xf>
    <xf numFmtId="0" fontId="32" fillId="0" borderId="0" xfId="0" applyFont="1"/>
    <xf numFmtId="2" fontId="7" fillId="12" borderId="14" xfId="0" quotePrefix="1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left" vertical="top" wrapText="1"/>
    </xf>
    <xf numFmtId="0" fontId="30" fillId="19" borderId="48" xfId="0" applyFont="1" applyFill="1" applyBorder="1" applyAlignment="1">
      <alignment horizontal="left" vertical="top" wrapText="1"/>
    </xf>
    <xf numFmtId="0" fontId="5" fillId="11" borderId="4" xfId="0" applyFont="1" applyFill="1" applyBorder="1" applyAlignment="1">
      <alignment horizontal="left" vertical="top" wrapText="1"/>
    </xf>
    <xf numFmtId="10" fontId="6" fillId="11" borderId="7" xfId="0" applyNumberFormat="1" applyFont="1" applyFill="1" applyBorder="1" applyAlignment="1">
      <alignment horizontal="left" vertical="top" wrapText="1"/>
    </xf>
    <xf numFmtId="4" fontId="31" fillId="21" borderId="27" xfId="0" applyNumberFormat="1" applyFont="1" applyFill="1" applyBorder="1" applyAlignment="1">
      <alignment horizontal="right" vertical="top" wrapText="1"/>
    </xf>
    <xf numFmtId="0" fontId="31" fillId="21" borderId="27" xfId="0" applyFont="1" applyFill="1" applyBorder="1" applyAlignment="1">
      <alignment horizontal="center" vertical="top" wrapText="1"/>
    </xf>
    <xf numFmtId="0" fontId="31" fillId="21" borderId="27" xfId="0" applyFont="1" applyFill="1" applyBorder="1" applyAlignment="1">
      <alignment horizontal="left" vertical="top" wrapText="1"/>
    </xf>
    <xf numFmtId="0" fontId="5" fillId="11" borderId="51" xfId="0" applyFont="1" applyFill="1" applyBorder="1" applyAlignment="1">
      <alignment horizontal="left" vertical="top" wrapText="1"/>
    </xf>
    <xf numFmtId="0" fontId="5" fillId="11" borderId="51" xfId="0" applyFont="1" applyFill="1" applyBorder="1" applyAlignment="1">
      <alignment horizontal="right" vertical="top" wrapText="1"/>
    </xf>
    <xf numFmtId="0" fontId="5" fillId="11" borderId="51" xfId="0" applyFont="1" applyFill="1" applyBorder="1" applyAlignment="1">
      <alignment horizontal="center" vertical="top" wrapText="1"/>
    </xf>
    <xf numFmtId="0" fontId="6" fillId="11" borderId="42" xfId="0" applyFont="1" applyFill="1" applyBorder="1" applyAlignment="1">
      <alignment horizontal="left" vertical="top" wrapText="1"/>
    </xf>
    <xf numFmtId="0" fontId="6" fillId="11" borderId="47" xfId="0" applyFont="1" applyFill="1" applyBorder="1" applyAlignment="1">
      <alignment horizontal="left" vertical="top" wrapText="1"/>
    </xf>
    <xf numFmtId="0" fontId="6" fillId="11" borderId="43" xfId="0" applyFont="1" applyFill="1" applyBorder="1" applyAlignment="1">
      <alignment horizontal="left" vertical="top" wrapText="1"/>
    </xf>
    <xf numFmtId="0" fontId="5" fillId="11" borderId="1" xfId="0" applyFont="1" applyFill="1" applyBorder="1" applyAlignment="1">
      <alignment horizontal="left" vertical="top" wrapText="1"/>
    </xf>
    <xf numFmtId="0" fontId="30" fillId="20" borderId="27" xfId="0" applyFont="1" applyFill="1" applyBorder="1" applyAlignment="1">
      <alignment horizontal="left" vertical="top" wrapText="1"/>
    </xf>
    <xf numFmtId="0" fontId="30" fillId="20" borderId="27" xfId="0" applyFont="1" applyFill="1" applyBorder="1" applyAlignment="1">
      <alignment horizontal="center" vertical="top" wrapText="1"/>
    </xf>
    <xf numFmtId="0" fontId="30" fillId="20" borderId="27" xfId="0" applyFont="1" applyFill="1" applyBorder="1" applyAlignment="1">
      <alignment horizontal="right" vertical="top" wrapText="1"/>
    </xf>
    <xf numFmtId="4" fontId="30" fillId="20" borderId="27" xfId="0" applyNumberFormat="1" applyFont="1" applyFill="1" applyBorder="1" applyAlignment="1">
      <alignment horizontal="right" vertical="top" wrapText="1"/>
    </xf>
    <xf numFmtId="0" fontId="5" fillId="11" borderId="50" xfId="0" applyFont="1" applyFill="1" applyBorder="1" applyAlignment="1">
      <alignment horizontal="left" vertical="top" wrapText="1"/>
    </xf>
    <xf numFmtId="0" fontId="5" fillId="11" borderId="52" xfId="0" applyFont="1" applyFill="1" applyBorder="1" applyAlignment="1">
      <alignment horizontal="right" vertical="top" wrapText="1"/>
    </xf>
    <xf numFmtId="0" fontId="30" fillId="20" borderId="48" xfId="0" applyFont="1" applyFill="1" applyBorder="1" applyAlignment="1">
      <alignment horizontal="left" vertical="top" wrapText="1"/>
    </xf>
    <xf numFmtId="0" fontId="31" fillId="21" borderId="48" xfId="0" applyFont="1" applyFill="1" applyBorder="1" applyAlignment="1">
      <alignment horizontal="left" vertical="top" wrapText="1"/>
    </xf>
    <xf numFmtId="0" fontId="7" fillId="11" borderId="5" xfId="0" applyFont="1" applyFill="1" applyBorder="1" applyAlignment="1">
      <alignment horizontal="center" vertical="top" wrapText="1"/>
    </xf>
    <xf numFmtId="0" fontId="7" fillId="11" borderId="6" xfId="0" applyFont="1" applyFill="1" applyBorder="1" applyAlignment="1">
      <alignment horizontal="center" vertical="top" wrapText="1"/>
    </xf>
    <xf numFmtId="0" fontId="32" fillId="11" borderId="2" xfId="0" applyFont="1" applyFill="1" applyBorder="1" applyAlignment="1">
      <alignment horizontal="center" vertical="top" wrapText="1"/>
    </xf>
    <xf numFmtId="0" fontId="22" fillId="11" borderId="5" xfId="0" applyFont="1" applyFill="1" applyBorder="1" applyAlignment="1">
      <alignment horizontal="center" vertical="top" wrapText="1"/>
    </xf>
    <xf numFmtId="2" fontId="22" fillId="0" borderId="13" xfId="0" applyNumberFormat="1" applyFont="1" applyBorder="1" applyAlignment="1">
      <alignment horizontal="center" vertical="top" wrapText="1"/>
    </xf>
    <xf numFmtId="0" fontId="32" fillId="0" borderId="0" xfId="0" applyFont="1" applyAlignment="1">
      <alignment horizontal="center"/>
    </xf>
    <xf numFmtId="2" fontId="29" fillId="11" borderId="10" xfId="0" applyNumberFormat="1" applyFont="1" applyFill="1" applyBorder="1" applyAlignment="1">
      <alignment horizontal="center" vertical="top" wrapText="1"/>
    </xf>
    <xf numFmtId="2" fontId="9" fillId="9" borderId="13" xfId="0" applyNumberFormat="1" applyFont="1" applyFill="1" applyBorder="1" applyAlignment="1">
      <alignment horizontal="center" vertical="top" wrapText="1"/>
    </xf>
    <xf numFmtId="0" fontId="1" fillId="0" borderId="0" xfId="11" applyAlignment="1">
      <alignment horizontal="left" vertical="top"/>
    </xf>
    <xf numFmtId="0" fontId="11" fillId="0" borderId="18" xfId="11" applyFont="1" applyBorder="1" applyAlignment="1">
      <alignment horizontal="center" vertical="top"/>
    </xf>
    <xf numFmtId="0" fontId="1" fillId="0" borderId="9" xfId="11" applyBorder="1" applyAlignment="1">
      <alignment horizontal="left" vertical="top"/>
    </xf>
    <xf numFmtId="0" fontId="18" fillId="0" borderId="41" xfId="11" applyFont="1" applyBorder="1" applyAlignment="1">
      <alignment horizontal="center" vertical="top" wrapText="1"/>
    </xf>
    <xf numFmtId="0" fontId="14" fillId="0" borderId="40" xfId="11" applyFont="1" applyBorder="1" applyAlignment="1">
      <alignment horizontal="left" vertical="top" wrapText="1" indent="7"/>
    </xf>
    <xf numFmtId="0" fontId="18" fillId="0" borderId="36" xfId="11" applyFont="1" applyBorder="1" applyAlignment="1">
      <alignment horizontal="center" vertical="top" wrapText="1"/>
    </xf>
    <xf numFmtId="0" fontId="1" fillId="0" borderId="18" xfId="11" applyBorder="1" applyAlignment="1">
      <alignment horizontal="left" vertical="top"/>
    </xf>
    <xf numFmtId="10" fontId="0" fillId="0" borderId="9" xfId="12" applyNumberFormat="1" applyFont="1" applyFill="1" applyBorder="1" applyAlignment="1">
      <alignment horizontal="left" vertical="top"/>
    </xf>
    <xf numFmtId="0" fontId="17" fillId="0" borderId="31" xfId="11" applyFont="1" applyBorder="1" applyAlignment="1">
      <alignment horizontal="center" vertical="top" wrapText="1"/>
    </xf>
    <xf numFmtId="0" fontId="17" fillId="0" borderId="24" xfId="11" applyFont="1" applyBorder="1" applyAlignment="1">
      <alignment horizontal="left" vertical="top" wrapText="1"/>
    </xf>
    <xf numFmtId="10" fontId="16" fillId="0" borderId="32" xfId="12" applyNumberFormat="1" applyFont="1" applyBorder="1" applyAlignment="1">
      <alignment horizontal="left" vertical="top" indent="2" shrinkToFit="1"/>
    </xf>
    <xf numFmtId="0" fontId="17" fillId="0" borderId="5" xfId="11" applyFont="1" applyBorder="1" applyAlignment="1">
      <alignment horizontal="center" vertical="top" wrapText="1"/>
    </xf>
    <xf numFmtId="0" fontId="17" fillId="0" borderId="33" xfId="11" applyFont="1" applyBorder="1" applyAlignment="1">
      <alignment horizontal="left" vertical="top" wrapText="1"/>
    </xf>
    <xf numFmtId="0" fontId="10" fillId="0" borderId="9" xfId="11" applyFont="1" applyBorder="1" applyAlignment="1">
      <alignment horizontal="left" vertical="top"/>
    </xf>
    <xf numFmtId="0" fontId="27" fillId="0" borderId="9" xfId="11" applyFont="1" applyBorder="1" applyAlignment="1">
      <alignment horizontal="left" vertical="top"/>
    </xf>
    <xf numFmtId="0" fontId="1" fillId="22" borderId="26" xfId="11" applyFill="1" applyBorder="1" applyAlignment="1">
      <alignment horizontal="left" vertical="top"/>
    </xf>
    <xf numFmtId="10" fontId="0" fillId="22" borderId="9" xfId="12" applyNumberFormat="1" applyFont="1" applyFill="1" applyBorder="1" applyAlignment="1">
      <alignment horizontal="left" vertical="top"/>
    </xf>
    <xf numFmtId="10" fontId="23" fillId="22" borderId="9" xfId="12" applyNumberFormat="1" applyFont="1" applyFill="1" applyBorder="1" applyAlignment="1">
      <alignment horizontal="left" vertical="top"/>
    </xf>
    <xf numFmtId="0" fontId="1" fillId="22" borderId="9" xfId="11" applyFill="1" applyBorder="1" applyAlignment="1">
      <alignment horizontal="left" vertical="top"/>
    </xf>
    <xf numFmtId="0" fontId="1" fillId="0" borderId="21" xfId="11" applyBorder="1" applyAlignment="1">
      <alignment horizontal="left" wrapText="1"/>
    </xf>
    <xf numFmtId="0" fontId="1" fillId="0" borderId="34" xfId="11" applyBorder="1" applyAlignment="1">
      <alignment horizontal="left" wrapText="1"/>
    </xf>
    <xf numFmtId="0" fontId="1" fillId="0" borderId="28" xfId="11" applyBorder="1" applyAlignment="1">
      <alignment horizontal="left" wrapText="1"/>
    </xf>
    <xf numFmtId="0" fontId="10" fillId="0" borderId="0" xfId="11" applyFont="1" applyAlignment="1">
      <alignment horizontal="left" vertical="top"/>
    </xf>
    <xf numFmtId="10" fontId="16" fillId="0" borderId="28" xfId="12" applyNumberFormat="1" applyFont="1" applyBorder="1" applyAlignment="1">
      <alignment horizontal="left" vertical="top" indent="2" shrinkToFit="1"/>
    </xf>
    <xf numFmtId="10" fontId="0" fillId="0" borderId="0" xfId="12" applyNumberFormat="1" applyFont="1" applyFill="1" applyBorder="1" applyAlignment="1">
      <alignment horizontal="left" vertical="top"/>
    </xf>
    <xf numFmtId="10" fontId="16" fillId="0" borderId="35" xfId="12" applyNumberFormat="1" applyFont="1" applyBorder="1" applyAlignment="1">
      <alignment horizontal="left" vertical="top" indent="2" shrinkToFit="1"/>
    </xf>
    <xf numFmtId="10" fontId="16" fillId="0" borderId="36" xfId="12" applyNumberFormat="1" applyFont="1" applyBorder="1" applyAlignment="1">
      <alignment horizontal="left" vertical="top" indent="2" shrinkToFit="1"/>
    </xf>
    <xf numFmtId="10" fontId="15" fillId="0" borderId="28" xfId="11" applyNumberFormat="1" applyFont="1" applyBorder="1" applyAlignment="1">
      <alignment horizontal="left" vertical="top" indent="4" shrinkToFit="1"/>
    </xf>
    <xf numFmtId="165" fontId="1" fillId="0" borderId="0" xfId="11" applyNumberFormat="1" applyAlignment="1">
      <alignment horizontal="left" vertical="top"/>
    </xf>
    <xf numFmtId="0" fontId="6" fillId="11" borderId="6" xfId="0" applyFont="1" applyFill="1" applyBorder="1" applyAlignment="1">
      <alignment vertical="top" wrapText="1"/>
    </xf>
    <xf numFmtId="2" fontId="5" fillId="11" borderId="51" xfId="0" applyNumberFormat="1" applyFont="1" applyFill="1" applyBorder="1" applyAlignment="1">
      <alignment horizontal="right" vertical="top" wrapText="1"/>
    </xf>
    <xf numFmtId="2" fontId="30" fillId="20" borderId="27" xfId="0" applyNumberFormat="1" applyFont="1" applyFill="1" applyBorder="1" applyAlignment="1">
      <alignment horizontal="right" vertical="top" wrapText="1"/>
    </xf>
    <xf numFmtId="2" fontId="31" fillId="21" borderId="27" xfId="0" applyNumberFormat="1" applyFont="1" applyFill="1" applyBorder="1" applyAlignment="1">
      <alignment horizontal="right" vertical="top" wrapText="1"/>
    </xf>
    <xf numFmtId="2" fontId="6" fillId="11" borderId="0" xfId="0" applyNumberFormat="1" applyFont="1" applyFill="1" applyAlignment="1">
      <alignment horizontal="center" vertical="top" wrapText="1"/>
    </xf>
    <xf numFmtId="4" fontId="30" fillId="20" borderId="49" xfId="0" applyNumberFormat="1" applyFont="1" applyFill="1" applyBorder="1" applyAlignment="1">
      <alignment horizontal="right" vertical="top" wrapText="1"/>
    </xf>
    <xf numFmtId="4" fontId="30" fillId="19" borderId="49" xfId="0" applyNumberFormat="1" applyFont="1" applyFill="1" applyBorder="1" applyAlignment="1">
      <alignment horizontal="right" vertical="top" wrapText="1"/>
    </xf>
    <xf numFmtId="4" fontId="31" fillId="21" borderId="49" xfId="0" applyNumberFormat="1" applyFont="1" applyFill="1" applyBorder="1" applyAlignment="1">
      <alignment horizontal="right" vertical="top" wrapText="1"/>
    </xf>
    <xf numFmtId="2" fontId="7" fillId="11" borderId="0" xfId="0" applyNumberFormat="1" applyFont="1" applyFill="1" applyAlignment="1">
      <alignment horizontal="center" vertical="top" wrapText="1"/>
    </xf>
    <xf numFmtId="0" fontId="6" fillId="11" borderId="0" xfId="0" applyFont="1" applyFill="1" applyAlignment="1">
      <alignment horizontal="right" vertical="top" wrapText="1"/>
    </xf>
    <xf numFmtId="0" fontId="7" fillId="11" borderId="0" xfId="0" applyFont="1" applyFill="1" applyAlignment="1">
      <alignment horizontal="left" vertical="top" wrapText="1"/>
    </xf>
    <xf numFmtId="4" fontId="6" fillId="11" borderId="0" xfId="0" applyNumberFormat="1" applyFont="1" applyFill="1" applyAlignment="1">
      <alignment vertical="top" wrapText="1"/>
    </xf>
    <xf numFmtId="0" fontId="5" fillId="11" borderId="7" xfId="0" applyFont="1" applyFill="1" applyBorder="1" applyAlignment="1">
      <alignment horizontal="left" vertical="top" wrapText="1"/>
    </xf>
    <xf numFmtId="0" fontId="5" fillId="11" borderId="8" xfId="0" applyFont="1" applyFill="1" applyBorder="1" applyAlignment="1">
      <alignment horizontal="left" vertical="top" wrapText="1"/>
    </xf>
    <xf numFmtId="0" fontId="6" fillId="11" borderId="7" xfId="0" applyFont="1" applyFill="1" applyBorder="1" applyAlignment="1">
      <alignment horizontal="left" vertical="top" wrapText="1"/>
    </xf>
    <xf numFmtId="0" fontId="6" fillId="11" borderId="8" xfId="0" applyFont="1" applyFill="1" applyBorder="1" applyAlignment="1">
      <alignment horizontal="left" vertical="top" wrapText="1"/>
    </xf>
    <xf numFmtId="0" fontId="6" fillId="11" borderId="8" xfId="0" applyFont="1" applyFill="1" applyBorder="1" applyAlignment="1">
      <alignment horizontal="right" vertical="top" wrapText="1"/>
    </xf>
    <xf numFmtId="0" fontId="7" fillId="11" borderId="0" xfId="0" applyFont="1" applyFill="1" applyAlignment="1">
      <alignment horizontal="center" vertical="top" wrapText="1"/>
    </xf>
    <xf numFmtId="0" fontId="0" fillId="0" borderId="0" xfId="0"/>
    <xf numFmtId="0" fontId="5" fillId="11" borderId="42" xfId="0" applyFont="1" applyFill="1" applyBorder="1" applyAlignment="1">
      <alignment horizontal="center" wrapText="1"/>
    </xf>
    <xf numFmtId="0" fontId="0" fillId="0" borderId="47" xfId="0" applyBorder="1"/>
    <xf numFmtId="0" fontId="0" fillId="0" borderId="43" xfId="0" applyBorder="1"/>
    <xf numFmtId="0" fontId="6" fillId="11" borderId="5" xfId="0" applyFont="1" applyFill="1" applyBorder="1" applyAlignment="1">
      <alignment horizontal="right" vertical="top" wrapText="1"/>
    </xf>
    <xf numFmtId="0" fontId="6" fillId="11" borderId="0" xfId="0" applyFont="1" applyFill="1" applyAlignment="1">
      <alignment horizontal="right" vertical="top" wrapText="1"/>
    </xf>
    <xf numFmtId="0" fontId="6" fillId="11" borderId="0" xfId="0" applyFont="1" applyFill="1" applyAlignment="1">
      <alignment horizontal="left" vertical="top" wrapText="1"/>
    </xf>
    <xf numFmtId="44" fontId="6" fillId="11" borderId="7" xfId="6" applyFont="1" applyFill="1" applyBorder="1" applyAlignment="1">
      <alignment horizontal="center" vertical="top" wrapText="1"/>
    </xf>
    <xf numFmtId="44" fontId="6" fillId="11" borderId="8" xfId="6" applyFont="1" applyFill="1" applyBorder="1" applyAlignment="1">
      <alignment horizontal="center" vertical="top" wrapText="1"/>
    </xf>
    <xf numFmtId="0" fontId="6" fillId="11" borderId="7" xfId="0" applyFont="1" applyFill="1" applyBorder="1" applyAlignment="1">
      <alignment horizontal="center" vertical="top" wrapText="1"/>
    </xf>
    <xf numFmtId="0" fontId="6" fillId="11" borderId="16" xfId="0" applyFont="1" applyFill="1" applyBorder="1" applyAlignment="1">
      <alignment horizontal="center" vertical="top" wrapText="1"/>
    </xf>
    <xf numFmtId="0" fontId="6" fillId="11" borderId="8" xfId="0" applyFont="1" applyFill="1" applyBorder="1" applyAlignment="1">
      <alignment horizontal="center" vertical="top" wrapText="1"/>
    </xf>
    <xf numFmtId="0" fontId="1" fillId="0" borderId="7" xfId="11" applyBorder="1" applyAlignment="1">
      <alignment horizontal="left" vertical="top" wrapText="1"/>
    </xf>
    <xf numFmtId="0" fontId="1" fillId="0" borderId="16" xfId="11" applyBorder="1" applyAlignment="1">
      <alignment horizontal="left" vertical="top"/>
    </xf>
    <xf numFmtId="0" fontId="1" fillId="0" borderId="8" xfId="11" applyBorder="1" applyAlignment="1">
      <alignment horizontal="left" vertical="top"/>
    </xf>
    <xf numFmtId="0" fontId="26" fillId="17" borderId="2" xfId="11" applyFont="1" applyFill="1" applyBorder="1" applyAlignment="1">
      <alignment horizontal="left" vertical="center" wrapText="1"/>
    </xf>
    <xf numFmtId="0" fontId="26" fillId="17" borderId="4" xfId="11" applyFont="1" applyFill="1" applyBorder="1" applyAlignment="1">
      <alignment horizontal="left" vertical="center" wrapText="1"/>
    </xf>
    <xf numFmtId="0" fontId="26" fillId="17" borderId="5" xfId="11" applyFont="1" applyFill="1" applyBorder="1" applyAlignment="1">
      <alignment horizontal="left" vertical="center" wrapText="1"/>
    </xf>
    <xf numFmtId="0" fontId="26" fillId="17" borderId="6" xfId="11" applyFont="1" applyFill="1" applyBorder="1" applyAlignment="1">
      <alignment horizontal="left" vertical="center" wrapText="1"/>
    </xf>
    <xf numFmtId="0" fontId="26" fillId="17" borderId="42" xfId="11" applyFont="1" applyFill="1" applyBorder="1" applyAlignment="1">
      <alignment horizontal="left" vertical="center" wrapText="1"/>
    </xf>
    <xf numFmtId="0" fontId="26" fillId="17" borderId="43" xfId="11" applyFont="1" applyFill="1" applyBorder="1" applyAlignment="1">
      <alignment horizontal="left" vertical="center" wrapText="1"/>
    </xf>
    <xf numFmtId="0" fontId="18" fillId="16" borderId="29" xfId="11" applyFont="1" applyFill="1" applyBorder="1" applyAlignment="1">
      <alignment horizontal="left" vertical="top" wrapText="1"/>
    </xf>
    <xf numFmtId="0" fontId="18" fillId="16" borderId="22" xfId="11" applyFont="1" applyFill="1" applyBorder="1" applyAlignment="1">
      <alignment horizontal="left" vertical="top" wrapText="1"/>
    </xf>
    <xf numFmtId="0" fontId="18" fillId="16" borderId="30" xfId="11" applyFont="1" applyFill="1" applyBorder="1" applyAlignment="1">
      <alignment horizontal="left" vertical="top" wrapText="1"/>
    </xf>
    <xf numFmtId="0" fontId="17" fillId="0" borderId="31" xfId="11" applyFont="1" applyBorder="1" applyAlignment="1">
      <alignment horizontal="left" vertical="top" wrapText="1" indent="12"/>
    </xf>
    <xf numFmtId="0" fontId="17" fillId="0" borderId="24" xfId="11" applyFont="1" applyBorder="1" applyAlignment="1">
      <alignment horizontal="left" vertical="top" wrapText="1" indent="12"/>
    </xf>
    <xf numFmtId="0" fontId="17" fillId="0" borderId="5" xfId="11" applyFont="1" applyBorder="1" applyAlignment="1">
      <alignment horizontal="left" vertical="top" wrapText="1" indent="12"/>
    </xf>
    <xf numFmtId="0" fontId="17" fillId="0" borderId="33" xfId="11" applyFont="1" applyBorder="1" applyAlignment="1">
      <alignment horizontal="left" vertical="top" wrapText="1" indent="12"/>
    </xf>
    <xf numFmtId="0" fontId="13" fillId="0" borderId="5" xfId="11" applyFont="1" applyBorder="1" applyAlignment="1">
      <alignment horizontal="left" vertical="top" wrapText="1" indent="12"/>
    </xf>
    <xf numFmtId="0" fontId="1" fillId="0" borderId="21" xfId="11" applyBorder="1" applyAlignment="1">
      <alignment horizontal="left" wrapText="1"/>
    </xf>
    <xf numFmtId="0" fontId="1" fillId="0" borderId="34" xfId="11" applyBorder="1" applyAlignment="1">
      <alignment horizontal="left" wrapText="1"/>
    </xf>
    <xf numFmtId="0" fontId="17" fillId="0" borderId="31" xfId="11" applyFont="1" applyBorder="1" applyAlignment="1">
      <alignment horizontal="center" vertical="top" wrapText="1"/>
    </xf>
    <xf numFmtId="0" fontId="17" fillId="0" borderId="21" xfId="11" applyFont="1" applyBorder="1" applyAlignment="1">
      <alignment horizontal="center" vertical="top" wrapText="1"/>
    </xf>
    <xf numFmtId="0" fontId="17" fillId="0" borderId="24" xfId="11" applyFont="1" applyBorder="1" applyAlignment="1">
      <alignment horizontal="left" vertical="top" wrapText="1"/>
    </xf>
    <xf numFmtId="0" fontId="17" fillId="0" borderId="34" xfId="11" applyFont="1" applyBorder="1" applyAlignment="1">
      <alignment horizontal="left" vertical="top" wrapText="1"/>
    </xf>
    <xf numFmtId="0" fontId="14" fillId="16" borderId="29" xfId="11" applyFont="1" applyFill="1" applyBorder="1" applyAlignment="1">
      <alignment horizontal="right" vertical="top" wrapText="1"/>
    </xf>
    <xf numFmtId="0" fontId="14" fillId="16" borderId="23" xfId="11" applyFont="1" applyFill="1" applyBorder="1" applyAlignment="1">
      <alignment horizontal="right" vertical="top" wrapText="1"/>
    </xf>
    <xf numFmtId="0" fontId="13" fillId="0" borderId="37" xfId="11" applyFont="1" applyBorder="1" applyAlignment="1">
      <alignment horizontal="left" vertical="top" wrapText="1"/>
    </xf>
    <xf numFmtId="0" fontId="1" fillId="0" borderId="38" xfId="11" applyBorder="1" applyAlignment="1">
      <alignment horizontal="left" vertical="top" wrapText="1"/>
    </xf>
    <xf numFmtId="0" fontId="1" fillId="0" borderId="39" xfId="11" applyBorder="1" applyAlignment="1">
      <alignment horizontal="left" vertical="top" wrapText="1"/>
    </xf>
    <xf numFmtId="0" fontId="24" fillId="0" borderId="10" xfId="11" applyFont="1" applyBorder="1" applyAlignment="1">
      <alignment horizontal="center" vertical="center"/>
    </xf>
    <xf numFmtId="0" fontId="25" fillId="0" borderId="11" xfId="11" applyFont="1" applyBorder="1" applyAlignment="1">
      <alignment horizontal="center" vertical="center"/>
    </xf>
    <xf numFmtId="0" fontId="25" fillId="0" borderId="12" xfId="11" applyFont="1" applyBorder="1" applyAlignment="1">
      <alignment horizontal="center" vertical="center"/>
    </xf>
    <xf numFmtId="0" fontId="1" fillId="0" borderId="53" xfId="11" applyBorder="1" applyAlignment="1">
      <alignment horizontal="center" vertical="top"/>
    </xf>
    <xf numFmtId="0" fontId="1" fillId="0" borderId="19" xfId="11" applyBorder="1" applyAlignment="1">
      <alignment horizontal="center" vertical="top"/>
    </xf>
    <xf numFmtId="0" fontId="10" fillId="0" borderId="9" xfId="11" applyFont="1" applyBorder="1" applyAlignment="1">
      <alignment horizontal="center" vertical="top"/>
    </xf>
    <xf numFmtId="0" fontId="1" fillId="0" borderId="9" xfId="11" applyBorder="1" applyAlignment="1">
      <alignment horizontal="center" vertical="top"/>
    </xf>
    <xf numFmtId="0" fontId="18" fillId="0" borderId="42" xfId="11" applyFont="1" applyBorder="1" applyAlignment="1">
      <alignment horizontal="center" vertical="top" wrapText="1"/>
    </xf>
    <xf numFmtId="0" fontId="18" fillId="0" borderId="16" xfId="11" applyFont="1" applyBorder="1" applyAlignment="1">
      <alignment horizontal="center" vertical="top" wrapText="1"/>
    </xf>
    <xf numFmtId="0" fontId="18" fillId="0" borderId="8" xfId="11" applyFont="1" applyBorder="1" applyAlignment="1">
      <alignment horizontal="center" vertical="top" wrapText="1"/>
    </xf>
    <xf numFmtId="0" fontId="6" fillId="11" borderId="25" xfId="0" applyFont="1" applyFill="1" applyBorder="1" applyAlignment="1">
      <alignment horizontal="left" vertical="top" wrapText="1"/>
    </xf>
    <xf numFmtId="0" fontId="5" fillId="11" borderId="0" xfId="0" applyFont="1" applyFill="1" applyAlignment="1">
      <alignment horizontal="center" wrapText="1"/>
    </xf>
    <xf numFmtId="0" fontId="6" fillId="15" borderId="25" xfId="0" applyFont="1" applyFill="1" applyBorder="1" applyAlignment="1">
      <alignment horizontal="left" vertical="top" wrapText="1"/>
    </xf>
    <xf numFmtId="0" fontId="5" fillId="11" borderId="5" xfId="0" applyFont="1" applyFill="1" applyBorder="1" applyAlignment="1">
      <alignment horizontal="center" wrapText="1"/>
    </xf>
    <xf numFmtId="0" fontId="0" fillId="0" borderId="6" xfId="0" applyBorder="1"/>
    <xf numFmtId="0" fontId="22" fillId="12" borderId="44" xfId="0" applyFont="1" applyFill="1" applyBorder="1" applyAlignment="1">
      <alignment horizontal="center" vertical="center" wrapText="1"/>
    </xf>
    <xf numFmtId="0" fontId="22" fillId="12" borderId="45" xfId="0" applyFont="1" applyFill="1" applyBorder="1" applyAlignment="1">
      <alignment horizontal="center" vertical="center" wrapText="1"/>
    </xf>
    <xf numFmtId="0" fontId="22" fillId="12" borderId="46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right" vertical="center" wrapText="1"/>
    </xf>
    <xf numFmtId="0" fontId="22" fillId="12" borderId="17" xfId="0" applyFont="1" applyFill="1" applyBorder="1" applyAlignment="1">
      <alignment horizontal="left" vertical="center" wrapText="1"/>
    </xf>
    <xf numFmtId="0" fontId="22" fillId="12" borderId="20" xfId="0" applyFont="1" applyFill="1" applyBorder="1" applyAlignment="1">
      <alignment horizontal="left" vertical="center" wrapText="1"/>
    </xf>
    <xf numFmtId="0" fontId="22" fillId="12" borderId="19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wrapText="1"/>
    </xf>
    <xf numFmtId="0" fontId="22" fillId="0" borderId="0" xfId="0" applyFont="1"/>
    <xf numFmtId="0" fontId="22" fillId="0" borderId="6" xfId="0" applyFont="1" applyBorder="1"/>
    <xf numFmtId="0" fontId="9" fillId="2" borderId="3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9" fillId="10" borderId="8" xfId="0" applyFont="1" applyFill="1" applyBorder="1" applyAlignment="1">
      <alignment horizontal="left" vertical="top" wrapText="1"/>
    </xf>
    <xf numFmtId="10" fontId="9" fillId="10" borderId="7" xfId="0" applyNumberFormat="1" applyFont="1" applyFill="1" applyBorder="1" applyAlignment="1">
      <alignment horizontal="left" vertical="top" wrapText="1"/>
    </xf>
    <xf numFmtId="0" fontId="9" fillId="10" borderId="16" xfId="0" applyFont="1" applyFill="1" applyBorder="1" applyAlignment="1">
      <alignment horizontal="left" vertical="top" wrapText="1"/>
    </xf>
  </cellXfs>
  <cellStyles count="13">
    <cellStyle name="Moeda" xfId="6" builtinId="4"/>
    <cellStyle name="Normal" xfId="0" builtinId="0"/>
    <cellStyle name="Normal 2" xfId="2" xr:uid="{00000000-0005-0000-0000-000001000000}"/>
    <cellStyle name="Normal 2 2" xfId="7" xr:uid="{E8B4BBBD-8D79-4A95-B12F-B290B9996A7A}"/>
    <cellStyle name="Normal 3" xfId="4" xr:uid="{198F1B36-3C65-43FF-A44F-AC9BFC050C53}"/>
    <cellStyle name="Normal 3 2" xfId="9" xr:uid="{44C154CB-16FD-4C4E-8BB0-8EF176803145}"/>
    <cellStyle name="Normal 4" xfId="11" xr:uid="{F80766F2-E532-4E92-857B-FB9B797ECA5A}"/>
    <cellStyle name="Porcentagem 2" xfId="1" xr:uid="{00000000-0005-0000-0000-000003000000}"/>
    <cellStyle name="Porcentagem 3" xfId="3" xr:uid="{00000000-0005-0000-0000-000004000000}"/>
    <cellStyle name="Porcentagem 3 2" xfId="8" xr:uid="{EB67E94E-3C23-4D0C-A5FB-03DB21329B33}"/>
    <cellStyle name="Porcentagem 4" xfId="5" xr:uid="{9E8E465C-E8FA-45CE-B2F6-9FD08369E354}"/>
    <cellStyle name="Porcentagem 4 2" xfId="10" xr:uid="{304FBD0D-EA7A-4552-B242-AAD622278E9C}"/>
    <cellStyle name="Porcentagem 5" xfId="12" xr:uid="{CEA944AE-91E1-4F2D-A887-FF3627621F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3.png"/><Relationship Id="rId2" Type="http://schemas.openxmlformats.org/officeDocument/2006/relationships/image" Target="../media/image4.jpeg"/><Relationship Id="rId1" Type="http://schemas.openxmlformats.org/officeDocument/2006/relationships/image" Target="../media/image3.jpg"/><Relationship Id="rId6" Type="http://schemas.openxmlformats.org/officeDocument/2006/relationships/image" Target="../media/image8.jpeg"/><Relationship Id="rId11" Type="http://schemas.openxmlformats.org/officeDocument/2006/relationships/image" Target="../media/image1.jpg"/><Relationship Id="rId5" Type="http://schemas.openxmlformats.org/officeDocument/2006/relationships/image" Target="../media/image7.pn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224117</xdr:colOff>
      <xdr:row>1</xdr:row>
      <xdr:rowOff>934757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62A8A1-6053-45B2-B4AC-877FC0A2AC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762000" y="190500"/>
          <a:ext cx="986117" cy="9347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23</xdr:row>
      <xdr:rowOff>76200</xdr:rowOff>
    </xdr:from>
    <xdr:ext cx="2913519" cy="415195"/>
    <xdr:pic>
      <xdr:nvPicPr>
        <xdr:cNvPr id="2" name="image1.jpeg">
          <a:extLst>
            <a:ext uri="{FF2B5EF4-FFF2-40B4-BE49-F238E27FC236}">
              <a16:creationId xmlns:a16="http://schemas.microsoft.com/office/drawing/2014/main" id="{828B81CA-E031-45EE-AD56-47B045B81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5181600"/>
          <a:ext cx="2913519" cy="415195"/>
        </a:xfrm>
        <a:prstGeom prst="rect">
          <a:avLst/>
        </a:prstGeom>
      </xdr:spPr>
    </xdr:pic>
    <xdr:clientData/>
  </xdr:oneCellAnchor>
  <xdr:twoCellAnchor editAs="oneCell">
    <xdr:from>
      <xdr:col>0</xdr:col>
      <xdr:colOff>215348</xdr:colOff>
      <xdr:row>1</xdr:row>
      <xdr:rowOff>82826</xdr:rowOff>
    </xdr:from>
    <xdr:to>
      <xdr:col>0</xdr:col>
      <xdr:colOff>1201465</xdr:colOff>
      <xdr:row>4</xdr:row>
      <xdr:rowOff>139627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873B6B7-C425-4C2E-88CD-BDF6BB45D3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215348" y="389283"/>
          <a:ext cx="986117" cy="9347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19050</xdr:rowOff>
    </xdr:from>
    <xdr:to>
      <xdr:col>0</xdr:col>
      <xdr:colOff>1290917</xdr:colOff>
      <xdr:row>1</xdr:row>
      <xdr:rowOff>953807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597B9D3-9D0B-4A98-959D-9B4C7E12B5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304800" y="219075"/>
          <a:ext cx="986117" cy="9347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1</xdr:row>
      <xdr:rowOff>0</xdr:rowOff>
    </xdr:from>
    <xdr:to>
      <xdr:col>0</xdr:col>
      <xdr:colOff>1210235</xdr:colOff>
      <xdr:row>1</xdr:row>
      <xdr:rowOff>934757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79C32FB-3BFB-486C-A84E-6759F60826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224118" y="201706"/>
          <a:ext cx="986117" cy="9347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5</xdr:row>
      <xdr:rowOff>0</xdr:rowOff>
    </xdr:from>
    <xdr:to>
      <xdr:col>12</xdr:col>
      <xdr:colOff>304800</xdr:colOff>
      <xdr:row>5</xdr:row>
      <xdr:rowOff>304800</xdr:rowOff>
    </xdr:to>
    <xdr:sp macro="" textlink="">
      <xdr:nvSpPr>
        <xdr:cNvPr id="6145" name="AutoShape 1">
          <a:extLst>
            <a:ext uri="{FF2B5EF4-FFF2-40B4-BE49-F238E27FC236}">
              <a16:creationId xmlns:a16="http://schemas.microsoft.com/office/drawing/2014/main" id="{8A199CE6-1A5A-851A-C9FA-569F19596CE7}"/>
            </a:ext>
          </a:extLst>
        </xdr:cNvPr>
        <xdr:cNvSpPr>
          <a:spLocks noChangeAspect="1" noChangeArrowheads="1"/>
        </xdr:cNvSpPr>
      </xdr:nvSpPr>
      <xdr:spPr bwMode="auto">
        <a:xfrm>
          <a:off x="14344650" y="203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365125</xdr:colOff>
      <xdr:row>16</xdr:row>
      <xdr:rowOff>142875</xdr:rowOff>
    </xdr:from>
    <xdr:to>
      <xdr:col>8</xdr:col>
      <xdr:colOff>9525</xdr:colOff>
      <xdr:row>16</xdr:row>
      <xdr:rowOff>5018616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25C4CE0-B151-45D5-157F-B254D1BD0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5125" y="19304000"/>
          <a:ext cx="7772400" cy="4875741"/>
        </a:xfrm>
        <a:prstGeom prst="rect">
          <a:avLst/>
        </a:prstGeom>
      </xdr:spPr>
    </xdr:pic>
    <xdr:clientData/>
  </xdr:twoCellAnchor>
  <xdr:twoCellAnchor editAs="oneCell">
    <xdr:from>
      <xdr:col>0</xdr:col>
      <xdr:colOff>158748</xdr:colOff>
      <xdr:row>5</xdr:row>
      <xdr:rowOff>95249</xdr:rowOff>
    </xdr:from>
    <xdr:to>
      <xdr:col>3</xdr:col>
      <xdr:colOff>1218748</xdr:colOff>
      <xdr:row>5</xdr:row>
      <xdr:rowOff>2957688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D0B3B69A-BF94-8692-4A19-BBFF027C9A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31" r="6826"/>
        <a:stretch>
          <a:fillRect/>
        </a:stretch>
      </xdr:blipFill>
      <xdr:spPr>
        <a:xfrm>
          <a:off x="158748" y="2143124"/>
          <a:ext cx="3600000" cy="2862439"/>
        </a:xfrm>
        <a:prstGeom prst="rect">
          <a:avLst/>
        </a:prstGeom>
      </xdr:spPr>
    </xdr:pic>
    <xdr:clientData/>
  </xdr:twoCellAnchor>
  <xdr:twoCellAnchor editAs="oneCell">
    <xdr:from>
      <xdr:col>3</xdr:col>
      <xdr:colOff>1349374</xdr:colOff>
      <xdr:row>5</xdr:row>
      <xdr:rowOff>222250</xdr:rowOff>
    </xdr:from>
    <xdr:to>
      <xdr:col>4</xdr:col>
      <xdr:colOff>377374</xdr:colOff>
      <xdr:row>5</xdr:row>
      <xdr:rowOff>2787684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2BFE049E-DE63-CD44-6EE8-42FD737E26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65" r="9601"/>
        <a:stretch>
          <a:fillRect/>
        </a:stretch>
      </xdr:blipFill>
      <xdr:spPr>
        <a:xfrm>
          <a:off x="3889374" y="2270125"/>
          <a:ext cx="3600000" cy="2565434"/>
        </a:xfrm>
        <a:prstGeom prst="rect">
          <a:avLst/>
        </a:prstGeom>
      </xdr:spPr>
    </xdr:pic>
    <xdr:clientData/>
  </xdr:twoCellAnchor>
  <xdr:twoCellAnchor editAs="oneCell">
    <xdr:from>
      <xdr:col>5</xdr:col>
      <xdr:colOff>158750</xdr:colOff>
      <xdr:row>5</xdr:row>
      <xdr:rowOff>174625</xdr:rowOff>
    </xdr:from>
    <xdr:to>
      <xdr:col>8</xdr:col>
      <xdr:colOff>806000</xdr:colOff>
      <xdr:row>5</xdr:row>
      <xdr:rowOff>2898361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2E8CE8C6-F378-377C-4294-67721666F9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20" r="15033"/>
        <a:stretch>
          <a:fillRect/>
        </a:stretch>
      </xdr:blipFill>
      <xdr:spPr>
        <a:xfrm>
          <a:off x="7874000" y="2222500"/>
          <a:ext cx="3600000" cy="2723736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14</xdr:row>
      <xdr:rowOff>95250</xdr:rowOff>
    </xdr:from>
    <xdr:to>
      <xdr:col>3</xdr:col>
      <xdr:colOff>2205634</xdr:colOff>
      <xdr:row>14</xdr:row>
      <xdr:rowOff>2735047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4A620120-AE9B-60DB-241C-B87C5A8B2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500" y="12779375"/>
          <a:ext cx="4682134" cy="2639797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8</xdr:row>
      <xdr:rowOff>63500</xdr:rowOff>
    </xdr:from>
    <xdr:to>
      <xdr:col>3</xdr:col>
      <xdr:colOff>1091750</xdr:colOff>
      <xdr:row>8</xdr:row>
      <xdr:rowOff>2763500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BF8332A9-03C2-E0A0-C43E-E1E128D6A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5730875"/>
          <a:ext cx="3600000" cy="27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1238250</xdr:colOff>
      <xdr:row>8</xdr:row>
      <xdr:rowOff>63500</xdr:rowOff>
    </xdr:from>
    <xdr:to>
      <xdr:col>4</xdr:col>
      <xdr:colOff>266250</xdr:colOff>
      <xdr:row>8</xdr:row>
      <xdr:rowOff>2763500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96DFE0C4-A236-9E0B-3042-69ECA4BDB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8250" y="5730875"/>
          <a:ext cx="3600000" cy="27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8</xdr:row>
      <xdr:rowOff>47625</xdr:rowOff>
    </xdr:from>
    <xdr:to>
      <xdr:col>8</xdr:col>
      <xdr:colOff>742500</xdr:colOff>
      <xdr:row>8</xdr:row>
      <xdr:rowOff>2747625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E625AD3A-E30E-2A17-9D77-729087ECE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5715000"/>
          <a:ext cx="3600000" cy="27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79375</xdr:colOff>
      <xdr:row>11</xdr:row>
      <xdr:rowOff>63500</xdr:rowOff>
    </xdr:from>
    <xdr:to>
      <xdr:col>3</xdr:col>
      <xdr:colOff>1139375</xdr:colOff>
      <xdr:row>11</xdr:row>
      <xdr:rowOff>2763500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93BA9193-0B19-27D9-F437-FC27D80C7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75" y="9239250"/>
          <a:ext cx="3600000" cy="27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1508125</xdr:colOff>
      <xdr:row>11</xdr:row>
      <xdr:rowOff>79375</xdr:rowOff>
    </xdr:from>
    <xdr:to>
      <xdr:col>4</xdr:col>
      <xdr:colOff>536125</xdr:colOff>
      <xdr:row>11</xdr:row>
      <xdr:rowOff>2779375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389C7472-9484-696A-48F6-BDAFC4693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25" y="9255125"/>
          <a:ext cx="3600000" cy="27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95250</xdr:rowOff>
    </xdr:from>
    <xdr:to>
      <xdr:col>1</xdr:col>
      <xdr:colOff>271742</xdr:colOff>
      <xdr:row>1</xdr:row>
      <xdr:rowOff>855382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6E42F88-1750-451C-BB6C-04FE7A978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47625" y="95250"/>
          <a:ext cx="986117" cy="934757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190499</xdr:colOff>
      <xdr:row>11</xdr:row>
      <xdr:rowOff>158749</xdr:rowOff>
    </xdr:from>
    <xdr:to>
      <xdr:col>9</xdr:col>
      <xdr:colOff>910166</xdr:colOff>
      <xdr:row>11</xdr:row>
      <xdr:rowOff>2778124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671BBA7-1C56-F83F-2A69-A55A1726B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905749" y="9334499"/>
          <a:ext cx="4656667" cy="26193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795620</xdr:colOff>
      <xdr:row>3</xdr:row>
      <xdr:rowOff>123267</xdr:rowOff>
    </xdr:from>
    <xdr:to>
      <xdr:col>4</xdr:col>
      <xdr:colOff>3104031</xdr:colOff>
      <xdr:row>34</xdr:row>
      <xdr:rowOff>148823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7F1133E-CF9A-4319-8BF2-29713C293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620" y="1504392"/>
          <a:ext cx="10480861" cy="5635781"/>
        </a:xfrm>
        <a:prstGeom prst="rect">
          <a:avLst/>
        </a:prstGeom>
      </xdr:spPr>
    </xdr:pic>
    <xdr:clientData/>
  </xdr:twoCellAnchor>
  <xdr:twoCellAnchor>
    <xdr:from>
      <xdr:col>1</xdr:col>
      <xdr:colOff>2028265</xdr:colOff>
      <xdr:row>27</xdr:row>
      <xdr:rowOff>67236</xdr:rowOff>
    </xdr:from>
    <xdr:to>
      <xdr:col>2</xdr:col>
      <xdr:colOff>78442</xdr:colOff>
      <xdr:row>32</xdr:row>
      <xdr:rowOff>89647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11CA0279-7B86-47AD-BFA3-808D595F80BA}"/>
            </a:ext>
          </a:extLst>
        </xdr:cNvPr>
        <xdr:cNvSpPr/>
      </xdr:nvSpPr>
      <xdr:spPr>
        <a:xfrm>
          <a:off x="3323665" y="5791761"/>
          <a:ext cx="2622177" cy="92728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1042148</xdr:colOff>
      <xdr:row>26</xdr:row>
      <xdr:rowOff>56031</xdr:rowOff>
    </xdr:from>
    <xdr:to>
      <xdr:col>3</xdr:col>
      <xdr:colOff>369795</xdr:colOff>
      <xdr:row>34</xdr:row>
      <xdr:rowOff>9691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0FC0028-0512-4BD5-A299-B2A0C75A0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548" y="5599581"/>
          <a:ext cx="5004547" cy="1401460"/>
        </a:xfrm>
        <a:prstGeom prst="rect">
          <a:avLst/>
        </a:prstGeom>
      </xdr:spPr>
    </xdr:pic>
    <xdr:clientData/>
  </xdr:twoCellAnchor>
  <xdr:twoCellAnchor editAs="oneCell">
    <xdr:from>
      <xdr:col>0</xdr:col>
      <xdr:colOff>156883</xdr:colOff>
      <xdr:row>0</xdr:row>
      <xdr:rowOff>190501</xdr:rowOff>
    </xdr:from>
    <xdr:to>
      <xdr:col>0</xdr:col>
      <xdr:colOff>1143000</xdr:colOff>
      <xdr:row>1</xdr:row>
      <xdr:rowOff>923552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DEF8BB0-DEFE-4038-A454-46FB7CA8BE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" r="90817" b="1"/>
        <a:stretch>
          <a:fillRect/>
        </a:stretch>
      </xdr:blipFill>
      <xdr:spPr>
        <a:xfrm>
          <a:off x="156883" y="190501"/>
          <a:ext cx="986117" cy="9330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st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 Desonerado"/>
    </sheetNames>
    <sheetDataSet>
      <sheetData sheetId="0">
        <row r="4">
          <cell r="D4" t="str">
            <v>Descrição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90558-312B-4BCF-8F16-DCE88E65D2AC}">
  <sheetPr>
    <pageSetUpPr fitToPage="1"/>
  </sheetPr>
  <dimension ref="A1:I51"/>
  <sheetViews>
    <sheetView tabSelected="1" showWhiteSpace="0" topLeftCell="A33" zoomScale="85" zoomScaleNormal="85" workbookViewId="0">
      <selection activeCell="L39" sqref="L39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style="44" bestFit="1" customWidth="1"/>
    <col min="7" max="8" width="13" bestFit="1" customWidth="1"/>
    <col min="9" max="9" width="17" bestFit="1" customWidth="1"/>
    <col min="10" max="10" width="13.125" bestFit="1" customWidth="1"/>
  </cols>
  <sheetData>
    <row r="1" spans="1:9" ht="15.75" thickBot="1" x14ac:dyDescent="0.25">
      <c r="A1" s="97"/>
      <c r="B1" s="72"/>
      <c r="C1" s="99"/>
      <c r="D1" s="110" t="s">
        <v>30</v>
      </c>
      <c r="E1" s="168" t="s">
        <v>0</v>
      </c>
      <c r="F1" s="169"/>
      <c r="G1" s="168" t="s">
        <v>1</v>
      </c>
      <c r="H1" s="169"/>
      <c r="I1" s="110" t="s">
        <v>2</v>
      </c>
    </row>
    <row r="2" spans="1:9" ht="80.099999999999994" customHeight="1" thickBot="1" x14ac:dyDescent="0.25">
      <c r="A2" s="107"/>
      <c r="B2" s="108"/>
      <c r="C2" s="109"/>
      <c r="D2" s="2" t="s">
        <v>141</v>
      </c>
      <c r="E2" s="170" t="s">
        <v>137</v>
      </c>
      <c r="F2" s="171"/>
      <c r="G2" s="170" t="s">
        <v>176</v>
      </c>
      <c r="H2" s="171"/>
      <c r="I2" s="2" t="s">
        <v>175</v>
      </c>
    </row>
    <row r="3" spans="1:9" ht="15.75" thickBot="1" x14ac:dyDescent="0.3">
      <c r="A3" s="175" t="s">
        <v>3</v>
      </c>
      <c r="B3" s="176"/>
      <c r="C3" s="176"/>
      <c r="D3" s="176"/>
      <c r="E3" s="176"/>
      <c r="F3" s="176"/>
      <c r="G3" s="176"/>
      <c r="H3" s="176"/>
      <c r="I3" s="177"/>
    </row>
    <row r="4" spans="1:9" ht="30" customHeight="1" x14ac:dyDescent="0.2">
      <c r="A4" s="115" t="s">
        <v>4</v>
      </c>
      <c r="B4" s="105" t="s">
        <v>5</v>
      </c>
      <c r="C4" s="104" t="s">
        <v>6</v>
      </c>
      <c r="D4" s="104" t="s">
        <v>7</v>
      </c>
      <c r="E4" s="106" t="s">
        <v>8</v>
      </c>
      <c r="F4" s="157" t="s">
        <v>9</v>
      </c>
      <c r="G4" s="105" t="s">
        <v>10</v>
      </c>
      <c r="H4" s="105" t="s">
        <v>11</v>
      </c>
      <c r="I4" s="116" t="s">
        <v>12</v>
      </c>
    </row>
    <row r="5" spans="1:9" ht="24" customHeight="1" x14ac:dyDescent="0.2">
      <c r="A5" s="117" t="s">
        <v>31</v>
      </c>
      <c r="B5" s="111" t="s">
        <v>13</v>
      </c>
      <c r="C5" s="111"/>
      <c r="D5" s="111" t="s">
        <v>149</v>
      </c>
      <c r="E5" s="112"/>
      <c r="F5" s="158"/>
      <c r="G5" s="113" t="s">
        <v>14</v>
      </c>
      <c r="H5" s="114"/>
      <c r="I5" s="161">
        <f>I6</f>
        <v>39239.300000000003</v>
      </c>
    </row>
    <row r="6" spans="1:9" ht="26.1" customHeight="1" x14ac:dyDescent="0.2">
      <c r="A6" s="98" t="s">
        <v>174</v>
      </c>
      <c r="B6" s="79" t="s">
        <v>13</v>
      </c>
      <c r="C6" s="79"/>
      <c r="D6" s="79" t="s">
        <v>85</v>
      </c>
      <c r="E6" s="80"/>
      <c r="F6" s="83"/>
      <c r="G6" s="81" t="s">
        <v>14</v>
      </c>
      <c r="H6" s="82"/>
      <c r="I6" s="162">
        <f>SUM(I7:I18)</f>
        <v>39239.300000000003</v>
      </c>
    </row>
    <row r="7" spans="1:9" ht="26.1" customHeight="1" x14ac:dyDescent="0.2">
      <c r="A7" s="118" t="s">
        <v>173</v>
      </c>
      <c r="B7" s="103" t="s">
        <v>116</v>
      </c>
      <c r="C7" s="103" t="s">
        <v>15</v>
      </c>
      <c r="D7" s="103" t="s">
        <v>16</v>
      </c>
      <c r="E7" s="102" t="s">
        <v>17</v>
      </c>
      <c r="F7" s="159">
        <v>4.4000000000000004</v>
      </c>
      <c r="G7" s="101">
        <v>141.74</v>
      </c>
      <c r="H7" s="101">
        <v>169.3</v>
      </c>
      <c r="I7" s="163">
        <f>TRUNC(H7*F7,2)</f>
        <v>744.92</v>
      </c>
    </row>
    <row r="8" spans="1:9" ht="24" customHeight="1" x14ac:dyDescent="0.2">
      <c r="A8" s="118" t="s">
        <v>172</v>
      </c>
      <c r="B8" s="103" t="s">
        <v>117</v>
      </c>
      <c r="C8" s="103" t="s">
        <v>15</v>
      </c>
      <c r="D8" s="103" t="s">
        <v>18</v>
      </c>
      <c r="E8" s="102" t="s">
        <v>17</v>
      </c>
      <c r="F8" s="159">
        <v>55</v>
      </c>
      <c r="G8" s="101">
        <v>43.7</v>
      </c>
      <c r="H8" s="101">
        <v>52.19</v>
      </c>
      <c r="I8" s="163">
        <v>2870.45</v>
      </c>
    </row>
    <row r="9" spans="1:9" ht="39" customHeight="1" x14ac:dyDescent="0.2">
      <c r="A9" s="118" t="s">
        <v>171</v>
      </c>
      <c r="B9" s="103" t="s">
        <v>118</v>
      </c>
      <c r="C9" s="103" t="s">
        <v>15</v>
      </c>
      <c r="D9" s="103" t="s">
        <v>109</v>
      </c>
      <c r="E9" s="102" t="s">
        <v>119</v>
      </c>
      <c r="F9" s="159">
        <v>6.48</v>
      </c>
      <c r="G9" s="101">
        <v>502.34</v>
      </c>
      <c r="H9" s="101">
        <v>600.04</v>
      </c>
      <c r="I9" s="163">
        <v>3888.25</v>
      </c>
    </row>
    <row r="10" spans="1:9" ht="51.95" customHeight="1" x14ac:dyDescent="0.2">
      <c r="A10" s="118" t="s">
        <v>170</v>
      </c>
      <c r="B10" s="103" t="s">
        <v>120</v>
      </c>
      <c r="C10" s="103" t="s">
        <v>15</v>
      </c>
      <c r="D10" s="103" t="s">
        <v>69</v>
      </c>
      <c r="E10" s="102" t="s">
        <v>121</v>
      </c>
      <c r="F10" s="159">
        <v>40.799999999999997</v>
      </c>
      <c r="G10" s="101">
        <v>75.52</v>
      </c>
      <c r="H10" s="101">
        <v>90.2</v>
      </c>
      <c r="I10" s="163">
        <v>3680.16</v>
      </c>
    </row>
    <row r="11" spans="1:9" ht="39" customHeight="1" x14ac:dyDescent="0.2">
      <c r="A11" s="118" t="s">
        <v>169</v>
      </c>
      <c r="B11" s="103" t="s">
        <v>122</v>
      </c>
      <c r="C11" s="103" t="s">
        <v>15</v>
      </c>
      <c r="D11" s="103" t="s">
        <v>123</v>
      </c>
      <c r="E11" s="102" t="s">
        <v>119</v>
      </c>
      <c r="F11" s="159">
        <v>10</v>
      </c>
      <c r="G11" s="101">
        <v>93.57</v>
      </c>
      <c r="H11" s="101">
        <v>111.76</v>
      </c>
      <c r="I11" s="163">
        <v>1117.5999999999999</v>
      </c>
    </row>
    <row r="12" spans="1:9" ht="51.95" customHeight="1" x14ac:dyDescent="0.2">
      <c r="A12" s="118" t="s">
        <v>168</v>
      </c>
      <c r="B12" s="103" t="s">
        <v>124</v>
      </c>
      <c r="C12" s="103" t="s">
        <v>15</v>
      </c>
      <c r="D12" s="103" t="s">
        <v>101</v>
      </c>
      <c r="E12" s="102" t="s">
        <v>102</v>
      </c>
      <c r="F12" s="159">
        <v>10</v>
      </c>
      <c r="G12" s="101">
        <v>52.47</v>
      </c>
      <c r="H12" s="101">
        <v>62.67</v>
      </c>
      <c r="I12" s="163">
        <v>626.70000000000005</v>
      </c>
    </row>
    <row r="13" spans="1:9" ht="51.95" customHeight="1" x14ac:dyDescent="0.2">
      <c r="A13" s="118" t="s">
        <v>167</v>
      </c>
      <c r="B13" s="103" t="s">
        <v>125</v>
      </c>
      <c r="C13" s="103" t="s">
        <v>15</v>
      </c>
      <c r="D13" s="103" t="s">
        <v>126</v>
      </c>
      <c r="E13" s="102" t="s">
        <v>119</v>
      </c>
      <c r="F13" s="159">
        <v>15</v>
      </c>
      <c r="G13" s="101">
        <v>99.46</v>
      </c>
      <c r="H13" s="101">
        <v>118.8</v>
      </c>
      <c r="I13" s="163">
        <v>1782</v>
      </c>
    </row>
    <row r="14" spans="1:9" ht="51.95" customHeight="1" x14ac:dyDescent="0.2">
      <c r="A14" s="118" t="s">
        <v>166</v>
      </c>
      <c r="B14" s="103" t="s">
        <v>127</v>
      </c>
      <c r="C14" s="103" t="s">
        <v>15</v>
      </c>
      <c r="D14" s="103" t="s">
        <v>128</v>
      </c>
      <c r="E14" s="102" t="s">
        <v>119</v>
      </c>
      <c r="F14" s="159">
        <v>81.599999999999994</v>
      </c>
      <c r="G14" s="101">
        <v>86.1</v>
      </c>
      <c r="H14" s="101">
        <v>102.84</v>
      </c>
      <c r="I14" s="163">
        <v>8391.74</v>
      </c>
    </row>
    <row r="15" spans="1:9" ht="51.95" customHeight="1" x14ac:dyDescent="0.2">
      <c r="A15" s="118" t="s">
        <v>165</v>
      </c>
      <c r="B15" s="103" t="s">
        <v>129</v>
      </c>
      <c r="C15" s="103" t="s">
        <v>15</v>
      </c>
      <c r="D15" s="103" t="s">
        <v>130</v>
      </c>
      <c r="E15" s="102" t="s">
        <v>121</v>
      </c>
      <c r="F15" s="159">
        <v>60.72</v>
      </c>
      <c r="G15" s="101">
        <v>7.69</v>
      </c>
      <c r="H15" s="101">
        <v>9.18</v>
      </c>
      <c r="I15" s="163">
        <v>557.4</v>
      </c>
    </row>
    <row r="16" spans="1:9" ht="39" customHeight="1" x14ac:dyDescent="0.2">
      <c r="A16" s="118" t="s">
        <v>184</v>
      </c>
      <c r="B16" s="103" t="s">
        <v>131</v>
      </c>
      <c r="C16" s="103" t="s">
        <v>15</v>
      </c>
      <c r="D16" s="103" t="s">
        <v>132</v>
      </c>
      <c r="E16" s="102" t="s">
        <v>133</v>
      </c>
      <c r="F16" s="159">
        <v>2886</v>
      </c>
      <c r="G16" s="101">
        <v>1.97</v>
      </c>
      <c r="H16" s="101">
        <v>2.35</v>
      </c>
      <c r="I16" s="163">
        <v>6782.1</v>
      </c>
    </row>
    <row r="17" spans="1:9" ht="39" customHeight="1" x14ac:dyDescent="0.2">
      <c r="A17" s="118" t="s">
        <v>185</v>
      </c>
      <c r="B17" s="103" t="s">
        <v>134</v>
      </c>
      <c r="C17" s="103" t="s">
        <v>15</v>
      </c>
      <c r="D17" s="103" t="s">
        <v>135</v>
      </c>
      <c r="E17" s="102" t="s">
        <v>133</v>
      </c>
      <c r="F17" s="159">
        <v>2886</v>
      </c>
      <c r="G17" s="101">
        <v>0.75</v>
      </c>
      <c r="H17" s="101">
        <v>0.89</v>
      </c>
      <c r="I17" s="163">
        <v>2568.54</v>
      </c>
    </row>
    <row r="18" spans="1:9" ht="39" customHeight="1" x14ac:dyDescent="0.2">
      <c r="A18" s="118" t="s">
        <v>186</v>
      </c>
      <c r="B18" s="103" t="s">
        <v>136</v>
      </c>
      <c r="C18" s="103" t="s">
        <v>15</v>
      </c>
      <c r="D18" s="103" t="s">
        <v>92</v>
      </c>
      <c r="E18" s="102" t="s">
        <v>121</v>
      </c>
      <c r="F18" s="159">
        <v>9</v>
      </c>
      <c r="G18" s="101">
        <v>579.46</v>
      </c>
      <c r="H18" s="101">
        <v>692.16</v>
      </c>
      <c r="I18" s="163">
        <v>6229.44</v>
      </c>
    </row>
    <row r="19" spans="1:9" ht="24" customHeight="1" x14ac:dyDescent="0.2">
      <c r="A19" s="117" t="s">
        <v>32</v>
      </c>
      <c r="B19" s="111" t="s">
        <v>13</v>
      </c>
      <c r="C19" s="111"/>
      <c r="D19" s="111" t="s">
        <v>151</v>
      </c>
      <c r="E19" s="112"/>
      <c r="F19" s="158"/>
      <c r="G19" s="113" t="s">
        <v>14</v>
      </c>
      <c r="H19" s="114"/>
      <c r="I19" s="161">
        <f>I20</f>
        <v>22899.73</v>
      </c>
    </row>
    <row r="20" spans="1:9" ht="26.1" customHeight="1" x14ac:dyDescent="0.2">
      <c r="A20" s="98" t="s">
        <v>164</v>
      </c>
      <c r="B20" s="79" t="s">
        <v>13</v>
      </c>
      <c r="C20" s="79"/>
      <c r="D20" s="79" t="s">
        <v>86</v>
      </c>
      <c r="E20" s="80"/>
      <c r="F20" s="83"/>
      <c r="G20" s="81" t="s">
        <v>14</v>
      </c>
      <c r="H20" s="82"/>
      <c r="I20" s="162">
        <f>SUM(I21:I30)</f>
        <v>22899.73</v>
      </c>
    </row>
    <row r="21" spans="1:9" ht="26.1" customHeight="1" x14ac:dyDescent="0.2">
      <c r="A21" s="118" t="s">
        <v>163</v>
      </c>
      <c r="B21" s="103" t="s">
        <v>116</v>
      </c>
      <c r="C21" s="103" t="s">
        <v>15</v>
      </c>
      <c r="D21" s="103" t="s">
        <v>16</v>
      </c>
      <c r="E21" s="102" t="s">
        <v>17</v>
      </c>
      <c r="F21" s="159">
        <v>4.4000000000000004</v>
      </c>
      <c r="G21" s="101">
        <v>141.74</v>
      </c>
      <c r="H21" s="101">
        <v>169.3</v>
      </c>
      <c r="I21" s="163">
        <v>744.92</v>
      </c>
    </row>
    <row r="22" spans="1:9" ht="24" customHeight="1" x14ac:dyDescent="0.2">
      <c r="A22" s="118" t="s">
        <v>162</v>
      </c>
      <c r="B22" s="103" t="s">
        <v>117</v>
      </c>
      <c r="C22" s="103" t="s">
        <v>15</v>
      </c>
      <c r="D22" s="103" t="s">
        <v>18</v>
      </c>
      <c r="E22" s="102" t="s">
        <v>17</v>
      </c>
      <c r="F22" s="159">
        <v>33</v>
      </c>
      <c r="G22" s="101">
        <v>43.7</v>
      </c>
      <c r="H22" s="101">
        <v>52.19</v>
      </c>
      <c r="I22" s="163">
        <v>1722.27</v>
      </c>
    </row>
    <row r="23" spans="1:9" ht="51.95" customHeight="1" x14ac:dyDescent="0.2">
      <c r="A23" s="118" t="s">
        <v>192</v>
      </c>
      <c r="B23" s="103" t="s">
        <v>120</v>
      </c>
      <c r="C23" s="103" t="s">
        <v>15</v>
      </c>
      <c r="D23" s="103" t="s">
        <v>69</v>
      </c>
      <c r="E23" s="102" t="s">
        <v>121</v>
      </c>
      <c r="F23" s="159">
        <v>33</v>
      </c>
      <c r="G23" s="101">
        <v>75.52</v>
      </c>
      <c r="H23" s="101">
        <v>90.2</v>
      </c>
      <c r="I23" s="163">
        <v>2976.6</v>
      </c>
    </row>
    <row r="24" spans="1:9" ht="39" customHeight="1" x14ac:dyDescent="0.2">
      <c r="A24" s="118" t="s">
        <v>193</v>
      </c>
      <c r="B24" s="103" t="s">
        <v>122</v>
      </c>
      <c r="C24" s="103" t="s">
        <v>15</v>
      </c>
      <c r="D24" s="103" t="s">
        <v>123</v>
      </c>
      <c r="E24" s="102" t="s">
        <v>119</v>
      </c>
      <c r="F24" s="159">
        <v>10</v>
      </c>
      <c r="G24" s="101">
        <v>93.57</v>
      </c>
      <c r="H24" s="101">
        <v>111.76</v>
      </c>
      <c r="I24" s="163">
        <v>1117.5999999999999</v>
      </c>
    </row>
    <row r="25" spans="1:9" ht="51.95" customHeight="1" x14ac:dyDescent="0.2">
      <c r="A25" s="118" t="s">
        <v>194</v>
      </c>
      <c r="B25" s="103" t="s">
        <v>124</v>
      </c>
      <c r="C25" s="103" t="s">
        <v>15</v>
      </c>
      <c r="D25" s="103" t="s">
        <v>101</v>
      </c>
      <c r="E25" s="102" t="s">
        <v>102</v>
      </c>
      <c r="F25" s="159">
        <v>10</v>
      </c>
      <c r="G25" s="101">
        <v>52.47</v>
      </c>
      <c r="H25" s="101">
        <v>62.67</v>
      </c>
      <c r="I25" s="163">
        <v>626.70000000000005</v>
      </c>
    </row>
    <row r="26" spans="1:9" ht="51.95" customHeight="1" x14ac:dyDescent="0.2">
      <c r="A26" s="118" t="s">
        <v>195</v>
      </c>
      <c r="B26" s="103" t="s">
        <v>125</v>
      </c>
      <c r="C26" s="103" t="s">
        <v>15</v>
      </c>
      <c r="D26" s="103" t="s">
        <v>126</v>
      </c>
      <c r="E26" s="102" t="s">
        <v>119</v>
      </c>
      <c r="F26" s="159">
        <v>15</v>
      </c>
      <c r="G26" s="101">
        <v>99.46</v>
      </c>
      <c r="H26" s="101">
        <v>118.8</v>
      </c>
      <c r="I26" s="163">
        <v>1782</v>
      </c>
    </row>
    <row r="27" spans="1:9" ht="51.95" customHeight="1" x14ac:dyDescent="0.2">
      <c r="A27" s="118" t="s">
        <v>196</v>
      </c>
      <c r="B27" s="103" t="s">
        <v>127</v>
      </c>
      <c r="C27" s="103" t="s">
        <v>15</v>
      </c>
      <c r="D27" s="103" t="s">
        <v>128</v>
      </c>
      <c r="E27" s="102" t="s">
        <v>119</v>
      </c>
      <c r="F27" s="159">
        <v>66</v>
      </c>
      <c r="G27" s="101">
        <v>86.1</v>
      </c>
      <c r="H27" s="101">
        <v>102.84</v>
      </c>
      <c r="I27" s="163">
        <v>6787.44</v>
      </c>
    </row>
    <row r="28" spans="1:9" ht="51.95" customHeight="1" x14ac:dyDescent="0.2">
      <c r="A28" s="118" t="s">
        <v>197</v>
      </c>
      <c r="B28" s="103" t="s">
        <v>129</v>
      </c>
      <c r="C28" s="103" t="s">
        <v>15</v>
      </c>
      <c r="D28" s="103" t="s">
        <v>130</v>
      </c>
      <c r="E28" s="102" t="s">
        <v>121</v>
      </c>
      <c r="F28" s="159">
        <v>51.56</v>
      </c>
      <c r="G28" s="101">
        <v>7.69</v>
      </c>
      <c r="H28" s="101">
        <v>9.18</v>
      </c>
      <c r="I28" s="163">
        <v>473.32</v>
      </c>
    </row>
    <row r="29" spans="1:9" ht="39" customHeight="1" x14ac:dyDescent="0.2">
      <c r="A29" s="118" t="s">
        <v>198</v>
      </c>
      <c r="B29" s="103" t="s">
        <v>131</v>
      </c>
      <c r="C29" s="103" t="s">
        <v>15</v>
      </c>
      <c r="D29" s="103" t="s">
        <v>132</v>
      </c>
      <c r="E29" s="102" t="s">
        <v>133</v>
      </c>
      <c r="F29" s="159">
        <v>2058.3000000000002</v>
      </c>
      <c r="G29" s="101">
        <v>1.97</v>
      </c>
      <c r="H29" s="101">
        <v>2.35</v>
      </c>
      <c r="I29" s="163">
        <v>4837</v>
      </c>
    </row>
    <row r="30" spans="1:9" ht="39" customHeight="1" x14ac:dyDescent="0.2">
      <c r="A30" s="118" t="s">
        <v>187</v>
      </c>
      <c r="B30" s="103" t="s">
        <v>134</v>
      </c>
      <c r="C30" s="103" t="s">
        <v>15</v>
      </c>
      <c r="D30" s="103" t="s">
        <v>135</v>
      </c>
      <c r="E30" s="102" t="s">
        <v>133</v>
      </c>
      <c r="F30" s="159">
        <v>2058.3000000000002</v>
      </c>
      <c r="G30" s="101">
        <v>0.75</v>
      </c>
      <c r="H30" s="101">
        <v>0.89</v>
      </c>
      <c r="I30" s="163">
        <v>1831.88</v>
      </c>
    </row>
    <row r="31" spans="1:9" ht="24" customHeight="1" x14ac:dyDescent="0.2">
      <c r="A31" s="117" t="s">
        <v>67</v>
      </c>
      <c r="B31" s="111" t="s">
        <v>13</v>
      </c>
      <c r="C31" s="111"/>
      <c r="D31" s="111" t="s">
        <v>153</v>
      </c>
      <c r="E31" s="112"/>
      <c r="F31" s="158"/>
      <c r="G31" s="113" t="s">
        <v>14</v>
      </c>
      <c r="H31" s="114"/>
      <c r="I31" s="161">
        <f>I32</f>
        <v>52612.09</v>
      </c>
    </row>
    <row r="32" spans="1:9" ht="26.1" customHeight="1" x14ac:dyDescent="0.2">
      <c r="A32" s="98" t="s">
        <v>161</v>
      </c>
      <c r="B32" s="79" t="s">
        <v>13</v>
      </c>
      <c r="C32" s="79"/>
      <c r="D32" s="79" t="s">
        <v>89</v>
      </c>
      <c r="E32" s="80"/>
      <c r="F32" s="83"/>
      <c r="G32" s="81" t="s">
        <v>14</v>
      </c>
      <c r="H32" s="82"/>
      <c r="I32" s="162">
        <f>SUM(I33:I45)</f>
        <v>52612.09</v>
      </c>
    </row>
    <row r="33" spans="1:9" ht="26.1" customHeight="1" x14ac:dyDescent="0.2">
      <c r="A33" s="118" t="s">
        <v>160</v>
      </c>
      <c r="B33" s="103" t="s">
        <v>116</v>
      </c>
      <c r="C33" s="103" t="s">
        <v>15</v>
      </c>
      <c r="D33" s="103" t="s">
        <v>16</v>
      </c>
      <c r="E33" s="102" t="s">
        <v>17</v>
      </c>
      <c r="F33" s="159">
        <v>4.4000000000000004</v>
      </c>
      <c r="G33" s="101">
        <v>141.74</v>
      </c>
      <c r="H33" s="101">
        <v>169.3</v>
      </c>
      <c r="I33" s="163">
        <v>744.92</v>
      </c>
    </row>
    <row r="34" spans="1:9" ht="24" customHeight="1" x14ac:dyDescent="0.2">
      <c r="A34" s="118" t="s">
        <v>159</v>
      </c>
      <c r="B34" s="103" t="s">
        <v>117</v>
      </c>
      <c r="C34" s="103" t="s">
        <v>15</v>
      </c>
      <c r="D34" s="103" t="s">
        <v>18</v>
      </c>
      <c r="E34" s="102" t="s">
        <v>17</v>
      </c>
      <c r="F34" s="159">
        <v>77</v>
      </c>
      <c r="G34" s="101">
        <v>43.7</v>
      </c>
      <c r="H34" s="101">
        <v>52.19</v>
      </c>
      <c r="I34" s="163">
        <v>4018.63</v>
      </c>
    </row>
    <row r="35" spans="1:9" ht="51.95" customHeight="1" x14ac:dyDescent="0.2">
      <c r="A35" s="118" t="s">
        <v>199</v>
      </c>
      <c r="B35" s="103" t="s">
        <v>120</v>
      </c>
      <c r="C35" s="103" t="s">
        <v>15</v>
      </c>
      <c r="D35" s="103" t="s">
        <v>69</v>
      </c>
      <c r="E35" s="102" t="s">
        <v>121</v>
      </c>
      <c r="F35" s="159">
        <v>42.75</v>
      </c>
      <c r="G35" s="101">
        <v>75.52</v>
      </c>
      <c r="H35" s="101">
        <v>90.2</v>
      </c>
      <c r="I35" s="163">
        <v>3856.05</v>
      </c>
    </row>
    <row r="36" spans="1:9" ht="39" customHeight="1" x14ac:dyDescent="0.2">
      <c r="A36" s="118" t="s">
        <v>200</v>
      </c>
      <c r="B36" s="103" t="s">
        <v>122</v>
      </c>
      <c r="C36" s="103" t="s">
        <v>15</v>
      </c>
      <c r="D36" s="103" t="s">
        <v>123</v>
      </c>
      <c r="E36" s="102" t="s">
        <v>119</v>
      </c>
      <c r="F36" s="159">
        <v>10</v>
      </c>
      <c r="G36" s="101">
        <v>93.57</v>
      </c>
      <c r="H36" s="101">
        <v>111.76</v>
      </c>
      <c r="I36" s="163">
        <v>1117.5999999999999</v>
      </c>
    </row>
    <row r="37" spans="1:9" ht="51.95" customHeight="1" x14ac:dyDescent="0.2">
      <c r="A37" s="118" t="s">
        <v>201</v>
      </c>
      <c r="B37" s="103" t="s">
        <v>124</v>
      </c>
      <c r="C37" s="103" t="s">
        <v>15</v>
      </c>
      <c r="D37" s="103" t="s">
        <v>101</v>
      </c>
      <c r="E37" s="102" t="s">
        <v>102</v>
      </c>
      <c r="F37" s="159">
        <v>10</v>
      </c>
      <c r="G37" s="101">
        <v>52.47</v>
      </c>
      <c r="H37" s="101">
        <v>62.67</v>
      </c>
      <c r="I37" s="163">
        <v>626.70000000000005</v>
      </c>
    </row>
    <row r="38" spans="1:9" ht="51.95" customHeight="1" x14ac:dyDescent="0.2">
      <c r="A38" s="118" t="s">
        <v>202</v>
      </c>
      <c r="B38" s="103" t="s">
        <v>125</v>
      </c>
      <c r="C38" s="103" t="s">
        <v>15</v>
      </c>
      <c r="D38" s="103" t="s">
        <v>126</v>
      </c>
      <c r="E38" s="102" t="s">
        <v>119</v>
      </c>
      <c r="F38" s="159">
        <v>15</v>
      </c>
      <c r="G38" s="101">
        <v>99.46</v>
      </c>
      <c r="H38" s="101">
        <v>118.8</v>
      </c>
      <c r="I38" s="163">
        <v>1782</v>
      </c>
    </row>
    <row r="39" spans="1:9" ht="51.95" customHeight="1" x14ac:dyDescent="0.2">
      <c r="A39" s="118" t="s">
        <v>203</v>
      </c>
      <c r="B39" s="103" t="s">
        <v>127</v>
      </c>
      <c r="C39" s="103" t="s">
        <v>15</v>
      </c>
      <c r="D39" s="103" t="s">
        <v>128</v>
      </c>
      <c r="E39" s="102" t="s">
        <v>119</v>
      </c>
      <c r="F39" s="159">
        <v>36</v>
      </c>
      <c r="G39" s="101">
        <v>86.1</v>
      </c>
      <c r="H39" s="101">
        <v>102.84</v>
      </c>
      <c r="I39" s="163">
        <v>3702.24</v>
      </c>
    </row>
    <row r="40" spans="1:9" ht="51.95" customHeight="1" x14ac:dyDescent="0.2">
      <c r="A40" s="118" t="s">
        <v>204</v>
      </c>
      <c r="B40" s="103" t="s">
        <v>129</v>
      </c>
      <c r="C40" s="103" t="s">
        <v>15</v>
      </c>
      <c r="D40" s="103" t="s">
        <v>130</v>
      </c>
      <c r="E40" s="102" t="s">
        <v>121</v>
      </c>
      <c r="F40" s="159">
        <v>49.29</v>
      </c>
      <c r="G40" s="101">
        <v>7.69</v>
      </c>
      <c r="H40" s="101">
        <v>9.18</v>
      </c>
      <c r="I40" s="163">
        <v>452.48</v>
      </c>
    </row>
    <row r="41" spans="1:9" ht="39" customHeight="1" x14ac:dyDescent="0.2">
      <c r="A41" s="118" t="s">
        <v>205</v>
      </c>
      <c r="B41" s="103" t="s">
        <v>131</v>
      </c>
      <c r="C41" s="103" t="s">
        <v>15</v>
      </c>
      <c r="D41" s="103" t="s">
        <v>132</v>
      </c>
      <c r="E41" s="102" t="s">
        <v>133</v>
      </c>
      <c r="F41" s="159">
        <v>1173.9000000000001</v>
      </c>
      <c r="G41" s="101">
        <v>1.97</v>
      </c>
      <c r="H41" s="101">
        <v>2.35</v>
      </c>
      <c r="I41" s="163">
        <v>2758.66</v>
      </c>
    </row>
    <row r="42" spans="1:9" ht="39" customHeight="1" x14ac:dyDescent="0.2">
      <c r="A42" s="118" t="s">
        <v>188</v>
      </c>
      <c r="B42" s="103" t="s">
        <v>134</v>
      </c>
      <c r="C42" s="103" t="s">
        <v>15</v>
      </c>
      <c r="D42" s="103" t="s">
        <v>135</v>
      </c>
      <c r="E42" s="102" t="s">
        <v>133</v>
      </c>
      <c r="F42" s="159">
        <v>36</v>
      </c>
      <c r="G42" s="101">
        <v>0.75</v>
      </c>
      <c r="H42" s="101">
        <v>0.89</v>
      </c>
      <c r="I42" s="163">
        <v>32.04</v>
      </c>
    </row>
    <row r="43" spans="1:9" ht="51.95" customHeight="1" x14ac:dyDescent="0.2">
      <c r="A43" s="118" t="s">
        <v>189</v>
      </c>
      <c r="B43" s="103" t="s">
        <v>158</v>
      </c>
      <c r="C43" s="103" t="s">
        <v>15</v>
      </c>
      <c r="D43" s="103" t="s">
        <v>143</v>
      </c>
      <c r="E43" s="102" t="s">
        <v>102</v>
      </c>
      <c r="F43" s="159">
        <v>55</v>
      </c>
      <c r="G43" s="101">
        <v>408.07</v>
      </c>
      <c r="H43" s="101">
        <v>487.43</v>
      </c>
      <c r="I43" s="163">
        <v>26808.65</v>
      </c>
    </row>
    <row r="44" spans="1:9" ht="51.95" customHeight="1" x14ac:dyDescent="0.2">
      <c r="A44" s="118" t="s">
        <v>190</v>
      </c>
      <c r="B44" s="103" t="s">
        <v>157</v>
      </c>
      <c r="C44" s="103" t="s">
        <v>15</v>
      </c>
      <c r="D44" s="103" t="s">
        <v>144</v>
      </c>
      <c r="E44" s="102" t="s">
        <v>119</v>
      </c>
      <c r="F44" s="159">
        <v>30</v>
      </c>
      <c r="G44" s="101">
        <v>122.46</v>
      </c>
      <c r="H44" s="101">
        <v>146.27000000000001</v>
      </c>
      <c r="I44" s="163">
        <v>4388.1000000000004</v>
      </c>
    </row>
    <row r="45" spans="1:9" ht="39" customHeight="1" x14ac:dyDescent="0.2">
      <c r="A45" s="118" t="s">
        <v>191</v>
      </c>
      <c r="B45" s="103" t="s">
        <v>156</v>
      </c>
      <c r="C45" s="103" t="s">
        <v>15</v>
      </c>
      <c r="D45" s="103" t="s">
        <v>145</v>
      </c>
      <c r="E45" s="102" t="s">
        <v>121</v>
      </c>
      <c r="F45" s="159">
        <v>123.75</v>
      </c>
      <c r="G45" s="101">
        <v>15.73</v>
      </c>
      <c r="H45" s="101">
        <v>18.78</v>
      </c>
      <c r="I45" s="163">
        <v>2324.02</v>
      </c>
    </row>
    <row r="46" spans="1:9" x14ac:dyDescent="0.2">
      <c r="A46" s="119"/>
      <c r="B46" s="5"/>
      <c r="C46" s="5"/>
      <c r="D46" s="5"/>
      <c r="E46" s="5"/>
      <c r="F46" s="164"/>
      <c r="G46" s="5"/>
      <c r="H46" s="5"/>
      <c r="I46" s="120"/>
    </row>
    <row r="47" spans="1:9" x14ac:dyDescent="0.2">
      <c r="A47" s="178"/>
      <c r="B47" s="179"/>
      <c r="C47" s="179"/>
      <c r="D47" s="166"/>
      <c r="E47" s="165"/>
      <c r="F47" s="180"/>
      <c r="G47" s="179"/>
      <c r="H47" s="167"/>
      <c r="I47" s="156"/>
    </row>
    <row r="48" spans="1:9" ht="15" thickBot="1" x14ac:dyDescent="0.25">
      <c r="A48" s="178"/>
      <c r="B48" s="179"/>
      <c r="C48" s="179"/>
      <c r="D48" s="166"/>
      <c r="E48" s="165"/>
      <c r="F48" s="180"/>
      <c r="G48" s="179"/>
      <c r="H48" s="167"/>
      <c r="I48" s="156"/>
    </row>
    <row r="49" spans="1:9" ht="15" customHeight="1" thickBot="1" x14ac:dyDescent="0.25">
      <c r="A49" s="183" t="s">
        <v>206</v>
      </c>
      <c r="B49" s="184"/>
      <c r="C49" s="184"/>
      <c r="D49" s="184"/>
      <c r="E49" s="185"/>
      <c r="F49" s="170" t="s">
        <v>19</v>
      </c>
      <c r="G49" s="172"/>
      <c r="H49" s="181">
        <f>I31+I19+I5</f>
        <v>114751.12</v>
      </c>
      <c r="I49" s="182"/>
    </row>
    <row r="50" spans="1:9" ht="60" customHeight="1" x14ac:dyDescent="0.2">
      <c r="A50" s="1"/>
      <c r="B50" s="1"/>
      <c r="C50" s="1"/>
      <c r="D50" s="1"/>
      <c r="E50" s="1"/>
      <c r="F50" s="160"/>
      <c r="G50" s="1"/>
      <c r="H50" s="1"/>
      <c r="I50" s="1"/>
    </row>
    <row r="51" spans="1:9" ht="69.95" customHeight="1" x14ac:dyDescent="0.2">
      <c r="A51" s="173"/>
      <c r="B51" s="174"/>
      <c r="C51" s="174"/>
      <c r="D51" s="174"/>
      <c r="E51" s="174"/>
      <c r="F51" s="174"/>
      <c r="G51" s="174"/>
      <c r="H51" s="174"/>
      <c r="I51" s="174"/>
    </row>
  </sheetData>
  <autoFilter ref="A4:I45" xr:uid="{9A190558-312B-4BCF-8F16-DCE88E65D2AC}"/>
  <mergeCells count="13">
    <mergeCell ref="A51:I51"/>
    <mergeCell ref="A3:I3"/>
    <mergeCell ref="A47:C47"/>
    <mergeCell ref="F47:G47"/>
    <mergeCell ref="A48:C48"/>
    <mergeCell ref="F48:G48"/>
    <mergeCell ref="H49:I49"/>
    <mergeCell ref="A49:E49"/>
    <mergeCell ref="E1:F1"/>
    <mergeCell ref="G1:H1"/>
    <mergeCell ref="E2:F2"/>
    <mergeCell ref="G2:H2"/>
    <mergeCell ref="F49:G49"/>
  </mergeCells>
  <phoneticPr fontId="28" type="noConversion"/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D558-5FC6-4858-8BF3-C6C52DECC6A4}">
  <sheetPr>
    <tabColor rgb="FFFFC000"/>
  </sheetPr>
  <dimension ref="A1:Q26"/>
  <sheetViews>
    <sheetView view="pageBreakPreview" topLeftCell="A22" zoomScale="115" zoomScaleNormal="100" zoomScaleSheetLayoutView="115" workbookViewId="0">
      <selection activeCell="D22" sqref="D22"/>
    </sheetView>
  </sheetViews>
  <sheetFormatPr defaultColWidth="8.5" defaultRowHeight="22.9" customHeight="1" x14ac:dyDescent="0.2"/>
  <cols>
    <col min="1" max="1" width="19.625" style="127" customWidth="1"/>
    <col min="2" max="2" width="50.25" style="127" customWidth="1"/>
    <col min="3" max="3" width="16.25" style="127" customWidth="1"/>
    <col min="4" max="4" width="48.75" style="127" bestFit="1" customWidth="1"/>
    <col min="5" max="7" width="8.5" style="127"/>
    <col min="8" max="8" width="48.75" style="127" bestFit="1" customWidth="1"/>
    <col min="9" max="9" width="9.875" style="127" bestFit="1" customWidth="1"/>
    <col min="10" max="10" width="10.375" style="127" customWidth="1"/>
    <col min="11" max="11" width="9.875" style="127" bestFit="1" customWidth="1"/>
    <col min="12" max="16384" width="8.5" style="127"/>
  </cols>
  <sheetData>
    <row r="1" spans="1:17" ht="24" thickBot="1" x14ac:dyDescent="0.25">
      <c r="A1" s="214" t="s">
        <v>30</v>
      </c>
      <c r="B1" s="215"/>
      <c r="C1" s="216"/>
    </row>
    <row r="2" spans="1:17" ht="30" customHeight="1" x14ac:dyDescent="0.2">
      <c r="A2" s="217"/>
      <c r="B2" s="189" t="s">
        <v>141</v>
      </c>
      <c r="C2" s="190"/>
    </row>
    <row r="3" spans="1:17" ht="20.100000000000001" customHeight="1" x14ac:dyDescent="0.2">
      <c r="A3" s="218"/>
      <c r="B3" s="191"/>
      <c r="C3" s="192"/>
    </row>
    <row r="4" spans="1:17" ht="20.100000000000001" customHeight="1" x14ac:dyDescent="0.2">
      <c r="A4" s="218"/>
      <c r="B4" s="191"/>
      <c r="C4" s="192"/>
    </row>
    <row r="5" spans="1:17" ht="20.100000000000001" customHeight="1" thickBot="1" x14ac:dyDescent="0.25">
      <c r="A5" s="218"/>
      <c r="B5" s="193"/>
      <c r="C5" s="194"/>
      <c r="H5" s="219" t="s">
        <v>33</v>
      </c>
      <c r="I5" s="220"/>
      <c r="J5" s="220"/>
      <c r="K5" s="220"/>
    </row>
    <row r="6" spans="1:17" ht="15.75" thickBot="1" x14ac:dyDescent="0.25">
      <c r="A6" s="221" t="s">
        <v>71</v>
      </c>
      <c r="B6" s="222"/>
      <c r="C6" s="223"/>
      <c r="D6" s="128" t="s">
        <v>35</v>
      </c>
      <c r="H6" s="129"/>
      <c r="I6" s="129" t="s">
        <v>36</v>
      </c>
      <c r="J6" s="129" t="s">
        <v>37</v>
      </c>
      <c r="K6" s="129" t="s">
        <v>38</v>
      </c>
    </row>
    <row r="7" spans="1:17" ht="15.75" x14ac:dyDescent="0.2">
      <c r="A7" s="130" t="s">
        <v>65</v>
      </c>
      <c r="B7" s="131" t="s">
        <v>182</v>
      </c>
      <c r="C7" s="132" t="s">
        <v>64</v>
      </c>
      <c r="D7" s="133" t="s">
        <v>40</v>
      </c>
      <c r="H7" s="129" t="s">
        <v>39</v>
      </c>
      <c r="I7" s="134">
        <v>0.2034</v>
      </c>
      <c r="J7" s="134">
        <v>0.22120000000000001</v>
      </c>
      <c r="K7" s="134">
        <v>0.25</v>
      </c>
    </row>
    <row r="8" spans="1:17" ht="15" x14ac:dyDescent="0.2">
      <c r="A8" s="195" t="s">
        <v>63</v>
      </c>
      <c r="B8" s="196"/>
      <c r="C8" s="197"/>
      <c r="H8" s="129" t="s">
        <v>40</v>
      </c>
      <c r="I8" s="134">
        <v>0.19600000000000001</v>
      </c>
      <c r="J8" s="134">
        <v>0.2097</v>
      </c>
      <c r="K8" s="134">
        <v>0.24229999999999999</v>
      </c>
    </row>
    <row r="9" spans="1:17" ht="15" x14ac:dyDescent="0.2">
      <c r="A9" s="135" t="s">
        <v>62</v>
      </c>
      <c r="B9" s="136" t="s">
        <v>61</v>
      </c>
      <c r="C9" s="137">
        <f>D9</f>
        <v>3.7999999999999999E-2</v>
      </c>
      <c r="D9" s="127">
        <f>IF(D7=H7,I12,IF(D7=H8,I13,I14))</f>
        <v>3.7999999999999999E-2</v>
      </c>
      <c r="H9" s="129" t="s">
        <v>41</v>
      </c>
      <c r="I9" s="134">
        <v>0.111</v>
      </c>
      <c r="J9" s="134">
        <v>0.14019999999999999</v>
      </c>
      <c r="K9" s="134">
        <v>0.16800000000000001</v>
      </c>
    </row>
    <row r="10" spans="1:17" ht="15" x14ac:dyDescent="0.2">
      <c r="A10" s="138" t="s">
        <v>60</v>
      </c>
      <c r="B10" s="139" t="s">
        <v>59</v>
      </c>
      <c r="C10" s="137">
        <f t="shared" ref="C10:C12" si="0">D10</f>
        <v>1.0200000000000001E-2</v>
      </c>
      <c r="D10" s="127">
        <f>IF(D7=H7,J12,IF(D7=H8,J13,J14))</f>
        <v>1.0200000000000001E-2</v>
      </c>
    </row>
    <row r="11" spans="1:17" ht="15" x14ac:dyDescent="0.2">
      <c r="A11" s="138" t="s">
        <v>58</v>
      </c>
      <c r="B11" s="139" t="s">
        <v>57</v>
      </c>
      <c r="C11" s="137">
        <f t="shared" si="0"/>
        <v>5.0000000000000001E-3</v>
      </c>
      <c r="D11" s="127">
        <f>IF(D7=H7,K12,IF(D7=H8,K13,K14))</f>
        <v>5.0000000000000001E-3</v>
      </c>
      <c r="I11" s="140" t="s">
        <v>42</v>
      </c>
      <c r="J11" s="140" t="s">
        <v>43</v>
      </c>
      <c r="K11" s="140" t="s">
        <v>44</v>
      </c>
      <c r="L11" s="141" t="s">
        <v>45</v>
      </c>
      <c r="M11" s="140" t="s">
        <v>20</v>
      </c>
      <c r="N11" s="129"/>
      <c r="O11" s="140" t="s">
        <v>34</v>
      </c>
    </row>
    <row r="12" spans="1:17" ht="15" x14ac:dyDescent="0.2">
      <c r="A12" s="138" t="s">
        <v>56</v>
      </c>
      <c r="B12" s="139" t="s">
        <v>55</v>
      </c>
      <c r="C12" s="137">
        <f t="shared" si="0"/>
        <v>3.2000000000000002E-3</v>
      </c>
      <c r="D12" s="127">
        <f>IF(D7=H7,L12,IF(D7=H8,L13,L14))</f>
        <v>3.2000000000000002E-3</v>
      </c>
      <c r="H12" s="142" t="s">
        <v>39</v>
      </c>
      <c r="I12" s="143">
        <v>0.03</v>
      </c>
      <c r="J12" s="143">
        <v>5.8999999999999999E-3</v>
      </c>
      <c r="K12" s="143">
        <v>9.7000000000000003E-3</v>
      </c>
      <c r="L12" s="144">
        <v>8.0000000000000002E-3</v>
      </c>
      <c r="M12" s="143">
        <v>6.1600000000000002E-2</v>
      </c>
      <c r="N12" s="145"/>
      <c r="O12" s="143">
        <v>0.18579999999999999</v>
      </c>
    </row>
    <row r="13" spans="1:17" ht="15" x14ac:dyDescent="0.25">
      <c r="A13" s="146"/>
      <c r="B13" s="147"/>
      <c r="C13" s="148"/>
      <c r="H13" s="142" t="s">
        <v>40</v>
      </c>
      <c r="I13" s="143">
        <v>3.7999999999999999E-2</v>
      </c>
      <c r="J13" s="143">
        <v>1.0200000000000001E-2</v>
      </c>
      <c r="K13" s="143">
        <v>5.0000000000000001E-3</v>
      </c>
      <c r="L13" s="144">
        <v>3.2000000000000002E-3</v>
      </c>
      <c r="M13" s="143">
        <v>6.6400000000000001E-2</v>
      </c>
      <c r="N13" s="145"/>
      <c r="O13" s="143">
        <v>0.19450000000000001</v>
      </c>
    </row>
    <row r="14" spans="1:17" ht="15" x14ac:dyDescent="0.2">
      <c r="A14" s="195" t="s">
        <v>54</v>
      </c>
      <c r="B14" s="196"/>
      <c r="C14" s="197"/>
      <c r="H14" s="142" t="s">
        <v>41</v>
      </c>
      <c r="I14" s="143">
        <v>1.4999999999999999E-2</v>
      </c>
      <c r="J14" s="143">
        <v>8.5000000000000006E-3</v>
      </c>
      <c r="K14" s="143">
        <v>5.5999999999999999E-3</v>
      </c>
      <c r="L14" s="144">
        <v>3.0000000000000001E-3</v>
      </c>
      <c r="M14" s="143">
        <v>3.5000000000000003E-2</v>
      </c>
      <c r="N14" s="145"/>
      <c r="O14" s="143">
        <v>0.1089</v>
      </c>
      <c r="Q14" s="149" t="s">
        <v>46</v>
      </c>
    </row>
    <row r="15" spans="1:17" ht="15" x14ac:dyDescent="0.2">
      <c r="A15" s="205" t="s">
        <v>53</v>
      </c>
      <c r="B15" s="207" t="s">
        <v>52</v>
      </c>
      <c r="C15" s="150">
        <f>D15</f>
        <v>6.6400000000000001E-2</v>
      </c>
      <c r="D15" s="127">
        <f>IF(D7=H7,M12,IF(D7=H8,M13,M14))</f>
        <v>6.6400000000000001E-2</v>
      </c>
      <c r="H15" s="149"/>
    </row>
    <row r="16" spans="1:17" ht="15" x14ac:dyDescent="0.25">
      <c r="A16" s="206"/>
      <c r="B16" s="208"/>
      <c r="C16" s="148"/>
    </row>
    <row r="17" spans="1:8" ht="15" x14ac:dyDescent="0.2">
      <c r="A17" s="195" t="s">
        <v>51</v>
      </c>
      <c r="B17" s="196"/>
      <c r="C17" s="197"/>
      <c r="D17" s="151">
        <f>SUM(C18:C21)</f>
        <v>5.6499999999999995E-2</v>
      </c>
    </row>
    <row r="18" spans="1:8" ht="15" x14ac:dyDescent="0.2">
      <c r="A18" s="198" t="s">
        <v>50</v>
      </c>
      <c r="B18" s="199"/>
      <c r="C18" s="137">
        <v>6.4999999999999997E-3</v>
      </c>
    </row>
    <row r="19" spans="1:8" ht="15" x14ac:dyDescent="0.2">
      <c r="A19" s="200" t="s">
        <v>49</v>
      </c>
      <c r="B19" s="201"/>
      <c r="C19" s="152">
        <v>0.03</v>
      </c>
    </row>
    <row r="20" spans="1:8" ht="24.6" customHeight="1" x14ac:dyDescent="0.2">
      <c r="A20" s="200" t="s">
        <v>48</v>
      </c>
      <c r="B20" s="201"/>
      <c r="C20" s="152">
        <f>D20</f>
        <v>0.02</v>
      </c>
      <c r="D20" s="127">
        <v>0.02</v>
      </c>
    </row>
    <row r="21" spans="1:8" ht="15" x14ac:dyDescent="0.2">
      <c r="A21" s="202" t="s">
        <v>72</v>
      </c>
      <c r="B21" s="201"/>
      <c r="C21" s="153">
        <v>0</v>
      </c>
      <c r="F21" s="127">
        <f>ROUND(((((1+(C9+C11+C12))*(1+C10)*(1+C15))/(1-D17))-1),4)</f>
        <v>0.19450000000000001</v>
      </c>
    </row>
    <row r="22" spans="1:8" ht="15.75" customHeight="1" x14ac:dyDescent="0.25">
      <c r="A22" s="203"/>
      <c r="B22" s="204"/>
      <c r="C22" s="148"/>
    </row>
    <row r="23" spans="1:8" ht="23.25" customHeight="1" x14ac:dyDescent="0.2">
      <c r="A23" s="209" t="s">
        <v>47</v>
      </c>
      <c r="B23" s="210"/>
      <c r="C23" s="154">
        <f>F21</f>
        <v>0.19450000000000001</v>
      </c>
    </row>
    <row r="24" spans="1:8" ht="126" customHeight="1" thickBot="1" x14ac:dyDescent="0.25">
      <c r="A24" s="211" t="s">
        <v>183</v>
      </c>
      <c r="B24" s="212"/>
      <c r="C24" s="213"/>
      <c r="H24" s="155"/>
    </row>
    <row r="25" spans="1:8" ht="159.75" customHeight="1" thickBot="1" x14ac:dyDescent="0.25">
      <c r="A25" s="186" t="s">
        <v>73</v>
      </c>
      <c r="B25" s="187"/>
      <c r="C25" s="188"/>
    </row>
    <row r="26" spans="1:8" ht="15" x14ac:dyDescent="0.2"/>
  </sheetData>
  <mergeCells count="18">
    <mergeCell ref="A1:C1"/>
    <mergeCell ref="A2:A5"/>
    <mergeCell ref="H5:K5"/>
    <mergeCell ref="A6:C6"/>
    <mergeCell ref="A8:C8"/>
    <mergeCell ref="A25:C25"/>
    <mergeCell ref="B2:C5"/>
    <mergeCell ref="A17:C17"/>
    <mergeCell ref="A18:B18"/>
    <mergeCell ref="A19:B19"/>
    <mergeCell ref="A20:B20"/>
    <mergeCell ref="A21:B21"/>
    <mergeCell ref="A22:B22"/>
    <mergeCell ref="A14:C14"/>
    <mergeCell ref="A15:A16"/>
    <mergeCell ref="B15:B16"/>
    <mergeCell ref="A23:B23"/>
    <mergeCell ref="A24:C24"/>
  </mergeCells>
  <dataValidations count="1">
    <dataValidation type="list" allowBlank="1" showInputMessage="1" showErrorMessage="1" sqref="D7" xr:uid="{2AE7C0C2-4D6D-4CEA-9EB0-295124AAC876}">
      <formula1>$H$7:$H$9</formula1>
    </dataValidation>
  </dataValidations>
  <pageMargins left="0.511811024" right="0.511811024" top="0.78740157499999996" bottom="0.78740157499999996" header="0.31496062000000002" footer="0.31496062000000002"/>
  <pageSetup paperSize="9" scale="93" orientation="portrait" verticalDpi="0" r:id="rId1"/>
  <colBreaks count="1" manualBreakCount="1">
    <brk id="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8"/>
  <sheetViews>
    <sheetView showWhiteSpace="0" view="pageBreakPreview" zoomScaleNormal="85" zoomScaleSheetLayoutView="100" workbookViewId="0">
      <selection activeCell="C10" sqref="C10"/>
    </sheetView>
  </sheetViews>
  <sheetFormatPr defaultRowHeight="14.25" x14ac:dyDescent="0.2"/>
  <cols>
    <col min="1" max="1" width="21" customWidth="1"/>
    <col min="2" max="2" width="60" bestFit="1" customWidth="1"/>
    <col min="3" max="3" width="20" style="62" bestFit="1" customWidth="1"/>
    <col min="4" max="4" width="15.5" customWidth="1"/>
    <col min="5" max="5" width="20.125" customWidth="1"/>
    <col min="6" max="6" width="14.25" hidden="1" customWidth="1"/>
    <col min="7" max="7" width="12" hidden="1" customWidth="1"/>
    <col min="8" max="8" width="12" bestFit="1" customWidth="1"/>
    <col min="9" max="9" width="13.125" bestFit="1" customWidth="1"/>
    <col min="10" max="24" width="12" bestFit="1" customWidth="1"/>
  </cols>
  <sheetData>
    <row r="1" spans="1:10" ht="15.75" customHeight="1" thickBot="1" x14ac:dyDescent="0.25">
      <c r="A1" s="7"/>
      <c r="B1" s="7" t="s">
        <v>30</v>
      </c>
      <c r="C1" s="30" t="s">
        <v>0</v>
      </c>
      <c r="D1" s="7"/>
      <c r="E1" s="7" t="s">
        <v>2</v>
      </c>
    </row>
    <row r="2" spans="1:10" ht="95.1" customHeight="1" thickBot="1" x14ac:dyDescent="0.25">
      <c r="A2" s="6"/>
      <c r="B2" s="2" t="str">
        <f>'Orçamento NÃO DESONERADO'!D2</f>
        <v>OBJETO: RECOMPOSIÇÃO DE PARALELEPÍPEDO E SISTEMAS DE DRENAGEM DO BAIRRO DA BOA VISTA, GOIANA/PE                                                                                    ENDEREÇO:  GOIANA/PE.                             DATA: MAIO/ 2026</v>
      </c>
      <c r="C2" s="50" t="s">
        <v>142</v>
      </c>
      <c r="D2" s="100">
        <v>0.19450000000000001</v>
      </c>
      <c r="E2" s="2" t="s">
        <v>175</v>
      </c>
    </row>
    <row r="3" spans="1:10" ht="15" x14ac:dyDescent="0.25">
      <c r="A3" s="225" t="s">
        <v>66</v>
      </c>
      <c r="B3" s="174"/>
      <c r="C3" s="174"/>
      <c r="D3" s="174"/>
      <c r="E3" s="174"/>
    </row>
    <row r="4" spans="1:10" ht="30.75" customHeight="1" x14ac:dyDescent="0.2">
      <c r="A4" s="35" t="s">
        <v>4</v>
      </c>
      <c r="B4" s="35" t="s">
        <v>7</v>
      </c>
      <c r="C4" s="35" t="s">
        <v>25</v>
      </c>
      <c r="D4" s="36" t="s">
        <v>28</v>
      </c>
      <c r="E4" s="36" t="s">
        <v>70</v>
      </c>
    </row>
    <row r="5" spans="1:10" ht="24" customHeight="1" x14ac:dyDescent="0.2">
      <c r="A5" s="51" t="s">
        <v>31</v>
      </c>
      <c r="B5" s="52" t="str">
        <f>'Orçamento NÃO DESONERADO'!D5</f>
        <v>META 01</v>
      </c>
      <c r="C5" s="53">
        <f>'Orçamento NÃO DESONERADO'!I5</f>
        <v>39239.300000000003</v>
      </c>
      <c r="D5" s="54">
        <f>C5/C11</f>
        <v>0.34195134653151971</v>
      </c>
      <c r="E5" s="55">
        <v>1</v>
      </c>
      <c r="F5" s="56">
        <f t="shared" ref="F5:F10" si="0">SUM(E5:E5)</f>
        <v>1</v>
      </c>
    </row>
    <row r="6" spans="1:10" ht="24" customHeight="1" x14ac:dyDescent="0.2">
      <c r="A6" s="51"/>
      <c r="B6" s="52"/>
      <c r="C6" s="57"/>
      <c r="D6" s="54"/>
      <c r="E6" s="58">
        <f>(E5*C5)</f>
        <v>39239.300000000003</v>
      </c>
      <c r="F6" s="59">
        <f t="shared" si="0"/>
        <v>39239.300000000003</v>
      </c>
      <c r="G6" s="59">
        <f>C5-F6</f>
        <v>0</v>
      </c>
      <c r="I6" s="61" t="e">
        <f>#REF!+#REF!+E6</f>
        <v>#REF!</v>
      </c>
      <c r="J6" s="61" t="e">
        <f>C5-I6</f>
        <v>#REF!</v>
      </c>
    </row>
    <row r="7" spans="1:10" ht="24" customHeight="1" x14ac:dyDescent="0.2">
      <c r="A7" s="51" t="s">
        <v>32</v>
      </c>
      <c r="B7" s="52" t="str">
        <f>'Orçamento NÃO DESONERADO'!D19</f>
        <v>META 02</v>
      </c>
      <c r="C7" s="53">
        <f>'Orçamento NÃO DESONERADO'!I19</f>
        <v>22899.73</v>
      </c>
      <c r="D7" s="54">
        <f>C7/C11</f>
        <v>0.1995599694364639</v>
      </c>
      <c r="E7" s="55">
        <v>1</v>
      </c>
      <c r="F7" s="56">
        <f t="shared" si="0"/>
        <v>1</v>
      </c>
      <c r="I7" s="61" t="e">
        <f>#REF!+#REF!+E7</f>
        <v>#REF!</v>
      </c>
      <c r="J7" s="61"/>
    </row>
    <row r="8" spans="1:10" ht="24" customHeight="1" x14ac:dyDescent="0.2">
      <c r="A8" s="51"/>
      <c r="B8" s="52"/>
      <c r="C8" s="57"/>
      <c r="D8" s="54"/>
      <c r="E8" s="58">
        <f>(E7*C7)</f>
        <v>22899.73</v>
      </c>
      <c r="F8" s="59">
        <f t="shared" si="0"/>
        <v>22899.73</v>
      </c>
      <c r="G8" s="59">
        <f>C7-F8</f>
        <v>0</v>
      </c>
      <c r="I8" s="61" t="e">
        <f>#REF!+#REF!+E8</f>
        <v>#REF!</v>
      </c>
      <c r="J8" s="61" t="e">
        <f>C7-I8</f>
        <v>#REF!</v>
      </c>
    </row>
    <row r="9" spans="1:10" ht="24" customHeight="1" x14ac:dyDescent="0.2">
      <c r="A9" s="51" t="s">
        <v>67</v>
      </c>
      <c r="B9" s="52" t="str">
        <f>'Orçamento NÃO DESONERADO'!D31</f>
        <v>META 03</v>
      </c>
      <c r="C9" s="53">
        <f>'Orçamento NÃO DESONERADO'!I31</f>
        <v>52612.09</v>
      </c>
      <c r="D9" s="54">
        <f>C9/C11</f>
        <v>0.45848868403201642</v>
      </c>
      <c r="E9" s="55">
        <v>1</v>
      </c>
      <c r="F9" s="56">
        <f t="shared" si="0"/>
        <v>1</v>
      </c>
      <c r="I9" s="61" t="e">
        <f>#REF!+#REF!+E9</f>
        <v>#REF!</v>
      </c>
      <c r="J9" s="61"/>
    </row>
    <row r="10" spans="1:10" ht="24" customHeight="1" x14ac:dyDescent="0.2">
      <c r="A10" s="51"/>
      <c r="B10" s="52"/>
      <c r="C10" s="57"/>
      <c r="D10" s="54"/>
      <c r="E10" s="58">
        <f>(E9*C9)</f>
        <v>52612.09</v>
      </c>
      <c r="F10" s="59">
        <f t="shared" si="0"/>
        <v>52612.09</v>
      </c>
      <c r="G10" s="59">
        <f>C9-F10</f>
        <v>0</v>
      </c>
      <c r="I10" s="61" t="e">
        <f>#REF!+#REF!+E10</f>
        <v>#REF!</v>
      </c>
      <c r="J10" s="61" t="e">
        <f>C9-I10</f>
        <v>#REF!</v>
      </c>
    </row>
    <row r="11" spans="1:10" ht="24" customHeight="1" x14ac:dyDescent="0.2">
      <c r="A11" s="51"/>
      <c r="B11" s="60" t="s">
        <v>29</v>
      </c>
      <c r="C11" s="53">
        <f>SUM(C5:C10)</f>
        <v>114751.12</v>
      </c>
      <c r="D11" s="54">
        <f>SUM(D5:D10)</f>
        <v>1</v>
      </c>
      <c r="E11" s="57"/>
      <c r="F11" s="59" t="e">
        <f>SUM(F6,#REF!,F8,F10,#REF!,#REF!,#REF!,#REF!,#REF!,#REF!,#REF!,#REF!,#REF!,#REF!)</f>
        <v>#REF!</v>
      </c>
      <c r="G11" s="59">
        <f>SUM(G6:G10)</f>
        <v>0</v>
      </c>
      <c r="H11" s="59"/>
      <c r="I11" s="61"/>
      <c r="J11" s="61"/>
    </row>
    <row r="12" spans="1:10" ht="18.75" customHeight="1" x14ac:dyDescent="0.2">
      <c r="A12" s="226" t="s">
        <v>24</v>
      </c>
      <c r="B12" s="226"/>
      <c r="C12" s="31"/>
      <c r="D12" s="31"/>
      <c r="E12" s="37">
        <f>E13/C11</f>
        <v>1</v>
      </c>
      <c r="F12" s="56">
        <f>SUM(E12:E12)</f>
        <v>1</v>
      </c>
    </row>
    <row r="13" spans="1:10" ht="18.75" customHeight="1" x14ac:dyDescent="0.2">
      <c r="A13" s="226" t="s">
        <v>23</v>
      </c>
      <c r="B13" s="226"/>
      <c r="C13" s="31"/>
      <c r="D13" s="31"/>
      <c r="E13" s="38">
        <f>E6+E8+E10</f>
        <v>114751.12</v>
      </c>
      <c r="F13" s="61">
        <f>SUM(E13:E13)</f>
        <v>114751.12</v>
      </c>
      <c r="G13" s="61">
        <f>C11-F13</f>
        <v>0</v>
      </c>
    </row>
    <row r="14" spans="1:10" ht="18.75" customHeight="1" x14ac:dyDescent="0.2">
      <c r="A14" s="224" t="s">
        <v>22</v>
      </c>
      <c r="B14" s="224"/>
      <c r="C14" s="32"/>
      <c r="D14" s="32"/>
      <c r="E14" s="39">
        <f>E12</f>
        <v>1</v>
      </c>
    </row>
    <row r="15" spans="1:10" ht="18.75" customHeight="1" x14ac:dyDescent="0.2">
      <c r="A15" s="224" t="s">
        <v>21</v>
      </c>
      <c r="B15" s="224"/>
      <c r="C15" s="32"/>
      <c r="D15" s="32"/>
      <c r="E15" s="40">
        <f>E13</f>
        <v>114751.12</v>
      </c>
    </row>
    <row r="16" spans="1:10" ht="18.75" customHeight="1" x14ac:dyDescent="0.2">
      <c r="A16" s="5"/>
      <c r="B16" s="5"/>
      <c r="C16" s="33"/>
      <c r="D16" s="5"/>
      <c r="E16" s="5"/>
    </row>
    <row r="17" spans="1:5" ht="60" customHeight="1" x14ac:dyDescent="0.2">
      <c r="A17" s="1"/>
      <c r="B17" s="1"/>
      <c r="C17" s="34"/>
      <c r="D17" s="1"/>
      <c r="E17" s="1"/>
    </row>
    <row r="18" spans="1:5" ht="69.95" customHeight="1" x14ac:dyDescent="0.2">
      <c r="A18" s="173"/>
      <c r="B18" s="174"/>
      <c r="C18" s="174"/>
      <c r="D18" s="174"/>
      <c r="E18" s="174"/>
    </row>
  </sheetData>
  <mergeCells count="6">
    <mergeCell ref="A14:B14"/>
    <mergeCell ref="A15:B15"/>
    <mergeCell ref="A18:E18"/>
    <mergeCell ref="A3:E3"/>
    <mergeCell ref="A12:B12"/>
    <mergeCell ref="A13:B1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73" orientation="landscape" r:id="rId1"/>
  <headerFooter>
    <oddFooter>Página &amp;P de &amp;N</oddFooter>
  </headerFooter>
  <colBreaks count="1" manualBreakCount="1">
    <brk id="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FF907-2625-4ED3-A5F3-110D1BBDA4E8}">
  <dimension ref="A1:M45"/>
  <sheetViews>
    <sheetView showWhiteSpace="0" view="pageBreakPreview" topLeftCell="A31" zoomScale="85" zoomScaleNormal="70" zoomScaleSheetLayoutView="85" workbookViewId="0">
      <selection activeCell="A34" sqref="A34:A45"/>
    </sheetView>
  </sheetViews>
  <sheetFormatPr defaultRowHeight="14.25" x14ac:dyDescent="0.2"/>
  <cols>
    <col min="1" max="1" width="17" style="124" bestFit="1" customWidth="1"/>
    <col min="2" max="2" width="60" bestFit="1" customWidth="1"/>
    <col min="3" max="3" width="14.5" style="95" customWidth="1"/>
    <col min="4" max="4" width="15.75" style="49" customWidth="1"/>
    <col min="5" max="5" width="60" style="49" bestFit="1" customWidth="1"/>
    <col min="6" max="6" width="18" bestFit="1" customWidth="1"/>
    <col min="11" max="12" width="9.625" bestFit="1" customWidth="1"/>
    <col min="14" max="15" width="9.625" bestFit="1" customWidth="1"/>
  </cols>
  <sheetData>
    <row r="1" spans="1:11" ht="15.75" thickBot="1" x14ac:dyDescent="0.25">
      <c r="A1" s="121"/>
      <c r="B1" s="72" t="s">
        <v>30</v>
      </c>
      <c r="C1" s="90" t="s">
        <v>0</v>
      </c>
      <c r="D1" s="73" t="s">
        <v>1</v>
      </c>
      <c r="E1" s="74" t="s">
        <v>2</v>
      </c>
      <c r="F1" s="174"/>
      <c r="G1" s="174"/>
      <c r="H1" s="174"/>
      <c r="I1" s="174"/>
      <c r="J1" s="174"/>
    </row>
    <row r="2" spans="1:11" ht="78" customHeight="1" thickBot="1" x14ac:dyDescent="0.25">
      <c r="A2" s="122"/>
      <c r="B2" s="8" t="s">
        <v>141</v>
      </c>
      <c r="C2" s="91" t="s">
        <v>177</v>
      </c>
      <c r="D2" s="42">
        <v>0.19450000000000001</v>
      </c>
      <c r="E2" s="43" t="s">
        <v>175</v>
      </c>
      <c r="F2" s="174"/>
      <c r="G2" s="174"/>
      <c r="H2" s="174"/>
      <c r="I2" s="174"/>
      <c r="J2" s="174"/>
    </row>
    <row r="3" spans="1:11" ht="15.75" thickBot="1" x14ac:dyDescent="0.3">
      <c r="A3" s="227" t="s">
        <v>27</v>
      </c>
      <c r="B3" s="174"/>
      <c r="C3" s="174"/>
      <c r="D3" s="174"/>
      <c r="E3" s="228"/>
    </row>
    <row r="4" spans="1:11" s="44" customFormat="1" ht="30" customHeight="1" x14ac:dyDescent="0.2">
      <c r="A4" s="125" t="s">
        <v>4</v>
      </c>
      <c r="B4" s="3" t="str">
        <f>'[2]Orçamento  Desonerado'!D4</f>
        <v>Descrição</v>
      </c>
      <c r="C4" s="92" t="s">
        <v>8</v>
      </c>
      <c r="D4" s="4" t="s">
        <v>9</v>
      </c>
      <c r="E4" s="41" t="s">
        <v>26</v>
      </c>
    </row>
    <row r="5" spans="1:11" s="44" customFormat="1" ht="24" customHeight="1" x14ac:dyDescent="0.2">
      <c r="A5" s="126" t="s">
        <v>31</v>
      </c>
      <c r="B5" s="45" t="s">
        <v>149</v>
      </c>
      <c r="C5" s="93"/>
      <c r="D5" s="46"/>
      <c r="E5" s="47" t="s">
        <v>14</v>
      </c>
    </row>
    <row r="6" spans="1:11" s="44" customFormat="1" ht="24" customHeight="1" x14ac:dyDescent="0.2">
      <c r="A6" s="126" t="s">
        <v>150</v>
      </c>
      <c r="B6" s="45" t="s">
        <v>85</v>
      </c>
      <c r="C6" s="93"/>
      <c r="D6" s="46"/>
      <c r="E6" s="47"/>
    </row>
    <row r="7" spans="1:11" s="48" customFormat="1" ht="31.5" customHeight="1" x14ac:dyDescent="0.2">
      <c r="A7" s="123" t="s">
        <v>173</v>
      </c>
      <c r="B7" s="84" t="s">
        <v>16</v>
      </c>
      <c r="C7" s="94" t="s">
        <v>17</v>
      </c>
      <c r="D7" s="85">
        <v>4.4000000000000004</v>
      </c>
      <c r="E7" s="86" t="s">
        <v>178</v>
      </c>
      <c r="F7" s="48">
        <f>1*0.2*22</f>
        <v>4.4000000000000004</v>
      </c>
    </row>
    <row r="8" spans="1:11" s="48" customFormat="1" ht="30.75" customHeight="1" x14ac:dyDescent="0.2">
      <c r="A8" s="123" t="s">
        <v>172</v>
      </c>
      <c r="B8" s="84" t="s">
        <v>18</v>
      </c>
      <c r="C8" s="94" t="s">
        <v>17</v>
      </c>
      <c r="D8" s="85">
        <v>55</v>
      </c>
      <c r="E8" s="86" t="s">
        <v>179</v>
      </c>
      <c r="F8" s="48">
        <f>1*2.5*22</f>
        <v>55</v>
      </c>
    </row>
    <row r="9" spans="1:11" s="48" customFormat="1" ht="25.5" x14ac:dyDescent="0.2">
      <c r="A9" s="123" t="s">
        <v>171</v>
      </c>
      <c r="B9" s="84" t="s">
        <v>109</v>
      </c>
      <c r="C9" s="94" t="s">
        <v>119</v>
      </c>
      <c r="D9" s="85">
        <v>6.48</v>
      </c>
      <c r="E9" s="88" t="s">
        <v>115</v>
      </c>
    </row>
    <row r="10" spans="1:11" s="44" customFormat="1" ht="42.75" customHeight="1" x14ac:dyDescent="0.2">
      <c r="A10" s="123" t="s">
        <v>170</v>
      </c>
      <c r="B10" s="84" t="s">
        <v>69</v>
      </c>
      <c r="C10" s="94" t="s">
        <v>121</v>
      </c>
      <c r="D10" s="87">
        <v>40.799999999999997</v>
      </c>
      <c r="E10" s="88" t="s">
        <v>83</v>
      </c>
      <c r="F10" s="71">
        <v>34</v>
      </c>
      <c r="G10" s="70">
        <v>0.4</v>
      </c>
      <c r="H10" s="70">
        <v>6</v>
      </c>
      <c r="I10" s="70">
        <f>H10*G10*F10</f>
        <v>81.600000000000009</v>
      </c>
      <c r="J10" s="70">
        <v>0.5</v>
      </c>
      <c r="K10" s="70">
        <f>J10*I10</f>
        <v>40.800000000000004</v>
      </c>
    </row>
    <row r="11" spans="1:11" s="44" customFormat="1" ht="42.75" customHeight="1" x14ac:dyDescent="0.2">
      <c r="A11" s="123" t="s">
        <v>169</v>
      </c>
      <c r="B11" s="84" t="s">
        <v>123</v>
      </c>
      <c r="C11" s="94" t="s">
        <v>119</v>
      </c>
      <c r="D11" s="87">
        <v>10</v>
      </c>
      <c r="E11" s="88" t="s">
        <v>104</v>
      </c>
      <c r="F11" s="75"/>
      <c r="G11" s="75"/>
      <c r="H11" s="75"/>
      <c r="I11" s="75"/>
      <c r="J11" s="75"/>
      <c r="K11" s="75"/>
    </row>
    <row r="12" spans="1:11" s="48" customFormat="1" ht="51.75" customHeight="1" x14ac:dyDescent="0.2">
      <c r="A12" s="123" t="s">
        <v>168</v>
      </c>
      <c r="B12" s="84" t="s">
        <v>101</v>
      </c>
      <c r="C12" s="94" t="s">
        <v>102</v>
      </c>
      <c r="D12" s="87">
        <v>10</v>
      </c>
      <c r="E12" s="88" t="s">
        <v>103</v>
      </c>
    </row>
    <row r="13" spans="1:11" s="48" customFormat="1" ht="51.75" customHeight="1" x14ac:dyDescent="0.2">
      <c r="A13" s="123" t="s">
        <v>167</v>
      </c>
      <c r="B13" s="84" t="s">
        <v>126</v>
      </c>
      <c r="C13" s="94" t="s">
        <v>119</v>
      </c>
      <c r="D13" s="87">
        <v>15</v>
      </c>
      <c r="E13" s="88" t="s">
        <v>105</v>
      </c>
    </row>
    <row r="14" spans="1:11" s="48" customFormat="1" ht="27" customHeight="1" x14ac:dyDescent="0.2">
      <c r="A14" s="123" t="s">
        <v>166</v>
      </c>
      <c r="B14" s="84" t="s">
        <v>128</v>
      </c>
      <c r="C14" s="94" t="s">
        <v>119</v>
      </c>
      <c r="D14" s="87">
        <v>81.599999999999994</v>
      </c>
      <c r="E14" s="88" t="s">
        <v>84</v>
      </c>
    </row>
    <row r="15" spans="1:11" s="48" customFormat="1" ht="51" x14ac:dyDescent="0.2">
      <c r="A15" s="123" t="s">
        <v>165</v>
      </c>
      <c r="B15" s="84" t="s">
        <v>130</v>
      </c>
      <c r="C15" s="94" t="s">
        <v>121</v>
      </c>
      <c r="D15" s="87">
        <v>60.72</v>
      </c>
      <c r="E15" s="88" t="s">
        <v>106</v>
      </c>
    </row>
    <row r="16" spans="1:11" s="48" customFormat="1" ht="48" customHeight="1" x14ac:dyDescent="0.2">
      <c r="A16" s="123" t="s">
        <v>184</v>
      </c>
      <c r="B16" s="84" t="s">
        <v>132</v>
      </c>
      <c r="C16" s="94" t="s">
        <v>133</v>
      </c>
      <c r="D16" s="87">
        <v>2886</v>
      </c>
      <c r="E16" s="88" t="s">
        <v>107</v>
      </c>
      <c r="F16" s="48">
        <f>40.8*1.6</f>
        <v>65.28</v>
      </c>
      <c r="G16" s="48">
        <f>8.18*1.5</f>
        <v>12.27</v>
      </c>
      <c r="H16" s="48">
        <f>10.44*1.6</f>
        <v>16.704000000000001</v>
      </c>
      <c r="I16" s="48">
        <f>1.3*1.5</f>
        <v>1.9500000000000002</v>
      </c>
    </row>
    <row r="17" spans="1:13" s="48" customFormat="1" ht="51" x14ac:dyDescent="0.2">
      <c r="A17" s="123" t="s">
        <v>185</v>
      </c>
      <c r="B17" s="84" t="s">
        <v>135</v>
      </c>
      <c r="C17" s="94" t="s">
        <v>133</v>
      </c>
      <c r="D17" s="87">
        <v>2886</v>
      </c>
      <c r="E17" s="88" t="s">
        <v>107</v>
      </c>
    </row>
    <row r="18" spans="1:13" s="48" customFormat="1" ht="27" customHeight="1" x14ac:dyDescent="0.2">
      <c r="A18" s="123" t="s">
        <v>186</v>
      </c>
      <c r="B18" s="84" t="s">
        <v>92</v>
      </c>
      <c r="C18" s="94" t="s">
        <v>121</v>
      </c>
      <c r="D18" s="87">
        <v>9</v>
      </c>
      <c r="E18" s="88" t="s">
        <v>108</v>
      </c>
    </row>
    <row r="19" spans="1:13" s="48" customFormat="1" ht="27" customHeight="1" x14ac:dyDescent="0.2">
      <c r="A19" s="126" t="s">
        <v>32</v>
      </c>
      <c r="B19" s="45" t="s">
        <v>151</v>
      </c>
      <c r="C19" s="93"/>
      <c r="D19" s="46"/>
      <c r="E19" s="47"/>
    </row>
    <row r="20" spans="1:13" s="44" customFormat="1" ht="24" customHeight="1" x14ac:dyDescent="0.2">
      <c r="A20" s="126" t="s">
        <v>152</v>
      </c>
      <c r="B20" s="45" t="s">
        <v>86</v>
      </c>
      <c r="C20" s="93"/>
      <c r="D20" s="46"/>
      <c r="E20" s="47"/>
    </row>
    <row r="21" spans="1:13" s="44" customFormat="1" ht="24" customHeight="1" x14ac:dyDescent="0.2">
      <c r="A21" s="123" t="s">
        <v>163</v>
      </c>
      <c r="B21" s="84" t="s">
        <v>16</v>
      </c>
      <c r="C21" s="94" t="s">
        <v>17</v>
      </c>
      <c r="D21" s="85">
        <v>4.4000000000000004</v>
      </c>
      <c r="E21" s="86" t="s">
        <v>178</v>
      </c>
    </row>
    <row r="22" spans="1:13" s="44" customFormat="1" ht="24" customHeight="1" x14ac:dyDescent="0.2">
      <c r="A22" s="123" t="s">
        <v>162</v>
      </c>
      <c r="B22" s="84" t="s">
        <v>18</v>
      </c>
      <c r="C22" s="94" t="s">
        <v>17</v>
      </c>
      <c r="D22" s="85">
        <v>33</v>
      </c>
      <c r="E22" s="86" t="s">
        <v>180</v>
      </c>
      <c r="G22" s="44">
        <f>1*1.5*22</f>
        <v>33</v>
      </c>
    </row>
    <row r="23" spans="1:13" s="44" customFormat="1" ht="24" customHeight="1" x14ac:dyDescent="0.2">
      <c r="A23" s="123" t="e">
        <v>#REF!</v>
      </c>
      <c r="B23" s="84" t="s">
        <v>69</v>
      </c>
      <c r="C23" s="94" t="s">
        <v>121</v>
      </c>
      <c r="D23" s="89">
        <v>33</v>
      </c>
      <c r="E23" s="88" t="s">
        <v>87</v>
      </c>
      <c r="F23" s="71" t="s">
        <v>82</v>
      </c>
      <c r="G23" s="70" t="s">
        <v>81</v>
      </c>
      <c r="H23" s="70" t="s">
        <v>80</v>
      </c>
      <c r="I23" s="70" t="s">
        <v>79</v>
      </c>
      <c r="J23" s="70"/>
      <c r="K23" s="70" t="s">
        <v>78</v>
      </c>
    </row>
    <row r="24" spans="1:13" s="48" customFormat="1" ht="39" customHeight="1" x14ac:dyDescent="0.2">
      <c r="A24" s="123" t="s">
        <v>192</v>
      </c>
      <c r="B24" s="84" t="s">
        <v>123</v>
      </c>
      <c r="C24" s="94" t="s">
        <v>119</v>
      </c>
      <c r="D24" s="89">
        <v>10</v>
      </c>
      <c r="E24" s="88" t="s">
        <v>104</v>
      </c>
      <c r="F24" s="71">
        <v>55</v>
      </c>
      <c r="G24" s="70">
        <v>0.2</v>
      </c>
      <c r="H24" s="70">
        <v>6</v>
      </c>
      <c r="I24" s="70">
        <f>H24*G24*F24</f>
        <v>66.000000000000014</v>
      </c>
      <c r="J24" s="70">
        <v>0.5</v>
      </c>
      <c r="K24" s="70">
        <f>J24*I24</f>
        <v>33.000000000000007</v>
      </c>
    </row>
    <row r="25" spans="1:13" s="44" customFormat="1" ht="24" customHeight="1" x14ac:dyDescent="0.2">
      <c r="A25" s="123" t="s">
        <v>193</v>
      </c>
      <c r="B25" s="84" t="s">
        <v>101</v>
      </c>
      <c r="C25" s="94" t="s">
        <v>102</v>
      </c>
      <c r="D25" s="89">
        <v>10</v>
      </c>
      <c r="E25" s="88" t="s">
        <v>103</v>
      </c>
    </row>
    <row r="26" spans="1:13" s="44" customFormat="1" ht="24" customHeight="1" x14ac:dyDescent="0.2">
      <c r="A26" s="123" t="s">
        <v>194</v>
      </c>
      <c r="B26" s="84" t="s">
        <v>126</v>
      </c>
      <c r="C26" s="94" t="s">
        <v>119</v>
      </c>
      <c r="D26" s="89">
        <v>15</v>
      </c>
      <c r="E26" s="88" t="s">
        <v>105</v>
      </c>
      <c r="M26" s="96"/>
    </row>
    <row r="27" spans="1:13" s="44" customFormat="1" ht="38.25" x14ac:dyDescent="0.2">
      <c r="A27" s="123" t="s">
        <v>195</v>
      </c>
      <c r="B27" s="84" t="s">
        <v>128</v>
      </c>
      <c r="C27" s="94" t="s">
        <v>119</v>
      </c>
      <c r="D27" s="89">
        <v>66</v>
      </c>
      <c r="E27" s="88" t="s">
        <v>88</v>
      </c>
      <c r="M27" s="96"/>
    </row>
    <row r="28" spans="1:13" ht="51" x14ac:dyDescent="0.2">
      <c r="A28" s="123" t="s">
        <v>196</v>
      </c>
      <c r="B28" s="84" t="s">
        <v>130</v>
      </c>
      <c r="C28" s="94" t="s">
        <v>121</v>
      </c>
      <c r="D28" s="89">
        <v>51.56</v>
      </c>
      <c r="E28" s="88" t="s">
        <v>138</v>
      </c>
      <c r="F28" s="44"/>
      <c r="G28" s="44"/>
      <c r="H28" s="44"/>
      <c r="I28" s="44"/>
      <c r="J28" s="44"/>
      <c r="K28" s="44"/>
    </row>
    <row r="29" spans="1:13" s="48" customFormat="1" ht="38.25" x14ac:dyDescent="0.2">
      <c r="A29" s="123" t="s">
        <v>197</v>
      </c>
      <c r="B29" s="84" t="s">
        <v>132</v>
      </c>
      <c r="C29" s="94" t="s">
        <v>133</v>
      </c>
      <c r="D29" s="89">
        <v>2058.3000000000002</v>
      </c>
      <c r="E29" s="88" t="s">
        <v>139</v>
      </c>
      <c r="F29" s="44">
        <f>33*1.6</f>
        <v>52.800000000000004</v>
      </c>
      <c r="G29" s="44">
        <f>(1.14+7.52)*1.6</f>
        <v>13.856000000000002</v>
      </c>
      <c r="H29" s="44">
        <f>1.3*1.5</f>
        <v>1.9500000000000002</v>
      </c>
      <c r="I29" s="44">
        <v>68.61</v>
      </c>
      <c r="J29" s="44">
        <f>I29*30</f>
        <v>2058.3000000000002</v>
      </c>
      <c r="K29" s="44"/>
    </row>
    <row r="30" spans="1:13" s="48" customFormat="1" ht="38.25" x14ac:dyDescent="0.2">
      <c r="A30" s="123" t="s">
        <v>198</v>
      </c>
      <c r="B30" s="84" t="s">
        <v>135</v>
      </c>
      <c r="C30" s="94" t="s">
        <v>133</v>
      </c>
      <c r="D30" s="89">
        <v>2058.3000000000002</v>
      </c>
      <c r="E30" s="88" t="s">
        <v>139</v>
      </c>
      <c r="F30" s="44"/>
      <c r="G30" s="44"/>
      <c r="H30" s="44"/>
      <c r="I30" s="44"/>
      <c r="J30" s="44"/>
      <c r="K30" s="44"/>
    </row>
    <row r="31" spans="1:13" s="48" customFormat="1" x14ac:dyDescent="0.2">
      <c r="A31" s="126" t="s">
        <v>67</v>
      </c>
      <c r="B31" s="45" t="s">
        <v>153</v>
      </c>
      <c r="C31" s="93"/>
      <c r="D31" s="46"/>
      <c r="E31" s="47"/>
      <c r="F31" s="44"/>
      <c r="G31" s="44"/>
      <c r="H31" s="44"/>
      <c r="I31" s="44"/>
      <c r="J31" s="44"/>
      <c r="K31" s="44"/>
    </row>
    <row r="32" spans="1:13" x14ac:dyDescent="0.2">
      <c r="A32" s="126" t="s">
        <v>68</v>
      </c>
      <c r="B32" s="45" t="s">
        <v>89</v>
      </c>
      <c r="C32" s="93"/>
      <c r="D32" s="46"/>
      <c r="E32" s="47"/>
      <c r="F32" s="44"/>
      <c r="G32" s="44"/>
      <c r="H32" s="44"/>
      <c r="I32" s="44"/>
      <c r="J32" s="44"/>
      <c r="K32" s="44"/>
    </row>
    <row r="33" spans="1:11" ht="25.5" x14ac:dyDescent="0.2">
      <c r="A33" s="123" t="s">
        <v>160</v>
      </c>
      <c r="B33" s="84" t="s">
        <v>16</v>
      </c>
      <c r="C33" s="94" t="s">
        <v>17</v>
      </c>
      <c r="D33" s="85">
        <v>4.4000000000000004</v>
      </c>
      <c r="E33" s="86" t="s">
        <v>178</v>
      </c>
      <c r="F33" s="44"/>
      <c r="G33" s="44"/>
      <c r="H33" s="44"/>
      <c r="I33" s="44"/>
      <c r="J33" s="44"/>
      <c r="K33" s="44"/>
    </row>
    <row r="34" spans="1:11" x14ac:dyDescent="0.2">
      <c r="A34" s="123" t="s">
        <v>159</v>
      </c>
      <c r="B34" s="84" t="s">
        <v>18</v>
      </c>
      <c r="C34" s="94" t="s">
        <v>17</v>
      </c>
      <c r="D34" s="85">
        <v>77</v>
      </c>
      <c r="E34" s="86" t="s">
        <v>181</v>
      </c>
      <c r="F34" s="44">
        <f>22*1*3.5</f>
        <v>77</v>
      </c>
      <c r="G34" s="44"/>
      <c r="H34" s="44"/>
      <c r="I34" s="44"/>
      <c r="J34" s="44"/>
      <c r="K34" s="44"/>
    </row>
    <row r="35" spans="1:11" ht="51" x14ac:dyDescent="0.2">
      <c r="A35" s="123" t="s">
        <v>199</v>
      </c>
      <c r="B35" s="84" t="s">
        <v>69</v>
      </c>
      <c r="C35" s="94" t="s">
        <v>121</v>
      </c>
      <c r="D35" s="89">
        <v>42.75</v>
      </c>
      <c r="E35" s="96" t="s">
        <v>146</v>
      </c>
      <c r="F35" s="5"/>
      <c r="G35" s="5"/>
      <c r="H35" s="5"/>
    </row>
    <row r="36" spans="1:11" ht="25.5" x14ac:dyDescent="0.2">
      <c r="A36" s="123" t="s">
        <v>200</v>
      </c>
      <c r="B36" s="84" t="s">
        <v>123</v>
      </c>
      <c r="C36" s="94" t="s">
        <v>119</v>
      </c>
      <c r="D36" s="89">
        <v>10</v>
      </c>
      <c r="E36" s="88" t="s">
        <v>104</v>
      </c>
      <c r="F36" s="71" t="s">
        <v>82</v>
      </c>
      <c r="G36" s="70" t="s">
        <v>81</v>
      </c>
      <c r="H36" s="70" t="s">
        <v>80</v>
      </c>
      <c r="I36" s="70" t="s">
        <v>79</v>
      </c>
      <c r="J36" s="70"/>
      <c r="K36" s="70" t="s">
        <v>78</v>
      </c>
    </row>
    <row r="37" spans="1:11" ht="51" x14ac:dyDescent="0.2">
      <c r="A37" s="123" t="s">
        <v>201</v>
      </c>
      <c r="B37" s="84" t="s">
        <v>101</v>
      </c>
      <c r="C37" s="94" t="s">
        <v>102</v>
      </c>
      <c r="D37" s="89">
        <v>10</v>
      </c>
      <c r="E37" s="88" t="s">
        <v>103</v>
      </c>
      <c r="F37" s="71">
        <v>30</v>
      </c>
      <c r="G37" s="70">
        <v>0.2</v>
      </c>
      <c r="H37" s="70">
        <v>6</v>
      </c>
      <c r="I37" s="70">
        <f>H37*G37*F37</f>
        <v>36.000000000000007</v>
      </c>
      <c r="J37" s="70">
        <v>0.5</v>
      </c>
      <c r="K37" s="70">
        <f>J37*I37</f>
        <v>18.000000000000004</v>
      </c>
    </row>
    <row r="38" spans="1:11" ht="38.25" x14ac:dyDescent="0.2">
      <c r="A38" s="123" t="s">
        <v>202</v>
      </c>
      <c r="B38" s="84" t="s">
        <v>126</v>
      </c>
      <c r="C38" s="94" t="s">
        <v>119</v>
      </c>
      <c r="D38" s="89">
        <v>15</v>
      </c>
      <c r="E38" s="88" t="s">
        <v>105</v>
      </c>
      <c r="F38" s="48"/>
      <c r="G38" s="48"/>
      <c r="H38" s="48"/>
      <c r="I38" s="48"/>
      <c r="J38" s="48"/>
      <c r="K38" s="48"/>
    </row>
    <row r="39" spans="1:11" ht="38.25" x14ac:dyDescent="0.2">
      <c r="A39" s="123" t="s">
        <v>203</v>
      </c>
      <c r="B39" s="84" t="s">
        <v>128</v>
      </c>
      <c r="C39" s="94" t="s">
        <v>119</v>
      </c>
      <c r="D39" s="89">
        <v>36</v>
      </c>
      <c r="E39" s="96" t="s">
        <v>90</v>
      </c>
      <c r="F39" s="5"/>
      <c r="G39" s="5"/>
      <c r="H39" s="5"/>
    </row>
    <row r="40" spans="1:11" ht="51" x14ac:dyDescent="0.2">
      <c r="A40" s="123" t="s">
        <v>204</v>
      </c>
      <c r="B40" s="84" t="s">
        <v>130</v>
      </c>
      <c r="C40" s="94" t="s">
        <v>121</v>
      </c>
      <c r="D40" s="89">
        <v>49.29</v>
      </c>
      <c r="E40" s="88" t="s">
        <v>147</v>
      </c>
      <c r="F40" s="1"/>
      <c r="G40" s="1"/>
      <c r="H40" s="1"/>
    </row>
    <row r="41" spans="1:11" ht="38.25" x14ac:dyDescent="0.2">
      <c r="A41" s="123" t="s">
        <v>205</v>
      </c>
      <c r="B41" s="84" t="s">
        <v>132</v>
      </c>
      <c r="C41" s="94" t="s">
        <v>133</v>
      </c>
      <c r="D41" s="89">
        <v>1173.9000000000001</v>
      </c>
      <c r="E41" s="88" t="s">
        <v>140</v>
      </c>
      <c r="F41" s="71"/>
      <c r="G41" s="70"/>
      <c r="H41" s="70"/>
      <c r="I41" s="70"/>
      <c r="J41" s="70"/>
      <c r="K41" s="70"/>
    </row>
    <row r="42" spans="1:11" ht="38.25" x14ac:dyDescent="0.2">
      <c r="A42" s="123" t="s">
        <v>188</v>
      </c>
      <c r="B42" s="84" t="s">
        <v>135</v>
      </c>
      <c r="C42" s="94" t="s">
        <v>133</v>
      </c>
      <c r="D42" s="89">
        <v>1174.9000000000001</v>
      </c>
      <c r="E42" s="88" t="s">
        <v>140</v>
      </c>
      <c r="F42" s="71">
        <f>18*1.6</f>
        <v>28.8</v>
      </c>
      <c r="G42" s="70">
        <f>((1.14+4.1)*1.6)</f>
        <v>8.3839999999999986</v>
      </c>
      <c r="H42" s="70">
        <f>1.3*1.5</f>
        <v>1.9500000000000002</v>
      </c>
      <c r="I42" s="70"/>
      <c r="J42" s="70"/>
      <c r="K42" s="70"/>
    </row>
    <row r="43" spans="1:11" ht="51" x14ac:dyDescent="0.2">
      <c r="A43" s="123" t="s">
        <v>189</v>
      </c>
      <c r="B43" s="84" t="s">
        <v>143</v>
      </c>
      <c r="C43" s="94" t="s">
        <v>102</v>
      </c>
      <c r="D43" s="89">
        <v>55</v>
      </c>
      <c r="E43" s="88" t="s">
        <v>154</v>
      </c>
      <c r="F43">
        <f>(34+55+30)*2*(0.2)</f>
        <v>47.6</v>
      </c>
    </row>
    <row r="44" spans="1:11" ht="38.25" x14ac:dyDescent="0.2">
      <c r="A44" s="123" t="s">
        <v>190</v>
      </c>
      <c r="B44" s="84" t="s">
        <v>144</v>
      </c>
      <c r="C44" s="94" t="s">
        <v>119</v>
      </c>
      <c r="D44" s="89">
        <v>30</v>
      </c>
      <c r="E44" s="88" t="s">
        <v>148</v>
      </c>
    </row>
    <row r="45" spans="1:11" ht="38.25" x14ac:dyDescent="0.2">
      <c r="A45" s="123" t="s">
        <v>191</v>
      </c>
      <c r="B45" s="84" t="s">
        <v>145</v>
      </c>
      <c r="C45" s="94" t="s">
        <v>121</v>
      </c>
      <c r="D45" s="89">
        <v>123.75</v>
      </c>
      <c r="E45" s="88" t="s">
        <v>155</v>
      </c>
      <c r="F45">
        <f>55*1.5*1.5</f>
        <v>123.75</v>
      </c>
    </row>
  </sheetData>
  <autoFilter ref="A4:E45" xr:uid="{00000000-0001-0000-0200-000000000000}"/>
  <mergeCells count="5">
    <mergeCell ref="F1:H1"/>
    <mergeCell ref="I1:J1"/>
    <mergeCell ref="F2:H2"/>
    <mergeCell ref="I2:J2"/>
    <mergeCell ref="A3:E3"/>
  </mergeCells>
  <phoneticPr fontId="28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74" fitToHeight="0" orientation="landscape" r:id="rId1"/>
  <headerFooter>
    <oddFooter>Página &amp;P de &amp;N</oddFooter>
  </headerFooter>
  <colBreaks count="1" manualBreakCount="1">
    <brk id="5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1AC0-A0B4-4409-9FF0-145A331B06AC}">
  <sheetPr>
    <pageSetUpPr fitToPage="1"/>
  </sheetPr>
  <dimension ref="A1:M18"/>
  <sheetViews>
    <sheetView showWhiteSpace="0" view="pageBreakPreview" topLeftCell="A16" zoomScale="85" zoomScaleNormal="115" zoomScaleSheetLayoutView="85" workbookViewId="0">
      <selection activeCell="A17" sqref="A17"/>
    </sheetView>
  </sheetViews>
  <sheetFormatPr defaultRowHeight="12.75" x14ac:dyDescent="0.2"/>
  <cols>
    <col min="1" max="2" width="10" style="9" bestFit="1" customWidth="1"/>
    <col min="3" max="3" width="13.25" style="9" bestFit="1" customWidth="1"/>
    <col min="4" max="4" width="60" style="9" bestFit="1" customWidth="1"/>
    <col min="5" max="5" width="8" style="29" bestFit="1" customWidth="1"/>
    <col min="6" max="7" width="13" style="9" bestFit="1" customWidth="1"/>
    <col min="8" max="8" width="13" style="9" customWidth="1"/>
    <col min="9" max="9" width="13" style="9" bestFit="1" customWidth="1"/>
    <col min="10" max="10" width="13" style="9" customWidth="1"/>
    <col min="11" max="11" width="13" style="9" bestFit="1" customWidth="1"/>
    <col min="12" max="12" width="9" style="9" customWidth="1"/>
    <col min="13" max="16384" width="9" style="9"/>
  </cols>
  <sheetData>
    <row r="1" spans="1:13" ht="13.5" thickBot="1" x14ac:dyDescent="0.25">
      <c r="A1" s="65"/>
      <c r="B1" s="66"/>
      <c r="C1" s="66"/>
      <c r="D1" s="66" t="s">
        <v>30</v>
      </c>
      <c r="E1" s="241" t="s">
        <v>0</v>
      </c>
      <c r="F1" s="241"/>
      <c r="G1" s="241" t="s">
        <v>1</v>
      </c>
      <c r="H1" s="241"/>
      <c r="I1" s="241"/>
      <c r="J1" s="241" t="s">
        <v>2</v>
      </c>
      <c r="K1" s="242"/>
    </row>
    <row r="2" spans="1:13" s="16" customFormat="1" ht="79.5" customHeight="1" thickBot="1" x14ac:dyDescent="0.25">
      <c r="A2" s="25"/>
      <c r="B2" s="26"/>
      <c r="C2" s="26"/>
      <c r="D2" s="69" t="str">
        <f>'Orçamento NÃO DESONERADO'!D2</f>
        <v>OBJETO: RECOMPOSIÇÃO DE PARALELEPÍPEDO E SISTEMAS DE DRENAGEM DO BAIRRO DA BOA VISTA, GOIANA/PE                                                                                    ENDEREÇO:  GOIANA/PE.                             DATA: MAIO/ 2026</v>
      </c>
      <c r="E2" s="243"/>
      <c r="F2" s="244"/>
      <c r="G2" s="245"/>
      <c r="H2" s="246"/>
      <c r="I2" s="244"/>
      <c r="J2" s="243"/>
      <c r="K2" s="244"/>
      <c r="M2" s="16">
        <v>1.2297</v>
      </c>
    </row>
    <row r="3" spans="1:13" ht="13.5" thickBot="1" x14ac:dyDescent="0.25">
      <c r="A3" s="238" t="s">
        <v>3</v>
      </c>
      <c r="B3" s="239"/>
      <c r="C3" s="239"/>
      <c r="D3" s="239"/>
      <c r="E3" s="239"/>
      <c r="F3" s="239"/>
      <c r="G3" s="239"/>
      <c r="H3" s="239"/>
      <c r="I3" s="239"/>
      <c r="J3" s="239"/>
      <c r="K3" s="240"/>
    </row>
    <row r="4" spans="1:13" ht="30" customHeight="1" x14ac:dyDescent="0.2">
      <c r="A4" s="10" t="s">
        <v>4</v>
      </c>
      <c r="B4" s="11"/>
      <c r="C4" s="12"/>
      <c r="D4" s="12" t="s">
        <v>7</v>
      </c>
      <c r="E4" s="27"/>
      <c r="F4" s="11"/>
      <c r="G4" s="13"/>
      <c r="H4" s="14"/>
      <c r="I4" s="11"/>
      <c r="J4" s="11"/>
      <c r="K4" s="15"/>
    </row>
    <row r="5" spans="1:13" ht="24" customHeight="1" x14ac:dyDescent="0.2">
      <c r="A5" s="22" t="s">
        <v>150</v>
      </c>
      <c r="B5" s="23" t="s">
        <v>13</v>
      </c>
      <c r="C5" s="23"/>
      <c r="D5" s="18" t="s">
        <v>85</v>
      </c>
      <c r="E5" s="23"/>
      <c r="F5" s="20"/>
      <c r="G5" s="20" t="s">
        <v>14</v>
      </c>
      <c r="H5" s="19"/>
      <c r="I5" s="20"/>
      <c r="J5" s="20"/>
      <c r="K5" s="21"/>
    </row>
    <row r="6" spans="1:13" ht="241.5" customHeight="1" x14ac:dyDescent="0.2">
      <c r="A6" s="235"/>
      <c r="B6" s="236"/>
      <c r="C6" s="236"/>
      <c r="D6" s="236"/>
      <c r="E6" s="236"/>
      <c r="F6" s="236"/>
      <c r="G6" s="236"/>
      <c r="H6" s="236"/>
      <c r="I6" s="236"/>
      <c r="J6" s="236"/>
      <c r="K6" s="237"/>
      <c r="M6"/>
    </row>
    <row r="7" spans="1:13" ht="20.25" customHeight="1" x14ac:dyDescent="0.2">
      <c r="A7" s="235" t="s">
        <v>75</v>
      </c>
      <c r="B7" s="236"/>
      <c r="C7" s="64" t="s">
        <v>74</v>
      </c>
      <c r="D7" s="63" t="s">
        <v>93</v>
      </c>
      <c r="E7" s="232" t="s">
        <v>76</v>
      </c>
      <c r="F7" s="232"/>
      <c r="G7" s="233" t="s">
        <v>94</v>
      </c>
      <c r="H7" s="233"/>
      <c r="I7" s="233"/>
      <c r="J7" s="233"/>
      <c r="K7" s="234"/>
    </row>
    <row r="8" spans="1:13" ht="24" customHeight="1" x14ac:dyDescent="0.2">
      <c r="A8" s="22" t="s">
        <v>152</v>
      </c>
      <c r="B8" s="23" t="s">
        <v>13</v>
      </c>
      <c r="C8" s="23"/>
      <c r="D8" s="18" t="s">
        <v>86</v>
      </c>
      <c r="E8" s="23"/>
      <c r="F8" s="20"/>
      <c r="G8" s="20" t="s">
        <v>14</v>
      </c>
      <c r="H8" s="19"/>
      <c r="I8" s="20"/>
      <c r="J8" s="20"/>
      <c r="K8" s="21"/>
    </row>
    <row r="9" spans="1:13" s="17" customFormat="1" ht="222.95" customHeight="1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6"/>
      <c r="K9" s="237"/>
      <c r="L9" s="9"/>
    </row>
    <row r="10" spans="1:13" s="17" customFormat="1" ht="30" customHeight="1" x14ac:dyDescent="0.2">
      <c r="A10" s="235" t="s">
        <v>75</v>
      </c>
      <c r="B10" s="236"/>
      <c r="C10" s="64" t="s">
        <v>74</v>
      </c>
      <c r="D10" s="63" t="s">
        <v>95</v>
      </c>
      <c r="E10" s="232" t="s">
        <v>76</v>
      </c>
      <c r="F10" s="232"/>
      <c r="G10" s="233" t="s">
        <v>96</v>
      </c>
      <c r="H10" s="233"/>
      <c r="I10" s="233"/>
      <c r="J10" s="233"/>
      <c r="K10" s="234"/>
      <c r="L10" s="9"/>
    </row>
    <row r="11" spans="1:13" ht="24" customHeight="1" x14ac:dyDescent="0.2">
      <c r="A11" s="22" t="s">
        <v>68</v>
      </c>
      <c r="B11" s="23" t="s">
        <v>13</v>
      </c>
      <c r="C11" s="23"/>
      <c r="D11" s="18" t="s">
        <v>89</v>
      </c>
      <c r="E11" s="23"/>
      <c r="F11" s="20"/>
      <c r="G11" s="20" t="s">
        <v>14</v>
      </c>
      <c r="H11" s="19"/>
      <c r="I11" s="20"/>
      <c r="J11" s="20"/>
      <c r="K11" s="21"/>
    </row>
    <row r="12" spans="1:13" s="17" customFormat="1" ht="222.95" customHeight="1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6"/>
      <c r="K12" s="237"/>
      <c r="L12" s="9"/>
    </row>
    <row r="13" spans="1:13" s="17" customFormat="1" ht="30" customHeight="1" x14ac:dyDescent="0.2">
      <c r="A13" s="235" t="s">
        <v>75</v>
      </c>
      <c r="B13" s="236"/>
      <c r="C13" s="64" t="s">
        <v>74</v>
      </c>
      <c r="D13" s="63" t="s">
        <v>97</v>
      </c>
      <c r="E13" s="232" t="s">
        <v>76</v>
      </c>
      <c r="F13" s="232"/>
      <c r="G13" s="233" t="s">
        <v>98</v>
      </c>
      <c r="H13" s="233"/>
      <c r="I13" s="233"/>
      <c r="J13" s="233"/>
      <c r="K13" s="234"/>
      <c r="L13" s="9"/>
    </row>
    <row r="14" spans="1:13" ht="26.25" customHeight="1" x14ac:dyDescent="0.2">
      <c r="A14" s="22"/>
      <c r="B14" s="23" t="s">
        <v>13</v>
      </c>
      <c r="C14" s="23"/>
      <c r="D14" s="18" t="s">
        <v>91</v>
      </c>
      <c r="E14" s="23"/>
      <c r="F14" s="20"/>
      <c r="G14" s="20" t="s">
        <v>14</v>
      </c>
      <c r="H14" s="19"/>
      <c r="I14" s="20"/>
      <c r="J14" s="20"/>
      <c r="K14" s="21"/>
    </row>
    <row r="15" spans="1:13" s="17" customFormat="1" ht="222.95" customHeight="1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6"/>
      <c r="K15" s="237"/>
      <c r="L15" s="9"/>
    </row>
    <row r="16" spans="1:13" s="17" customFormat="1" ht="30" customHeight="1" x14ac:dyDescent="0.2">
      <c r="A16" s="235" t="s">
        <v>75</v>
      </c>
      <c r="B16" s="236"/>
      <c r="C16" s="64" t="s">
        <v>74</v>
      </c>
      <c r="D16" s="63" t="s">
        <v>99</v>
      </c>
      <c r="E16" s="232" t="s">
        <v>76</v>
      </c>
      <c r="F16" s="232"/>
      <c r="G16" s="233" t="s">
        <v>100</v>
      </c>
      <c r="H16" s="233"/>
      <c r="I16" s="233"/>
      <c r="J16" s="233"/>
      <c r="K16" s="234"/>
      <c r="L16" s="9"/>
    </row>
    <row r="17" spans="1:11" s="17" customFormat="1" ht="409.5" customHeight="1" x14ac:dyDescent="0.2">
      <c r="A17" s="67"/>
      <c r="B17" s="24"/>
      <c r="C17" s="24"/>
      <c r="D17" s="24"/>
      <c r="E17" s="28"/>
      <c r="F17" s="24"/>
      <c r="G17" s="24"/>
      <c r="H17" s="24"/>
      <c r="I17" s="24"/>
      <c r="J17" s="24"/>
      <c r="K17" s="68"/>
    </row>
    <row r="18" spans="1:11" ht="30.75" customHeight="1" thickBot="1" x14ac:dyDescent="0.25">
      <c r="A18" s="229" t="s">
        <v>77</v>
      </c>
      <c r="B18" s="230"/>
      <c r="C18" s="230"/>
      <c r="D18" s="230"/>
      <c r="E18" s="230"/>
      <c r="F18" s="230"/>
      <c r="G18" s="230"/>
      <c r="H18" s="230"/>
      <c r="I18" s="230"/>
      <c r="J18" s="230"/>
      <c r="K18" s="231"/>
    </row>
  </sheetData>
  <autoFilter ref="A4:K18" xr:uid="{00000000-0009-0000-0000-000001000000}"/>
  <mergeCells count="24">
    <mergeCell ref="A3:K3"/>
    <mergeCell ref="A6:K6"/>
    <mergeCell ref="A9:K9"/>
    <mergeCell ref="E1:F1"/>
    <mergeCell ref="G1:I1"/>
    <mergeCell ref="J1:K1"/>
    <mergeCell ref="E2:F2"/>
    <mergeCell ref="G2:I2"/>
    <mergeCell ref="J2:K2"/>
    <mergeCell ref="A18:K18"/>
    <mergeCell ref="E7:F7"/>
    <mergeCell ref="G7:K7"/>
    <mergeCell ref="A7:B7"/>
    <mergeCell ref="A10:B10"/>
    <mergeCell ref="E10:F10"/>
    <mergeCell ref="G10:K10"/>
    <mergeCell ref="A12:K12"/>
    <mergeCell ref="A15:K15"/>
    <mergeCell ref="A13:B13"/>
    <mergeCell ref="E13:F13"/>
    <mergeCell ref="G13:K13"/>
    <mergeCell ref="A16:B16"/>
    <mergeCell ref="E16:F16"/>
    <mergeCell ref="G16:K16"/>
  </mergeCells>
  <pageMargins left="0.51181102362204722" right="0.51181102362204722" top="0.98425196850393704" bottom="0.98425196850393704" header="0.51181102362204722" footer="0.51181102362204722"/>
  <pageSetup paperSize="9" scale="69" fitToHeight="0" orientation="landscape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AFEC1-A551-4257-BFD5-C41C549C8085}">
  <dimension ref="A1:J38"/>
  <sheetViews>
    <sheetView showWhiteSpace="0" view="pageBreakPreview" zoomScale="85" zoomScaleNormal="70" zoomScaleSheetLayoutView="85" workbookViewId="0">
      <selection activeCell="D2" sqref="D2"/>
    </sheetView>
  </sheetViews>
  <sheetFormatPr defaultRowHeight="14.25" x14ac:dyDescent="0.2"/>
  <cols>
    <col min="1" max="1" width="17" style="49" bestFit="1" customWidth="1"/>
    <col min="2" max="2" width="60" bestFit="1" customWidth="1"/>
    <col min="3" max="3" width="14.5" customWidth="1"/>
    <col min="4" max="4" width="15.75" style="49" customWidth="1"/>
    <col min="5" max="5" width="60" style="49" bestFit="1" customWidth="1"/>
    <col min="6" max="6" width="18" bestFit="1" customWidth="1"/>
    <col min="14" max="15" width="9.625" bestFit="1" customWidth="1"/>
  </cols>
  <sheetData>
    <row r="1" spans="1:10" ht="15.75" thickBot="1" x14ac:dyDescent="0.25">
      <c r="A1" s="76"/>
      <c r="B1" s="66" t="s">
        <v>30</v>
      </c>
      <c r="C1" s="7" t="s">
        <v>0</v>
      </c>
      <c r="D1" s="76" t="s">
        <v>1</v>
      </c>
      <c r="E1" s="76" t="s">
        <v>2</v>
      </c>
      <c r="F1" s="174"/>
      <c r="G1" s="174"/>
      <c r="H1" s="174"/>
      <c r="I1" s="174"/>
      <c r="J1" s="174"/>
    </row>
    <row r="2" spans="1:10" ht="78" customHeight="1" thickBot="1" x14ac:dyDescent="0.25">
      <c r="A2" s="1"/>
      <c r="B2" s="69" t="str">
        <f>'GEORREFERENCIA E FOTOS'!D2</f>
        <v>OBJETO: RECOMPOSIÇÃO DE PARALELEPÍPEDO E SISTEMAS DE DRENAGEM DO BAIRRO DA BOA VISTA, GOIANA/PE                                                                                    ENDEREÇO:  GOIANA/PE.                             DATA: MAIO/ 2026</v>
      </c>
      <c r="C2" s="2" t="s">
        <v>142</v>
      </c>
      <c r="D2" s="42"/>
      <c r="E2" s="43"/>
      <c r="F2" s="174"/>
      <c r="G2" s="174"/>
      <c r="H2" s="174"/>
      <c r="I2" s="174"/>
      <c r="J2" s="174"/>
    </row>
    <row r="3" spans="1:10" ht="15" x14ac:dyDescent="0.25">
      <c r="A3" s="225" t="s">
        <v>110</v>
      </c>
      <c r="B3" s="174"/>
      <c r="C3" s="174"/>
      <c r="D3" s="174"/>
      <c r="E3" s="174"/>
    </row>
    <row r="37" spans="1:2" ht="15" x14ac:dyDescent="0.25">
      <c r="A37" s="77" t="s">
        <v>111</v>
      </c>
      <c r="B37" s="78" t="s">
        <v>112</v>
      </c>
    </row>
    <row r="38" spans="1:2" ht="15" x14ac:dyDescent="0.25">
      <c r="A38" s="77" t="s">
        <v>113</v>
      </c>
      <c r="B38" s="78" t="s">
        <v>114</v>
      </c>
    </row>
  </sheetData>
  <mergeCells count="5">
    <mergeCell ref="F1:H1"/>
    <mergeCell ref="I1:J1"/>
    <mergeCell ref="F2:H2"/>
    <mergeCell ref="I2:J2"/>
    <mergeCell ref="A3:E3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74" fitToHeight="0" orientation="landscape" r:id="rId1"/>
  <headerFooter>
    <oddFooter>Página &amp;P de &amp;N</oddFooter>
  </headerFooter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Orçamento NÃO DESONERADO</vt:lpstr>
      <vt:lpstr>BDI NÃO DESONERADO PAV</vt:lpstr>
      <vt:lpstr>Cronograma</vt:lpstr>
      <vt:lpstr>Memória de Calculo</vt:lpstr>
      <vt:lpstr>GEORREFERENCIA E FOTOS</vt:lpstr>
      <vt:lpstr>MODELO PLACA DE OBRAS</vt:lpstr>
      <vt:lpstr>'BDI NÃO DESONERADO PAV'!Area_de_impressao</vt:lpstr>
      <vt:lpstr>Cronograma!Area_de_impressao</vt:lpstr>
      <vt:lpstr>'GEORREFERENCIA E FOTOS'!Area_de_impressao</vt:lpstr>
      <vt:lpstr>'Memória de Calculo'!Area_de_impressao</vt:lpstr>
      <vt:lpstr>'MODELO PLACA DE OBRAS'!Area_de_impressao</vt:lpstr>
      <vt:lpstr>'GEORREFERENCIA E FOTOS'!Titulos_de_impressao</vt:lpstr>
      <vt:lpstr>'Memória de Calculo'!Titulos_de_impressao</vt:lpstr>
      <vt:lpstr>'MODELO PLACA DE OBRAS'!Titulos_de_impressao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ramon andrade</cp:lastModifiedBy>
  <cp:revision>0</cp:revision>
  <cp:lastPrinted>2026-05-19T13:50:16Z</cp:lastPrinted>
  <dcterms:created xsi:type="dcterms:W3CDTF">2026-01-28T12:02:37Z</dcterms:created>
  <dcterms:modified xsi:type="dcterms:W3CDTF">2026-07-17T18:24:10Z</dcterms:modified>
</cp:coreProperties>
</file>