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DNALDO JUNIOR\Desktop\PROJETO UNIVERSITARIO TRACUNHAEM\"/>
    </mc:Choice>
  </mc:AlternateContent>
  <bookViews>
    <workbookView xWindow="0" yWindow="0" windowWidth="28800" windowHeight="12315" tabRatio="935" activeTab="4"/>
  </bookViews>
  <sheets>
    <sheet name="ORÇAMENTO" sheetId="1" r:id="rId1"/>
    <sheet name="FARDAMENTO" sheetId="80" r:id="rId2"/>
    <sheet name="BDI" sheetId="81" r:id="rId3"/>
    <sheet name="01" sheetId="82" r:id="rId4"/>
    <sheet name="02" sheetId="83" r:id="rId5"/>
  </sheets>
  <definedNames>
    <definedName name="_xlnm.Print_Area" localSheetId="0">ORÇAMENTO!$A$1:$W$10</definedName>
    <definedName name="Heloysa_Waléria_Gomes_Barbosa" localSheetId="0">#REF!</definedName>
    <definedName name="Heloysa_Waléria_Gomes_Barbosa">#REF!</definedName>
    <definedName name="Pto_Exemplo" localSheetId="0">#REF!</definedName>
    <definedName name="Pto_Exemplo">#REF!</definedName>
    <definedName name="ROTA">#REF!</definedName>
    <definedName name="ROTA1">#REF!</definedName>
    <definedName name="_xlnm.Print_Titles" localSheetId="0">ORÇAMENTO!$4:$5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9" i="83" l="1"/>
  <c r="G90" i="83" s="1"/>
  <c r="G83" i="83"/>
  <c r="H83" i="83" s="1"/>
  <c r="G84" i="83" s="1"/>
  <c r="H82" i="83"/>
  <c r="G79" i="83"/>
  <c r="G80" i="83" s="1"/>
  <c r="H73" i="83"/>
  <c r="G74" i="83" s="1"/>
  <c r="G67" i="83"/>
  <c r="H66" i="83"/>
  <c r="G63" i="83"/>
  <c r="H63" i="83" s="1"/>
  <c r="G64" i="83" s="1"/>
  <c r="H60" i="83"/>
  <c r="G61" i="83" s="1"/>
  <c r="G60" i="83"/>
  <c r="H59" i="83"/>
  <c r="G56" i="83"/>
  <c r="G57" i="83" s="1"/>
  <c r="H50" i="83"/>
  <c r="G51" i="83" s="1"/>
  <c r="H38" i="83"/>
  <c r="I38" i="83" s="1"/>
  <c r="G36" i="83"/>
  <c r="H36" i="83" s="1"/>
  <c r="H35" i="83"/>
  <c r="H34" i="83"/>
  <c r="H33" i="83"/>
  <c r="G32" i="83"/>
  <c r="H32" i="83" s="1"/>
  <c r="G30" i="83"/>
  <c r="H30" i="83" s="1"/>
  <c r="I30" i="83" s="1"/>
  <c r="F29" i="83"/>
  <c r="G23" i="83"/>
  <c r="G24" i="83" s="1"/>
  <c r="G25" i="83" s="1"/>
  <c r="H25" i="83" s="1"/>
  <c r="I25" i="83" s="1"/>
  <c r="H22" i="83"/>
  <c r="G22" i="83"/>
  <c r="H21" i="83"/>
  <c r="G86" i="83" s="1"/>
  <c r="H86" i="83" s="1"/>
  <c r="G87" i="83" s="1"/>
  <c r="I19" i="83"/>
  <c r="H19" i="83"/>
  <c r="I18" i="83"/>
  <c r="H18" i="83"/>
  <c r="H17" i="83"/>
  <c r="I17" i="83" s="1"/>
  <c r="G17" i="83"/>
  <c r="I16" i="83"/>
  <c r="H16" i="83"/>
  <c r="E10" i="83"/>
  <c r="F74" i="83" s="1"/>
  <c r="E8" i="83"/>
  <c r="E11" i="83" s="1"/>
  <c r="F70" i="83" s="1"/>
  <c r="F93" i="83" s="1"/>
  <c r="F51" i="83" l="1"/>
  <c r="F57" i="83" s="1"/>
  <c r="H57" i="83" s="1"/>
  <c r="I57" i="83" s="1"/>
  <c r="F90" i="83"/>
  <c r="H90" i="83" s="1"/>
  <c r="I90" i="83" s="1"/>
  <c r="F87" i="83"/>
  <c r="H87" i="83" s="1"/>
  <c r="I87" i="83" s="1"/>
  <c r="F80" i="83"/>
  <c r="H80" i="83" s="1"/>
  <c r="I80" i="83" s="1"/>
  <c r="F84" i="83"/>
  <c r="H84" i="83" s="1"/>
  <c r="I84" i="83" s="1"/>
  <c r="H74" i="83"/>
  <c r="I74" i="83" s="1"/>
  <c r="I91" i="83" s="1"/>
  <c r="G93" i="83" s="1"/>
  <c r="H93" i="83" s="1"/>
  <c r="I93" i="83" s="1"/>
  <c r="H97" i="83" s="1"/>
  <c r="H37" i="83"/>
  <c r="I37" i="83" s="1"/>
  <c r="I39" i="83"/>
  <c r="H23" i="83"/>
  <c r="G37" i="83"/>
  <c r="H66" i="82"/>
  <c r="H51" i="83" l="1"/>
  <c r="I51" i="83" s="1"/>
  <c r="F67" i="83"/>
  <c r="H67" i="83" s="1"/>
  <c r="I67" i="83" s="1"/>
  <c r="F64" i="83"/>
  <c r="H64" i="83" s="1"/>
  <c r="I64" i="83" s="1"/>
  <c r="F61" i="83"/>
  <c r="H61" i="83" s="1"/>
  <c r="I61" i="83" s="1"/>
  <c r="I68" i="83" s="1"/>
  <c r="G70" i="83" s="1"/>
  <c r="H70" i="83" s="1"/>
  <c r="I70" i="83" s="1"/>
  <c r="G97" i="83" s="1"/>
  <c r="G43" i="83"/>
  <c r="H43" i="83" s="1"/>
  <c r="I43" i="83" s="1"/>
  <c r="I46" i="83"/>
  <c r="G109" i="83"/>
  <c r="H109" i="83" s="1"/>
  <c r="I109" i="83" s="1"/>
  <c r="I112" i="83" s="1"/>
  <c r="S8" i="1"/>
  <c r="O8" i="1"/>
  <c r="M7" i="1"/>
  <c r="O7" i="1"/>
  <c r="O6" i="1"/>
  <c r="M6" i="1"/>
  <c r="P6" i="1" s="1"/>
  <c r="H89" i="82"/>
  <c r="G90" i="82" s="1"/>
  <c r="G83" i="82"/>
  <c r="H83" i="82" s="1"/>
  <c r="G84" i="82" s="1"/>
  <c r="H82" i="82"/>
  <c r="G79" i="82"/>
  <c r="G80" i="82" s="1"/>
  <c r="H73" i="82"/>
  <c r="G74" i="82" s="1"/>
  <c r="G67" i="82"/>
  <c r="H60" i="82"/>
  <c r="G61" i="82" s="1"/>
  <c r="G60" i="82"/>
  <c r="H59" i="82"/>
  <c r="G56" i="82"/>
  <c r="G57" i="82" s="1"/>
  <c r="H50" i="82"/>
  <c r="G51" i="82" s="1"/>
  <c r="H38" i="82"/>
  <c r="I38" i="82" s="1"/>
  <c r="G36" i="82"/>
  <c r="H36" i="82" s="1"/>
  <c r="H35" i="82"/>
  <c r="H34" i="82"/>
  <c r="H33" i="82"/>
  <c r="F29" i="82"/>
  <c r="H21" i="82"/>
  <c r="G86" i="82" s="1"/>
  <c r="H86" i="82" s="1"/>
  <c r="G87" i="82" s="1"/>
  <c r="H19" i="82"/>
  <c r="I19" i="82" s="1"/>
  <c r="H18" i="82"/>
  <c r="I18" i="82" s="1"/>
  <c r="H17" i="82"/>
  <c r="I17" i="82" s="1"/>
  <c r="G17" i="82"/>
  <c r="I16" i="82"/>
  <c r="H16" i="82"/>
  <c r="E10" i="82"/>
  <c r="F74" i="82" s="1"/>
  <c r="E8" i="82"/>
  <c r="E11" i="82" s="1"/>
  <c r="F70" i="82" s="1"/>
  <c r="F93" i="82" s="1"/>
  <c r="G30" i="81"/>
  <c r="G32" i="81" s="1"/>
  <c r="G26" i="81"/>
  <c r="G20" i="81"/>
  <c r="G16" i="81"/>
  <c r="E9" i="80"/>
  <c r="F9" i="80" s="1"/>
  <c r="E8" i="80"/>
  <c r="F8" i="80" s="1"/>
  <c r="E7" i="80"/>
  <c r="F7" i="80" s="1"/>
  <c r="I97" i="83" l="1"/>
  <c r="G101" i="83"/>
  <c r="H101" i="83" s="1"/>
  <c r="I101" i="83" s="1"/>
  <c r="I104" i="83"/>
  <c r="M8" i="1"/>
  <c r="P7" i="1"/>
  <c r="R7" i="1" s="1"/>
  <c r="T7" i="1" s="1"/>
  <c r="U7" i="1" s="1"/>
  <c r="R6" i="1"/>
  <c r="G22" i="82"/>
  <c r="G23" i="82" s="1"/>
  <c r="G24" i="82" s="1"/>
  <c r="G25" i="82" s="1"/>
  <c r="H25" i="82" s="1"/>
  <c r="I25" i="82" s="1"/>
  <c r="G32" i="82"/>
  <c r="H32" i="82" s="1"/>
  <c r="H37" i="82" s="1"/>
  <c r="I37" i="82" s="1"/>
  <c r="G30" i="82"/>
  <c r="H30" i="82" s="1"/>
  <c r="I30" i="82" s="1"/>
  <c r="F80" i="82"/>
  <c r="H80" i="82" s="1"/>
  <c r="I80" i="82" s="1"/>
  <c r="F90" i="82"/>
  <c r="H90" i="82" s="1"/>
  <c r="I90" i="82" s="1"/>
  <c r="F87" i="82"/>
  <c r="H87" i="82" s="1"/>
  <c r="I87" i="82" s="1"/>
  <c r="H74" i="82"/>
  <c r="I74" i="82" s="1"/>
  <c r="F84" i="82"/>
  <c r="H84" i="82" s="1"/>
  <c r="I84" i="82" s="1"/>
  <c r="F51" i="82"/>
  <c r="G63" i="82"/>
  <c r="H63" i="82" s="1"/>
  <c r="G64" i="82" s="1"/>
  <c r="F10" i="80"/>
  <c r="I39" i="82" l="1"/>
  <c r="G43" i="82" s="1"/>
  <c r="H43" i="82" s="1"/>
  <c r="I43" i="82" s="1"/>
  <c r="I46" i="82" s="1"/>
  <c r="P8" i="1"/>
  <c r="G37" i="82"/>
  <c r="R8" i="1"/>
  <c r="T6" i="1"/>
  <c r="H23" i="82"/>
  <c r="H22" i="82"/>
  <c r="I91" i="82"/>
  <c r="G93" i="82" s="1"/>
  <c r="H93" i="82" s="1"/>
  <c r="I93" i="82" s="1"/>
  <c r="H97" i="82" s="1"/>
  <c r="G109" i="82" s="1"/>
  <c r="H109" i="82" s="1"/>
  <c r="I109" i="82" s="1"/>
  <c r="I112" i="82" s="1"/>
  <c r="F64" i="82"/>
  <c r="H64" i="82" s="1"/>
  <c r="I64" i="82" s="1"/>
  <c r="H51" i="82"/>
  <c r="I51" i="82" s="1"/>
  <c r="F67" i="82"/>
  <c r="H67" i="82" s="1"/>
  <c r="I67" i="82" s="1"/>
  <c r="F61" i="82"/>
  <c r="H61" i="82" s="1"/>
  <c r="I61" i="82" s="1"/>
  <c r="F57" i="82"/>
  <c r="H57" i="82" s="1"/>
  <c r="I57" i="82" s="1"/>
  <c r="T8" i="1" l="1"/>
  <c r="U6" i="1"/>
  <c r="U8" i="1" s="1"/>
  <c r="I68" i="82"/>
  <c r="G70" i="82" s="1"/>
  <c r="H70" i="82" s="1"/>
  <c r="I70" i="82" s="1"/>
  <c r="G97" i="82" s="1"/>
  <c r="G101" i="82" l="1"/>
  <c r="H101" i="82" s="1"/>
  <c r="I101" i="82" s="1"/>
  <c r="I97" i="82"/>
  <c r="I104" i="82" l="1"/>
  <c r="D7" i="1" l="1"/>
  <c r="D6" i="1"/>
  <c r="G7" i="1" l="1"/>
  <c r="F7" i="1"/>
  <c r="C7" i="1"/>
  <c r="G6" i="1"/>
  <c r="C6" i="1"/>
</calcChain>
</file>

<file path=xl/comments1.xml><?xml version="1.0" encoding="utf-8"?>
<comments xmlns="http://schemas.openxmlformats.org/spreadsheetml/2006/main">
  <authors>
    <author xml:space="preserve"> </author>
  </authors>
  <commentList>
    <comment ref="G5" authorId="0" shapeId="0">
      <text>
        <r>
          <rPr>
            <sz val="9"/>
            <rFont val="Tahoma"/>
            <family val="2"/>
          </rPr>
          <t xml:space="preserve">VN - Van
OB - Ônibus
MB - Micro Ônibus
</t>
        </r>
      </text>
    </comment>
  </commentList>
</comments>
</file>

<file path=xl/sharedStrings.xml><?xml version="1.0" encoding="utf-8"?>
<sst xmlns="http://schemas.openxmlformats.org/spreadsheetml/2006/main" count="737" uniqueCount="237">
  <si>
    <t>Nº DA ROTA</t>
  </si>
  <si>
    <t>DADOS DA ROTA</t>
  </si>
  <si>
    <t>Nº DE ALUNOS</t>
  </si>
  <si>
    <t>DESCRIÇÃO</t>
  </si>
  <si>
    <t>KM</t>
  </si>
  <si>
    <t>COM PAVIMENTO</t>
  </si>
  <si>
    <t>SEM PAVIMENTO</t>
  </si>
  <si>
    <t>HORÁRIO</t>
  </si>
  <si>
    <t>TIPO DE VEÍCULO</t>
  </si>
  <si>
    <t>M</t>
  </si>
  <si>
    <t>T</t>
  </si>
  <si>
    <t>N</t>
  </si>
  <si>
    <t>I</t>
  </si>
  <si>
    <t>Km</t>
  </si>
  <si>
    <t>Tarde</t>
  </si>
  <si>
    <t>O itinerario da tarde com destino a Recife/PE, tem inicio no Centro (-07.802670   -35.235695) Emb. 35, passando no Cajueiro (-07.802189   -35.244686) Emb. 9, parando no CODAI (-07.977728   -35.076962) Desemb. 4, parando na UFPE (-08.053031   -34.946140) Desemb. 10, parando no IFPE (-08.059474   -34.946152) Desemb. 5, parando na Poli (-08.061349   -34.903987) Desemb. 2, parando na Uninassau (-08.057644   -34.900073) Desemb. 2, parando na Unibra (-08.056153   -34.894397) Desemb. 2, parando na Faculdade Boa Viagem (-08.106759   -34.914626) Desemb. 5, parando na Faculdade Damas (-08.039475   -34.904342) Desemb. 5, e finalizando na UFRPE (-08.014495   -34.949230)Desemb. 9.</t>
  </si>
  <si>
    <t>O itinerario da manhã com destino a Recife/PE, tem inicio no Centro (-07.802670   -35.235695) Emb. 30, passando no Cajueiro (-07.802189   -35.244686) Emb. 14, parando na UFPE (-08.053031   -34.946140) Desemb. 10, parando na FAFIRE (-08.058846   -34.887513) Desemb. 5, parando na Faculdade Boa Viagem (-08.106759   -34.914626) Desemb. 7, parando na UNICAP (-08.056315   -34.886935) Desemb. 7, parando na Faculdade Imaculada Conceição (-08.040092   -34.939501) Desemb. 8, e finalizando na UFRPE (-08.014495   -34.949230) Desemb. 7.</t>
  </si>
  <si>
    <t>TABELA FARDAMENTO</t>
  </si>
  <si>
    <t>ITEM</t>
  </si>
  <si>
    <t>FARDAMENTO</t>
  </si>
  <si>
    <t>QUANTIDADE</t>
  </si>
  <si>
    <t>VALOR UNITARIO</t>
  </si>
  <si>
    <t>VALOR TOTAL</t>
  </si>
  <si>
    <t>VALOR MENSAL</t>
  </si>
  <si>
    <t>CAMISA</t>
  </si>
  <si>
    <t>CALCA</t>
  </si>
  <si>
    <t>SAPATO</t>
  </si>
  <si>
    <t>VALOR MENSAL TOTAL</t>
  </si>
  <si>
    <t>BDI</t>
  </si>
  <si>
    <t>ESPECIFICAÇÕES</t>
  </si>
  <si>
    <t>PERCENTUAL</t>
  </si>
  <si>
    <t xml:space="preserve">    1.        DESPESAS INDIRETAS</t>
  </si>
  <si>
    <t>1.1</t>
  </si>
  <si>
    <t>Seguro + Garantia</t>
  </si>
  <si>
    <t>1.2</t>
  </si>
  <si>
    <t xml:space="preserve">Administração central </t>
  </si>
  <si>
    <t>1.3</t>
  </si>
  <si>
    <t>Despesas Financeiras</t>
  </si>
  <si>
    <t xml:space="preserve">    A   -  TOTAL DAS DESPESAS INDIRETAS</t>
  </si>
  <si>
    <t xml:space="preserve">     2.       ESTIMATIVA DE LUCRO</t>
  </si>
  <si>
    <t>2.1</t>
  </si>
  <si>
    <t>Expectativa de lucro</t>
  </si>
  <si>
    <t xml:space="preserve">    B  -  TOTAL DO LUCRO</t>
  </si>
  <si>
    <t xml:space="preserve">    3.         DESPESAS TRIBUTÁRIAS</t>
  </si>
  <si>
    <t>3.1</t>
  </si>
  <si>
    <t>PIS</t>
  </si>
  <si>
    <t>3.2</t>
  </si>
  <si>
    <t>COFINS</t>
  </si>
  <si>
    <t>3.3</t>
  </si>
  <si>
    <t>ISS</t>
  </si>
  <si>
    <t xml:space="preserve">    C   -   TOTAL DAS DESPESAS TRIBUTÁRIAS</t>
  </si>
  <si>
    <t xml:space="preserve">    4.        TAXA DE RISCOS</t>
  </si>
  <si>
    <t xml:space="preserve">      4.1      Riscos</t>
  </si>
  <si>
    <t xml:space="preserve">    D  -   TOTAL DE RISCOS</t>
  </si>
  <si>
    <t xml:space="preserve">     PERCENTUAL DO BDI  </t>
  </si>
  <si>
    <t xml:space="preserve">      Composição do BDI elaborada pela equipe técnica do TCU / ACORDAO 2622/2013, utilizando a seguinte fórmula: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</si>
  <si>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BDI = ((1 + DI)x(1 + R)/(1 - (T + B)))- 1)</t>
  </si>
  <si>
    <t xml:space="preserve">      onde lê-se:</t>
  </si>
  <si>
    <t xml:space="preserve">      DI = Taxa do somatório das despesas indiretas ou custos indiretos;</t>
  </si>
  <si>
    <t xml:space="preserve">      R =  Taxa de risco;</t>
  </si>
  <si>
    <t xml:space="preserve">      B = Benefício, bonificação ou lucro.</t>
  </si>
  <si>
    <t xml:space="preserve">      T = Taxa da incidência das despesas tributárias;</t>
  </si>
  <si>
    <t>COMPOSIÇÃO DO CUSTO  - ROTA 02</t>
  </si>
  <si>
    <t>COM MOTORISTA / COM COMBUSTIVEL</t>
  </si>
  <si>
    <t>KM DIARIA ( PAVIMENTADO )</t>
  </si>
  <si>
    <t>KM MENSAL ( PAVIMENTADO )</t>
  </si>
  <si>
    <t>KM DIARIA ( NÃO  PAVIMENTADO )</t>
  </si>
  <si>
    <t>KM MENSAL ( NÃO PAVIMENTADO )</t>
  </si>
  <si>
    <t>KM MENSAL TOTAL ( PAVIMENTADO E NÃO PAVIMENTADO )</t>
  </si>
  <si>
    <t>TURNOS</t>
  </si>
  <si>
    <t>1 - CUSTOS FIXOS</t>
  </si>
  <si>
    <t>MOTORISTA</t>
  </si>
  <si>
    <t>UNID</t>
  </si>
  <si>
    <t>QUANT</t>
  </si>
  <si>
    <t>PREÇO UNIT</t>
  </si>
  <si>
    <t>SUB-TOTAL</t>
  </si>
  <si>
    <t>TOTAL</t>
  </si>
  <si>
    <t>1.1.1</t>
  </si>
  <si>
    <t>Salario</t>
  </si>
  <si>
    <t>Mês</t>
  </si>
  <si>
    <t>1.1.2</t>
  </si>
  <si>
    <t>Encargos Sociais  ( 70,11 % )</t>
  </si>
  <si>
    <t>1.1.3</t>
  </si>
  <si>
    <t>Vale Alimentação</t>
  </si>
  <si>
    <t>1.1.4</t>
  </si>
  <si>
    <t>Fardamento</t>
  </si>
  <si>
    <t>DEPRECIAÇÃO</t>
  </si>
  <si>
    <t>1.2.1</t>
  </si>
  <si>
    <t>Custo de aquisição do veículo usado</t>
  </si>
  <si>
    <t>R$</t>
  </si>
  <si>
    <t>1.2.2</t>
  </si>
  <si>
    <t>Valor residual</t>
  </si>
  <si>
    <t>unid</t>
  </si>
  <si>
    <t>1.2.3</t>
  </si>
  <si>
    <t>Valor a Depreciar</t>
  </si>
  <si>
    <t>1.2.4</t>
  </si>
  <si>
    <t>Aliquota Depreciação</t>
  </si>
  <si>
    <t>%</t>
  </si>
  <si>
    <t>1.2.5</t>
  </si>
  <si>
    <t>Parcela mensal de depreciação (pmd)</t>
  </si>
  <si>
    <t>REMUNERAÇÃO DO CAPITAL INVESTIDO</t>
  </si>
  <si>
    <t>1.3.1</t>
  </si>
  <si>
    <t>Taxa de juros anual</t>
  </si>
  <si>
    <t>1.3.2</t>
  </si>
  <si>
    <t xml:space="preserve">Vida útil do veículo </t>
  </si>
  <si>
    <t>anos</t>
  </si>
  <si>
    <t>1.3.3</t>
  </si>
  <si>
    <t>Coeficiente aplicável ao valor do veículo (R)</t>
  </si>
  <si>
    <t>1.3.4</t>
  </si>
  <si>
    <t>Remuneração mensal de capital</t>
  </si>
  <si>
    <t>1.4</t>
  </si>
  <si>
    <t>LICENCIAMENTO , SEGUROS E TRIBUTOS</t>
  </si>
  <si>
    <t>1.4.1</t>
  </si>
  <si>
    <t xml:space="preserve">IPVA </t>
  </si>
  <si>
    <t>1.4.2</t>
  </si>
  <si>
    <t>Licenciamento Anual</t>
  </si>
  <si>
    <t>Registro e Autorização do Transporte Escolar</t>
  </si>
  <si>
    <t>1.4.3</t>
  </si>
  <si>
    <t xml:space="preserve">Vistoria Detran </t>
  </si>
  <si>
    <t>Seguro Particular ( 5% )</t>
  </si>
  <si>
    <t>mês</t>
  </si>
  <si>
    <t>1.4.4</t>
  </si>
  <si>
    <t>TOTAL LICENCIAMENTO E SEGUROS</t>
  </si>
  <si>
    <t>1.5</t>
  </si>
  <si>
    <t>SERVIÇO DE RASTREAMENTO</t>
  </si>
  <si>
    <t>1.6</t>
  </si>
  <si>
    <t>TOTAL DOS CUSTOS FIXOS</t>
  </si>
  <si>
    <t>2- BDI</t>
  </si>
  <si>
    <t>DISCRIMINAÇÃO</t>
  </si>
  <si>
    <t>2.1.1</t>
  </si>
  <si>
    <t>3 - CUSTO FINAL CUSTOS FIXOS  COM BDI INCLUSO</t>
  </si>
  <si>
    <t>Preço Mensal Custo Fixo  (Custo total + BDI)</t>
  </si>
  <si>
    <t>4 - CUSTOS VARIÁVEIS ( KM PAVIMENTADO )</t>
  </si>
  <si>
    <t>4.1</t>
  </si>
  <si>
    <t>COMBUSTÍVEL</t>
  </si>
  <si>
    <t>4.1.1</t>
  </si>
  <si>
    <t>Custo Combustivel / km rodado</t>
  </si>
  <si>
    <t>km/l</t>
  </si>
  <si>
    <t>4.1.2</t>
  </si>
  <si>
    <t>Custo mensal com combustível</t>
  </si>
  <si>
    <t xml:space="preserve">km  </t>
  </si>
  <si>
    <t>4.2</t>
  </si>
  <si>
    <t>LUBRIFICANTES</t>
  </si>
  <si>
    <t>4.2.1</t>
  </si>
  <si>
    <t>Valor do litro de óleo lubrificante</t>
  </si>
  <si>
    <t>Litro</t>
  </si>
  <si>
    <t>4.2.2</t>
  </si>
  <si>
    <t>Período de troca</t>
  </si>
  <si>
    <t>4.2.3</t>
  </si>
  <si>
    <t>Capacidade do cárter</t>
  </si>
  <si>
    <t>4.2.4</t>
  </si>
  <si>
    <t>Custo da troca por km</t>
  </si>
  <si>
    <t>km</t>
  </si>
  <si>
    <t>4.2.5</t>
  </si>
  <si>
    <t>Custo da troca por mês</t>
  </si>
  <si>
    <t>4.3</t>
  </si>
  <si>
    <t>PNEUS</t>
  </si>
  <si>
    <t>4.3.1</t>
  </si>
  <si>
    <t xml:space="preserve">Custo do jogo de pneus </t>
  </si>
  <si>
    <t xml:space="preserve">unid </t>
  </si>
  <si>
    <t>4.3.2</t>
  </si>
  <si>
    <t>Custo do jogo completo/km rodado</t>
  </si>
  <si>
    <t>km/jogo</t>
  </si>
  <si>
    <t>4.3.3</t>
  </si>
  <si>
    <t>Custo mensal com pneus</t>
  </si>
  <si>
    <t xml:space="preserve">km </t>
  </si>
  <si>
    <t>4.4</t>
  </si>
  <si>
    <t>MANUTENÇÃO</t>
  </si>
  <si>
    <t>4.4.1</t>
  </si>
  <si>
    <t>Custo de manutenção  por km</t>
  </si>
  <si>
    <t>4.4.2</t>
  </si>
  <si>
    <t>Custo mensal de manutenção</t>
  </si>
  <si>
    <t>4.5</t>
  </si>
  <si>
    <t>LAVAGEM COMPLETA</t>
  </si>
  <si>
    <t>4.5.1</t>
  </si>
  <si>
    <t>Preço lavagem completa por km</t>
  </si>
  <si>
    <t>4.5.2</t>
  </si>
  <si>
    <t>Lavagem completa mensal</t>
  </si>
  <si>
    <t>4.6</t>
  </si>
  <si>
    <t>TOTAL DOS CUSTOS VARIÁVEIS ( PAVIMENTADO )</t>
  </si>
  <si>
    <t>4.7</t>
  </si>
  <si>
    <t>CUSTO VARIÁVEL POR KM/RODADO (PAVIMENTADO)</t>
  </si>
  <si>
    <t>4.7.1</t>
  </si>
  <si>
    <t xml:space="preserve">TOTAL CUSTO VARIÁVEL POR KM/RODADO </t>
  </si>
  <si>
    <t>5 - CUSTOS VARIÁVEIS ( KM  NÃO PAVIMENTADO )</t>
  </si>
  <si>
    <t>5.1</t>
  </si>
  <si>
    <t>5.1.1</t>
  </si>
  <si>
    <t>5.1.2</t>
  </si>
  <si>
    <t>5.2</t>
  </si>
  <si>
    <t>5.2.1</t>
  </si>
  <si>
    <t>5.2.2</t>
  </si>
  <si>
    <t>5.2.3</t>
  </si>
  <si>
    <t>5.2.4</t>
  </si>
  <si>
    <t>5.2.5</t>
  </si>
  <si>
    <t>5.3</t>
  </si>
  <si>
    <t>5.3.1</t>
  </si>
  <si>
    <t>5.3.2</t>
  </si>
  <si>
    <t>5.3.3</t>
  </si>
  <si>
    <t>5.4</t>
  </si>
  <si>
    <t>5.4.1</t>
  </si>
  <si>
    <t>5.4.2</t>
  </si>
  <si>
    <t>5.5</t>
  </si>
  <si>
    <t>5.5.1</t>
  </si>
  <si>
    <t>5.5.2</t>
  </si>
  <si>
    <t>5.6</t>
  </si>
  <si>
    <t>TOTAL DOS CUSTOS VARIÁVEIS ( NÃO PAVIMENTADOS )</t>
  </si>
  <si>
    <t>5.7</t>
  </si>
  <si>
    <t>CUSTO VARIÁVEL POR KM/RODADO ( NÃO PAVIMENTADO )</t>
  </si>
  <si>
    <t>5.7.1</t>
  </si>
  <si>
    <t>6 - CUSTO TOTAL  DO VEÍCULO POR KM/RODADO S/BDI</t>
  </si>
  <si>
    <t>6.1</t>
  </si>
  <si>
    <t>VARIAVEL PAVIMENTADO</t>
  </si>
  <si>
    <t>VARIAVEL NÃO PAVIMENTADO</t>
  </si>
  <si>
    <t>6,1,1</t>
  </si>
  <si>
    <t>TOTAL DO CUSTO DO VEÍCULO POR KM/RODADO S/BDI</t>
  </si>
  <si>
    <t>7 -  BDI KM PAVIMENTADO</t>
  </si>
  <si>
    <t>7.1</t>
  </si>
  <si>
    <t>7.1.1</t>
  </si>
  <si>
    <t>7.1 - CUSTO FINAL DO QUILÔMETRO RODADO PAVIMENTADO COM BDI INCLUSO</t>
  </si>
  <si>
    <t>8.1</t>
  </si>
  <si>
    <t>Preço unitário do Km rodado com BDI  (Custo total + BDI)</t>
  </si>
  <si>
    <t>8 - BDI - KM NÃO PAVIMENTADO</t>
  </si>
  <si>
    <t>8.1 - CUSTO FINAL DO QUILÔMETRO RODADO NÃO PAVIMENTADO COM BDI INCLUSO</t>
  </si>
  <si>
    <t>ANO : 2014</t>
  </si>
  <si>
    <t>COMPOSIÇÃO DO CUSTO  - ROTA 01</t>
  </si>
  <si>
    <t>VALOR KM / CUSTOS VARIAVEIS PAVIMENTADOS</t>
  </si>
  <si>
    <t>VALOR DIARIA / CUSTOS VARIAVEIS PAVIMENTADOS</t>
  </si>
  <si>
    <t>VALOR KM / CUSTOS VARIAVEIS NÃO PAVIMENTADOS</t>
  </si>
  <si>
    <t>VALOR DIARIA / CUSTOS VARIAVEIS NÃO PAVIMENTADOS</t>
  </si>
  <si>
    <t>VALOR DIARIA CUSTOS VARIAVEIS</t>
  </si>
  <si>
    <t>DIAS LETIVOS MENSAIS</t>
  </si>
  <si>
    <t xml:space="preserve">VALOR MENSAL CUSTOS VARIAVEIS </t>
  </si>
  <si>
    <t>VALOR MENSAL CUSTOS FIXOS</t>
  </si>
  <si>
    <t>VALOR MENSAL CUSTOS VARIAVEIS + CUSTOS FIXOS</t>
  </si>
  <si>
    <t>VALOR TOTAL GLOBAL (CUSTOS VARIAVEIS + CUSTOS FIXOS ) PARA 12 MESES</t>
  </si>
  <si>
    <t>BASE DE CALCULO VEICULO: ONIBUS VW SENIOR MIDI ESCOLAR</t>
  </si>
  <si>
    <t>PLANILHA PRÇAMENTARIA TRASNPORTE UNIVERSOTARIO PARNAMIRIM TERCEIRIZADO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</si>
</sst>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164" formatCode="_(* #,##0.00_);_(* \(#,##0.00\);_(* \-??_);_(@_)"/>
    <numFmt numFmtId="165" formatCode="_-* #,##0.00_-;\-* #,##0.00_-;_-* \-??_-;_-@_-"/>
    <numFmt numFmtId="166" formatCode="_(&quot;R$ &quot;* #,##0.00_);_(&quot;R$ &quot;* \(#,##0.00\);_(&quot;R$ &quot;* \-??_);_(@_)"/>
    <numFmt numFmtId="167" formatCode="_(* #,##0.00_);_(* \(#,##0.00\);_(* &quot;-&quot;??_);_(@_)"/>
    <numFmt numFmtId="168" formatCode="_(* #,##0.000_);_(* \(#,##0.000\);_(* &quot;-&quot;??_);_(@_)"/>
    <numFmt numFmtId="169" formatCode="#,##0.000;\-#,##0.000"/>
    <numFmt numFmtId="170" formatCode="0.000"/>
    <numFmt numFmtId="171" formatCode="#,##0.0;\-#,##0.0"/>
  </numFmts>
  <fonts count="30">
    <font>
      <sz val="10"/>
      <color rgb="FF000000"/>
      <name val="Arial"/>
      <charset val="134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color rgb="FF000000"/>
      <name val="Courier New"/>
      <family val="3"/>
    </font>
    <font>
      <b/>
      <sz val="8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9"/>
      <name val="Tahoma"/>
      <family val="2"/>
    </font>
    <font>
      <sz val="10"/>
      <color rgb="FF000000"/>
      <name val="Arial"/>
      <charset val="134"/>
    </font>
    <font>
      <sz val="11"/>
      <color theme="1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sz val="2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6">
    <xf numFmtId="0" fontId="0" fillId="0" borderId="0"/>
    <xf numFmtId="9" fontId="10" fillId="0" borderId="0" applyBorder="0" applyProtection="0"/>
    <xf numFmtId="0" fontId="10" fillId="0" borderId="0"/>
    <xf numFmtId="0" fontId="9" fillId="0" borderId="0"/>
    <xf numFmtId="0" fontId="10" fillId="0" borderId="0" applyBorder="0" applyProtection="0"/>
    <xf numFmtId="164" fontId="10" fillId="0" borderId="0" applyBorder="0" applyProtection="0"/>
    <xf numFmtId="166" fontId="10" fillId="0" borderId="0" applyBorder="0" applyProtection="0"/>
    <xf numFmtId="165" fontId="10" fillId="0" borderId="0" applyBorder="0" applyProtection="0"/>
    <xf numFmtId="165" fontId="10" fillId="0" borderId="0" applyBorder="0" applyProtection="0"/>
    <xf numFmtId="0" fontId="10" fillId="0" borderId="0"/>
    <xf numFmtId="0" fontId="3" fillId="0" borderId="0"/>
    <xf numFmtId="0" fontId="9" fillId="0" borderId="0"/>
    <xf numFmtId="9" fontId="10" fillId="0" borderId="0" applyBorder="0" applyProtection="0"/>
    <xf numFmtId="9" fontId="10" fillId="0" borderId="0" applyBorder="0" applyProtection="0"/>
    <xf numFmtId="0" fontId="10" fillId="0" borderId="0" applyBorder="0" applyProtection="0"/>
    <xf numFmtId="0" fontId="10" fillId="0" borderId="0" applyBorder="0" applyProtection="0"/>
    <xf numFmtId="165" fontId="10" fillId="0" borderId="0" applyBorder="0" applyProtection="0"/>
    <xf numFmtId="164" fontId="10" fillId="0" borderId="0" applyBorder="0" applyProtection="0"/>
    <xf numFmtId="165" fontId="10" fillId="0" borderId="0" applyBorder="0" applyProtection="0"/>
    <xf numFmtId="165" fontId="10" fillId="0" borderId="0" applyBorder="0" applyProtection="0"/>
    <xf numFmtId="165" fontId="10" fillId="0" borderId="0" applyBorder="0" applyProtection="0"/>
    <xf numFmtId="165" fontId="10" fillId="0" borderId="0" applyBorder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0" fontId="1" fillId="0" borderId="0"/>
  </cellStyleXfs>
  <cellXfs count="236">
    <xf numFmtId="0" fontId="0" fillId="0" borderId="0" xfId="0"/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6" fillId="0" borderId="0" xfId="0" applyFont="1"/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22" applyFont="1" applyBorder="1" applyAlignment="1">
      <alignment horizontal="center" vertical="center"/>
    </xf>
    <xf numFmtId="44" fontId="0" fillId="0" borderId="1" xfId="22" applyFont="1" applyBorder="1" applyAlignment="1">
      <alignment vertical="center"/>
    </xf>
    <xf numFmtId="0" fontId="13" fillId="0" borderId="0" xfId="0" applyFont="1"/>
    <xf numFmtId="0" fontId="15" fillId="3" borderId="0" xfId="0" applyFont="1" applyFill="1"/>
    <xf numFmtId="0" fontId="16" fillId="3" borderId="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0" borderId="0" xfId="0" applyFont="1"/>
    <xf numFmtId="0" fontId="17" fillId="3" borderId="0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10" fontId="18" fillId="3" borderId="21" xfId="23" applyNumberFormat="1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10" fontId="18" fillId="3" borderId="1" xfId="23" applyNumberFormat="1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left" vertical="center"/>
    </xf>
    <xf numFmtId="0" fontId="18" fillId="0" borderId="0" xfId="0" applyFont="1"/>
    <xf numFmtId="10" fontId="18" fillId="3" borderId="8" xfId="23" applyNumberFormat="1" applyFont="1" applyFill="1" applyBorder="1" applyAlignment="1">
      <alignment horizontal="center" vertical="center"/>
    </xf>
    <xf numFmtId="10" fontId="18" fillId="3" borderId="3" xfId="23" applyNumberFormat="1" applyFont="1" applyFill="1" applyBorder="1" applyAlignment="1">
      <alignment horizontal="center" vertical="center"/>
    </xf>
    <xf numFmtId="10" fontId="18" fillId="3" borderId="9" xfId="23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16" fillId="3" borderId="19" xfId="0" applyFont="1" applyFill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10" fontId="18" fillId="3" borderId="20" xfId="23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10" fontId="18" fillId="3" borderId="2" xfId="23" applyNumberFormat="1" applyFont="1" applyFill="1" applyBorder="1" applyAlignment="1">
      <alignment horizontal="center" vertical="center"/>
    </xf>
    <xf numFmtId="10" fontId="19" fillId="3" borderId="1" xfId="23" applyNumberFormat="1" applyFont="1" applyFill="1" applyBorder="1" applyAlignment="1">
      <alignment horizontal="center" vertical="center"/>
    </xf>
    <xf numFmtId="0" fontId="21" fillId="0" borderId="0" xfId="0" applyFont="1"/>
    <xf numFmtId="0" fontId="20" fillId="0" borderId="7" xfId="0" applyFont="1" applyBorder="1"/>
    <xf numFmtId="0" fontId="20" fillId="0" borderId="0" xfId="0" applyFont="1" applyBorder="1"/>
    <xf numFmtId="0" fontId="20" fillId="0" borderId="9" xfId="0" applyFont="1" applyBorder="1"/>
    <xf numFmtId="0" fontId="20" fillId="0" borderId="7" xfId="24" applyFont="1" applyBorder="1"/>
    <xf numFmtId="0" fontId="20" fillId="0" borderId="0" xfId="0" applyFont="1" applyBorder="1" applyAlignment="1">
      <alignment horizontal="left"/>
    </xf>
    <xf numFmtId="0" fontId="20" fillId="0" borderId="9" xfId="0" applyFont="1" applyBorder="1" applyAlignment="1">
      <alignment horizontal="left"/>
    </xf>
    <xf numFmtId="0" fontId="13" fillId="0" borderId="0" xfId="0" applyFont="1" applyBorder="1"/>
    <xf numFmtId="0" fontId="22" fillId="3" borderId="0" xfId="25" applyFont="1" applyFill="1" applyAlignment="1">
      <alignment horizontal="center"/>
    </xf>
    <xf numFmtId="0" fontId="22" fillId="3" borderId="0" xfId="25" applyFont="1" applyFill="1"/>
    <xf numFmtId="0" fontId="22" fillId="3" borderId="25" xfId="25" applyFont="1" applyFill="1" applyBorder="1" applyAlignment="1">
      <alignment horizontal="left"/>
    </xf>
    <xf numFmtId="0" fontId="22" fillId="3" borderId="0" xfId="25" applyFont="1" applyFill="1" applyAlignment="1">
      <alignment horizontal="left"/>
    </xf>
    <xf numFmtId="0" fontId="22" fillId="3" borderId="26" xfId="25" applyFont="1" applyFill="1" applyBorder="1" applyAlignment="1">
      <alignment horizontal="left"/>
    </xf>
    <xf numFmtId="2" fontId="22" fillId="3" borderId="0" xfId="25" applyNumberFormat="1" applyFont="1" applyFill="1" applyAlignment="1">
      <alignment horizontal="center"/>
    </xf>
    <xf numFmtId="0" fontId="22" fillId="3" borderId="25" xfId="25" applyFont="1" applyFill="1" applyBorder="1"/>
    <xf numFmtId="39" fontId="24" fillId="3" borderId="0" xfId="20" applyNumberFormat="1" applyFont="1" applyFill="1" applyBorder="1" applyAlignment="1">
      <alignment horizontal="center" vertical="center"/>
    </xf>
    <xf numFmtId="0" fontId="22" fillId="3" borderId="26" xfId="25" applyFont="1" applyFill="1" applyBorder="1"/>
    <xf numFmtId="0" fontId="22" fillId="3" borderId="27" xfId="25" applyFont="1" applyFill="1" applyBorder="1"/>
    <xf numFmtId="0" fontId="22" fillId="3" borderId="28" xfId="25" applyFont="1" applyFill="1" applyBorder="1"/>
    <xf numFmtId="0" fontId="22" fillId="3" borderId="28" xfId="25" applyFont="1" applyFill="1" applyBorder="1" applyAlignment="1">
      <alignment horizontal="center"/>
    </xf>
    <xf numFmtId="0" fontId="22" fillId="3" borderId="29" xfId="25" applyFont="1" applyFill="1" applyBorder="1"/>
    <xf numFmtId="0" fontId="24" fillId="3" borderId="1" xfId="25" applyFont="1" applyFill="1" applyBorder="1" applyAlignment="1">
      <alignment horizontal="center" vertical="center"/>
    </xf>
    <xf numFmtId="167" fontId="24" fillId="3" borderId="1" xfId="25" applyNumberFormat="1" applyFont="1" applyFill="1" applyBorder="1" applyAlignment="1">
      <alignment horizontal="center" vertical="center"/>
    </xf>
    <xf numFmtId="4" fontId="24" fillId="3" borderId="1" xfId="25" applyNumberFormat="1" applyFont="1" applyFill="1" applyBorder="1" applyAlignment="1">
      <alignment horizontal="center" vertical="center"/>
    </xf>
    <xf numFmtId="4" fontId="24" fillId="3" borderId="19" xfId="25" applyNumberFormat="1" applyFont="1" applyFill="1" applyBorder="1" applyAlignment="1">
      <alignment horizontal="center" vertical="center"/>
    </xf>
    <xf numFmtId="0" fontId="22" fillId="3" borderId="19" xfId="25" applyFont="1" applyFill="1" applyBorder="1" applyAlignment="1">
      <alignment horizontal="left" vertical="center"/>
    </xf>
    <xf numFmtId="0" fontId="22" fillId="3" borderId="4" xfId="25" applyFont="1" applyFill="1" applyBorder="1" applyAlignment="1">
      <alignment horizontal="left" vertical="center"/>
    </xf>
    <xf numFmtId="0" fontId="22" fillId="3" borderId="20" xfId="25" applyFont="1" applyFill="1" applyBorder="1" applyAlignment="1">
      <alignment horizontal="left" vertical="center"/>
    </xf>
    <xf numFmtId="2" fontId="24" fillId="3" borderId="1" xfId="25" applyNumberFormat="1" applyFont="1" applyFill="1" applyBorder="1" applyAlignment="1">
      <alignment horizontal="center" vertical="center"/>
    </xf>
    <xf numFmtId="165" fontId="24" fillId="3" borderId="1" xfId="20" applyFont="1" applyFill="1" applyBorder="1" applyAlignment="1">
      <alignment horizontal="right"/>
    </xf>
    <xf numFmtId="39" fontId="24" fillId="3" borderId="19" xfId="20" applyNumberFormat="1" applyFont="1" applyFill="1" applyBorder="1" applyAlignment="1">
      <alignment horizontal="center" vertical="center"/>
    </xf>
    <xf numFmtId="2" fontId="25" fillId="3" borderId="2" xfId="25" applyNumberFormat="1" applyFont="1" applyFill="1" applyBorder="1" applyAlignment="1">
      <alignment horizontal="center" vertical="center"/>
    </xf>
    <xf numFmtId="2" fontId="25" fillId="3" borderId="21" xfId="25" applyNumberFormat="1" applyFont="1" applyFill="1" applyBorder="1" applyAlignment="1">
      <alignment horizontal="center" vertical="center"/>
    </xf>
    <xf numFmtId="4" fontId="24" fillId="3" borderId="1" xfId="20" applyNumberFormat="1" applyFont="1" applyFill="1" applyBorder="1" applyAlignment="1">
      <alignment horizontal="right" wrapText="1"/>
    </xf>
    <xf numFmtId="0" fontId="24" fillId="3" borderId="0" xfId="25" applyFont="1" applyFill="1" applyAlignment="1">
      <alignment horizontal="center" vertical="center"/>
    </xf>
    <xf numFmtId="165" fontId="24" fillId="3" borderId="1" xfId="20" applyFont="1" applyFill="1" applyBorder="1"/>
    <xf numFmtId="39" fontId="24" fillId="3" borderId="1" xfId="25" applyNumberFormat="1" applyFont="1" applyFill="1" applyBorder="1" applyAlignment="1">
      <alignment horizontal="right"/>
    </xf>
    <xf numFmtId="0" fontId="24" fillId="3" borderId="19" xfId="25" applyFont="1" applyFill="1" applyBorder="1" applyAlignment="1">
      <alignment horizontal="left" vertical="center"/>
    </xf>
    <xf numFmtId="0" fontId="24" fillId="3" borderId="4" xfId="25" applyFont="1" applyFill="1" applyBorder="1" applyAlignment="1">
      <alignment horizontal="left" vertical="center"/>
    </xf>
    <xf numFmtId="0" fontId="24" fillId="3" borderId="20" xfId="25" applyFont="1" applyFill="1" applyBorder="1" applyAlignment="1">
      <alignment horizontal="left" vertical="center"/>
    </xf>
    <xf numFmtId="9" fontId="24" fillId="3" borderId="1" xfId="25" applyNumberFormat="1" applyFont="1" applyFill="1" applyBorder="1" applyAlignment="1">
      <alignment horizontal="center" vertical="center"/>
    </xf>
    <xf numFmtId="0" fontId="24" fillId="3" borderId="19" xfId="25" applyFont="1" applyFill="1" applyBorder="1" applyAlignment="1">
      <alignment horizontal="center" vertical="center"/>
    </xf>
    <xf numFmtId="2" fontId="24" fillId="3" borderId="2" xfId="25" applyNumberFormat="1" applyFont="1" applyFill="1" applyBorder="1" applyAlignment="1">
      <alignment horizontal="center" vertical="center"/>
    </xf>
    <xf numFmtId="1" fontId="24" fillId="3" borderId="1" xfId="25" applyNumberFormat="1" applyFont="1" applyFill="1" applyBorder="1" applyAlignment="1">
      <alignment horizontal="center" vertical="center"/>
    </xf>
    <xf numFmtId="2" fontId="24" fillId="3" borderId="21" xfId="25" applyNumberFormat="1" applyFont="1" applyFill="1" applyBorder="1" applyAlignment="1">
      <alignment horizontal="center" vertical="center"/>
    </xf>
    <xf numFmtId="168" fontId="24" fillId="3" borderId="1" xfId="25" applyNumberFormat="1" applyFont="1" applyFill="1" applyBorder="1" applyAlignment="1">
      <alignment horizontal="center" vertical="center"/>
    </xf>
    <xf numFmtId="169" fontId="24" fillId="3" borderId="19" xfId="20" applyNumberFormat="1" applyFont="1" applyFill="1" applyBorder="1" applyAlignment="1">
      <alignment horizontal="center" vertical="center"/>
    </xf>
    <xf numFmtId="2" fontId="24" fillId="3" borderId="3" xfId="25" applyNumberFormat="1" applyFont="1" applyFill="1" applyBorder="1" applyAlignment="1">
      <alignment horizontal="center" vertical="center"/>
    </xf>
    <xf numFmtId="39" fontId="24" fillId="3" borderId="1" xfId="25" applyNumberFormat="1" applyFont="1" applyFill="1" applyBorder="1" applyAlignment="1">
      <alignment horizontal="center" vertical="center"/>
    </xf>
    <xf numFmtId="165" fontId="24" fillId="3" borderId="1" xfId="20" applyFont="1" applyFill="1" applyBorder="1" applyAlignment="1">
      <alignment horizontal="center" vertical="center"/>
    </xf>
    <xf numFmtId="0" fontId="25" fillId="3" borderId="19" xfId="25" applyFont="1" applyFill="1" applyBorder="1" applyAlignment="1">
      <alignment horizontal="center" vertical="center"/>
    </xf>
    <xf numFmtId="4" fontId="25" fillId="3" borderId="1" xfId="25" applyNumberFormat="1" applyFont="1" applyFill="1" applyBorder="1" applyAlignment="1">
      <alignment horizontal="center" vertical="center"/>
    </xf>
    <xf numFmtId="0" fontId="25" fillId="3" borderId="0" xfId="25" applyFont="1" applyFill="1" applyBorder="1" applyAlignment="1">
      <alignment horizontal="center" vertical="center"/>
    </xf>
    <xf numFmtId="0" fontId="25" fillId="3" borderId="0" xfId="25" applyFont="1" applyFill="1" applyBorder="1" applyAlignment="1">
      <alignment horizontal="left" vertical="center"/>
    </xf>
    <xf numFmtId="4" fontId="25" fillId="3" borderId="0" xfId="25" applyNumberFormat="1" applyFont="1" applyFill="1" applyBorder="1" applyAlignment="1">
      <alignment horizontal="center" vertical="center"/>
    </xf>
    <xf numFmtId="0" fontId="25" fillId="3" borderId="0" xfId="25" applyFont="1" applyFill="1" applyAlignment="1">
      <alignment vertical="center"/>
    </xf>
    <xf numFmtId="167" fontId="24" fillId="3" borderId="9" xfId="25" applyNumberFormat="1" applyFont="1" applyFill="1" applyBorder="1" applyAlignment="1">
      <alignment horizontal="center" vertical="center"/>
    </xf>
    <xf numFmtId="0" fontId="25" fillId="3" borderId="1" xfId="25" applyFont="1" applyFill="1" applyBorder="1" applyAlignment="1">
      <alignment horizontal="center" vertical="center"/>
    </xf>
    <xf numFmtId="2" fontId="25" fillId="3" borderId="1" xfId="25" applyNumberFormat="1" applyFont="1" applyFill="1" applyBorder="1" applyAlignment="1">
      <alignment horizontal="center" vertical="center"/>
    </xf>
    <xf numFmtId="10" fontId="25" fillId="3" borderId="1" xfId="25" applyNumberFormat="1" applyFont="1" applyFill="1" applyBorder="1" applyAlignment="1">
      <alignment horizontal="center" vertical="center"/>
    </xf>
    <xf numFmtId="167" fontId="25" fillId="3" borderId="1" xfId="25" applyNumberFormat="1" applyFont="1" applyFill="1" applyBorder="1" applyAlignment="1">
      <alignment horizontal="center" vertical="center"/>
    </xf>
    <xf numFmtId="167" fontId="25" fillId="3" borderId="1" xfId="25" applyNumberFormat="1" applyFont="1" applyFill="1" applyBorder="1" applyAlignment="1">
      <alignment vertical="center"/>
    </xf>
    <xf numFmtId="39" fontId="25" fillId="3" borderId="1" xfId="25" applyNumberFormat="1" applyFont="1" applyFill="1" applyBorder="1" applyAlignment="1">
      <alignment horizontal="center" vertical="center"/>
    </xf>
    <xf numFmtId="10" fontId="25" fillId="3" borderId="0" xfId="25" applyNumberFormat="1" applyFont="1" applyFill="1" applyBorder="1" applyAlignment="1">
      <alignment horizontal="center" vertical="center"/>
    </xf>
    <xf numFmtId="167" fontId="25" fillId="3" borderId="0" xfId="25" applyNumberFormat="1" applyFont="1" applyFill="1" applyBorder="1" applyAlignment="1">
      <alignment horizontal="center" vertical="center"/>
    </xf>
    <xf numFmtId="167" fontId="25" fillId="3" borderId="0" xfId="25" applyNumberFormat="1" applyFont="1" applyFill="1" applyBorder="1" applyAlignment="1">
      <alignment vertical="center"/>
    </xf>
    <xf numFmtId="39" fontId="25" fillId="3" borderId="0" xfId="25" applyNumberFormat="1" applyFont="1" applyFill="1" applyBorder="1" applyAlignment="1">
      <alignment horizontal="center" vertical="center"/>
    </xf>
    <xf numFmtId="44" fontId="5" fillId="3" borderId="1" xfId="22" applyFont="1" applyFill="1" applyBorder="1" applyAlignment="1">
      <alignment horizontal="center" vertical="center"/>
    </xf>
    <xf numFmtId="0" fontId="24" fillId="3" borderId="0" xfId="25" applyFont="1" applyFill="1" applyAlignment="1">
      <alignment horizontal="left" vertical="center"/>
    </xf>
    <xf numFmtId="167" fontId="24" fillId="3" borderId="0" xfId="25" applyNumberFormat="1" applyFont="1" applyFill="1" applyAlignment="1">
      <alignment horizontal="center" vertical="center"/>
    </xf>
    <xf numFmtId="167" fontId="24" fillId="3" borderId="0" xfId="25" applyNumberFormat="1" applyFont="1" applyFill="1" applyAlignment="1">
      <alignment vertical="center"/>
    </xf>
    <xf numFmtId="2" fontId="24" fillId="3" borderId="0" xfId="25" applyNumberFormat="1" applyFont="1" applyFill="1" applyAlignment="1">
      <alignment horizontal="center" vertical="center"/>
    </xf>
    <xf numFmtId="2" fontId="24" fillId="3" borderId="20" xfId="25" applyNumberFormat="1" applyFont="1" applyFill="1" applyBorder="1" applyAlignment="1">
      <alignment horizontal="center" vertical="center"/>
    </xf>
    <xf numFmtId="170" fontId="24" fillId="3" borderId="1" xfId="25" applyNumberFormat="1" applyFont="1" applyFill="1" applyBorder="1" applyAlignment="1">
      <alignment horizontal="center" vertical="center"/>
    </xf>
    <xf numFmtId="2" fontId="24" fillId="3" borderId="9" xfId="25" applyNumberFormat="1" applyFont="1" applyFill="1" applyBorder="1" applyAlignment="1">
      <alignment horizontal="center" vertical="center"/>
    </xf>
    <xf numFmtId="39" fontId="24" fillId="3" borderId="1" xfId="20" applyNumberFormat="1" applyFont="1" applyFill="1" applyBorder="1" applyAlignment="1">
      <alignment horizontal="center" vertical="center"/>
    </xf>
    <xf numFmtId="37" fontId="24" fillId="3" borderId="1" xfId="20" applyNumberFormat="1" applyFont="1" applyFill="1" applyBorder="1" applyAlignment="1">
      <alignment horizontal="center" vertical="center"/>
    </xf>
    <xf numFmtId="171" fontId="24" fillId="3" borderId="1" xfId="20" applyNumberFormat="1" applyFont="1" applyFill="1" applyBorder="1" applyAlignment="1">
      <alignment horizontal="center" vertical="center"/>
    </xf>
    <xf numFmtId="4" fontId="24" fillId="3" borderId="9" xfId="25" applyNumberFormat="1" applyFont="1" applyFill="1" applyBorder="1" applyAlignment="1">
      <alignment horizontal="center" vertical="center"/>
    </xf>
    <xf numFmtId="3" fontId="24" fillId="3" borderId="1" xfId="25" applyNumberFormat="1" applyFont="1" applyFill="1" applyBorder="1" applyAlignment="1">
      <alignment horizontal="center" vertical="center"/>
    </xf>
    <xf numFmtId="10" fontId="24" fillId="3" borderId="1" xfId="25" applyNumberFormat="1" applyFont="1" applyFill="1" applyBorder="1" applyAlignment="1">
      <alignment horizontal="center" vertical="center"/>
    </xf>
    <xf numFmtId="0" fontId="22" fillId="3" borderId="1" xfId="25" applyFont="1" applyFill="1" applyBorder="1" applyAlignment="1">
      <alignment horizontal="center"/>
    </xf>
    <xf numFmtId="3" fontId="22" fillId="3" borderId="1" xfId="25" applyNumberFormat="1" applyFont="1" applyFill="1" applyBorder="1" applyAlignment="1">
      <alignment horizontal="center"/>
    </xf>
    <xf numFmtId="4" fontId="22" fillId="3" borderId="1" xfId="25" applyNumberFormat="1" applyFont="1" applyFill="1" applyBorder="1" applyAlignment="1">
      <alignment horizontal="center"/>
    </xf>
    <xf numFmtId="2" fontId="22" fillId="3" borderId="1" xfId="25" applyNumberFormat="1" applyFont="1" applyFill="1" applyBorder="1" applyAlignment="1">
      <alignment horizontal="center"/>
    </xf>
    <xf numFmtId="0" fontId="25" fillId="3" borderId="1" xfId="25" applyFont="1" applyFill="1" applyBorder="1" applyAlignment="1">
      <alignment horizontal="left" vertical="center"/>
    </xf>
    <xf numFmtId="4" fontId="24" fillId="3" borderId="1" xfId="20" applyNumberFormat="1" applyFont="1" applyFill="1" applyBorder="1" applyAlignment="1">
      <alignment horizontal="center" vertical="center"/>
    </xf>
    <xf numFmtId="0" fontId="24" fillId="3" borderId="7" xfId="25" applyFont="1" applyFill="1" applyBorder="1" applyAlignment="1">
      <alignment horizontal="center" vertical="center"/>
    </xf>
    <xf numFmtId="165" fontId="24" fillId="3" borderId="0" xfId="20" applyFont="1" applyFill="1" applyBorder="1" applyAlignment="1">
      <alignment vertical="center"/>
    </xf>
    <xf numFmtId="4" fontId="24" fillId="3" borderId="0" xfId="25" applyNumberFormat="1" applyFont="1" applyFill="1" applyAlignment="1">
      <alignment horizontal="center" vertical="center"/>
    </xf>
    <xf numFmtId="2" fontId="25" fillId="3" borderId="9" xfId="25" applyNumberFormat="1" applyFont="1" applyFill="1" applyBorder="1" applyAlignment="1">
      <alignment horizontal="center" vertical="center"/>
    </xf>
    <xf numFmtId="0" fontId="25" fillId="3" borderId="1" xfId="25" applyFont="1" applyFill="1" applyBorder="1" applyAlignment="1">
      <alignment horizontal="center" vertical="center" wrapText="1"/>
    </xf>
    <xf numFmtId="0" fontId="5" fillId="3" borderId="1" xfId="25" applyFont="1" applyFill="1" applyBorder="1" applyAlignment="1">
      <alignment horizontal="center" vertical="center"/>
    </xf>
    <xf numFmtId="44" fontId="2" fillId="0" borderId="1" xfId="22" applyFont="1" applyBorder="1" applyAlignment="1">
      <alignment horizontal="center" vertical="center"/>
    </xf>
    <xf numFmtId="0" fontId="24" fillId="3" borderId="0" xfId="25" applyFont="1" applyFill="1" applyAlignment="1">
      <alignment vertical="center"/>
    </xf>
    <xf numFmtId="39" fontId="24" fillId="3" borderId="9" xfId="25" applyNumberFormat="1" applyFont="1" applyFill="1" applyBorder="1" applyAlignment="1">
      <alignment horizontal="center" vertical="center"/>
    </xf>
    <xf numFmtId="2" fontId="5" fillId="3" borderId="1" xfId="25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justify" vertical="center" wrapText="1"/>
    </xf>
    <xf numFmtId="2" fontId="28" fillId="0" borderId="17" xfId="0" applyNumberFormat="1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44" fontId="28" fillId="0" borderId="1" xfId="22" applyFont="1" applyBorder="1" applyAlignment="1">
      <alignment horizontal="center" vertical="center"/>
    </xf>
    <xf numFmtId="44" fontId="28" fillId="0" borderId="1" xfId="22" applyFont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wrapText="1"/>
    </xf>
    <xf numFmtId="2" fontId="28" fillId="0" borderId="33" xfId="0" applyNumberFormat="1" applyFont="1" applyBorder="1" applyAlignment="1">
      <alignment horizontal="justify" vertical="center" wrapText="1"/>
    </xf>
    <xf numFmtId="2" fontId="28" fillId="0" borderId="33" xfId="0" applyNumberFormat="1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44" fontId="28" fillId="0" borderId="2" xfId="22" applyFont="1" applyBorder="1" applyAlignment="1">
      <alignment horizontal="center" vertical="center"/>
    </xf>
    <xf numFmtId="44" fontId="28" fillId="0" borderId="2" xfId="22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44" fontId="28" fillId="0" borderId="1" xfId="0" applyNumberFormat="1" applyFont="1" applyBorder="1" applyAlignment="1">
      <alignment vertical="center"/>
    </xf>
    <xf numFmtId="0" fontId="25" fillId="3" borderId="1" xfId="25" applyFont="1" applyFill="1" applyBorder="1" applyAlignment="1">
      <alignment horizontal="left" vertical="center"/>
    </xf>
    <xf numFmtId="0" fontId="24" fillId="3" borderId="19" xfId="25" applyFont="1" applyFill="1" applyBorder="1" applyAlignment="1">
      <alignment horizontal="left" vertical="center"/>
    </xf>
    <xf numFmtId="0" fontId="24" fillId="3" borderId="4" xfId="25" applyFont="1" applyFill="1" applyBorder="1" applyAlignment="1">
      <alignment horizontal="left" vertical="center"/>
    </xf>
    <xf numFmtId="0" fontId="24" fillId="3" borderId="20" xfId="25" applyFont="1" applyFill="1" applyBorder="1" applyAlignment="1">
      <alignment horizontal="left" vertical="center"/>
    </xf>
    <xf numFmtId="0" fontId="22" fillId="3" borderId="19" xfId="25" applyFont="1" applyFill="1" applyBorder="1" applyAlignment="1">
      <alignment horizontal="left" vertical="center"/>
    </xf>
    <xf numFmtId="0" fontId="22" fillId="3" borderId="4" xfId="25" applyFont="1" applyFill="1" applyBorder="1" applyAlignment="1">
      <alignment horizontal="left" vertical="center"/>
    </xf>
    <xf numFmtId="0" fontId="22" fillId="3" borderId="20" xfId="25" applyFont="1" applyFill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 wrapText="1"/>
    </xf>
    <xf numFmtId="0" fontId="26" fillId="3" borderId="30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4" fillId="3" borderId="19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3" borderId="19" xfId="0" applyFont="1" applyFill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/>
    </xf>
    <xf numFmtId="0" fontId="16" fillId="3" borderId="20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18" fillId="0" borderId="8" xfId="0" applyFont="1" applyBorder="1" applyAlignment="1">
      <alignment horizontal="left"/>
    </xf>
    <xf numFmtId="0" fontId="18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6" fillId="0" borderId="19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18" fillId="0" borderId="4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20" fillId="0" borderId="7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0" fillId="0" borderId="9" xfId="0" applyFont="1" applyBorder="1" applyAlignment="1">
      <alignment horizontal="left"/>
    </xf>
    <xf numFmtId="0" fontId="20" fillId="0" borderId="10" xfId="0" applyFont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18" fillId="0" borderId="0" xfId="0" applyFont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20" fillId="0" borderId="5" xfId="3" applyFont="1" applyBorder="1" applyAlignment="1">
      <alignment horizontal="left" vertical="center" wrapText="1"/>
    </xf>
    <xf numFmtId="0" fontId="20" fillId="0" borderId="6" xfId="3" applyFont="1" applyBorder="1" applyAlignment="1">
      <alignment horizontal="left" vertical="center" wrapText="1"/>
    </xf>
    <xf numFmtId="0" fontId="20" fillId="0" borderId="8" xfId="3" applyFont="1" applyBorder="1" applyAlignment="1">
      <alignment horizontal="left" vertical="center" wrapText="1"/>
    </xf>
    <xf numFmtId="0" fontId="24" fillId="3" borderId="19" xfId="25" applyFont="1" applyFill="1" applyBorder="1" applyAlignment="1">
      <alignment horizontal="left" vertical="center"/>
    </xf>
    <xf numFmtId="0" fontId="24" fillId="3" borderId="4" xfId="25" applyFont="1" applyFill="1" applyBorder="1" applyAlignment="1">
      <alignment horizontal="left" vertical="center"/>
    </xf>
    <xf numFmtId="0" fontId="24" fillId="3" borderId="20" xfId="25" applyFont="1" applyFill="1" applyBorder="1" applyAlignment="1">
      <alignment horizontal="left" vertical="center"/>
    </xf>
    <xf numFmtId="0" fontId="23" fillId="3" borderId="0" xfId="25" applyFont="1" applyFill="1" applyAlignment="1">
      <alignment horizontal="center" vertical="center"/>
    </xf>
    <xf numFmtId="0" fontId="22" fillId="3" borderId="22" xfId="25" applyFont="1" applyFill="1" applyBorder="1" applyAlignment="1">
      <alignment horizontal="left"/>
    </xf>
    <xf numFmtId="0" fontId="22" fillId="3" borderId="23" xfId="25" applyFont="1" applyFill="1" applyBorder="1" applyAlignment="1">
      <alignment horizontal="left"/>
    </xf>
    <xf numFmtId="0" fontId="22" fillId="3" borderId="24" xfId="25" applyFont="1" applyFill="1" applyBorder="1" applyAlignment="1">
      <alignment horizontal="left"/>
    </xf>
    <xf numFmtId="0" fontId="23" fillId="3" borderId="11" xfId="25" applyFont="1" applyFill="1" applyBorder="1" applyAlignment="1">
      <alignment horizontal="left"/>
    </xf>
    <xf numFmtId="0" fontId="22" fillId="3" borderId="19" xfId="25" applyFont="1" applyFill="1" applyBorder="1" applyAlignment="1">
      <alignment horizontal="left" vertical="center"/>
    </xf>
    <xf numFmtId="0" fontId="22" fillId="3" borderId="4" xfId="25" applyFont="1" applyFill="1" applyBorder="1" applyAlignment="1">
      <alignment horizontal="left" vertical="center"/>
    </xf>
    <xf numFmtId="0" fontId="22" fillId="3" borderId="20" xfId="25" applyFont="1" applyFill="1" applyBorder="1" applyAlignment="1">
      <alignment horizontal="left" vertical="center"/>
    </xf>
    <xf numFmtId="0" fontId="25" fillId="3" borderId="19" xfId="25" applyFont="1" applyFill="1" applyBorder="1" applyAlignment="1">
      <alignment horizontal="left" vertical="center"/>
    </xf>
    <xf numFmtId="0" fontId="25" fillId="3" borderId="4" xfId="25" applyFont="1" applyFill="1" applyBorder="1" applyAlignment="1">
      <alignment horizontal="left" vertical="center"/>
    </xf>
    <xf numFmtId="0" fontId="25" fillId="3" borderId="20" xfId="25" applyFont="1" applyFill="1" applyBorder="1" applyAlignment="1">
      <alignment horizontal="left" vertical="center"/>
    </xf>
    <xf numFmtId="0" fontId="25" fillId="3" borderId="10" xfId="25" applyFont="1" applyFill="1" applyBorder="1" applyAlignment="1">
      <alignment horizontal="left" vertical="center"/>
    </xf>
    <xf numFmtId="0" fontId="25" fillId="3" borderId="11" xfId="25" applyFont="1" applyFill="1" applyBorder="1" applyAlignment="1">
      <alignment horizontal="left" vertical="center"/>
    </xf>
    <xf numFmtId="0" fontId="25" fillId="3" borderId="1" xfId="25" applyFont="1" applyFill="1" applyBorder="1" applyAlignment="1">
      <alignment horizontal="left" vertical="center"/>
    </xf>
    <xf numFmtId="0" fontId="25" fillId="3" borderId="7" xfId="25" applyFont="1" applyFill="1" applyBorder="1" applyAlignment="1">
      <alignment horizontal="left" vertical="center"/>
    </xf>
    <xf numFmtId="0" fontId="25" fillId="3" borderId="0" xfId="25" applyFont="1" applyFill="1" applyAlignment="1">
      <alignment horizontal="left" vertical="center"/>
    </xf>
    <xf numFmtId="0" fontId="25" fillId="3" borderId="9" xfId="25" applyFont="1" applyFill="1" applyBorder="1" applyAlignment="1">
      <alignment horizontal="left" vertical="center"/>
    </xf>
    <xf numFmtId="0" fontId="24" fillId="3" borderId="1" xfId="25" applyFont="1" applyFill="1" applyBorder="1" applyAlignment="1">
      <alignment horizontal="left" vertical="center"/>
    </xf>
    <xf numFmtId="0" fontId="22" fillId="3" borderId="19" xfId="25" applyFont="1" applyFill="1" applyBorder="1" applyAlignment="1">
      <alignment horizontal="left"/>
    </xf>
    <xf numFmtId="0" fontId="22" fillId="3" borderId="4" xfId="25" applyFont="1" applyFill="1" applyBorder="1" applyAlignment="1">
      <alignment horizontal="left"/>
    </xf>
    <xf numFmtId="0" fontId="22" fillId="3" borderId="20" xfId="25" applyFont="1" applyFill="1" applyBorder="1" applyAlignment="1">
      <alignment horizontal="left"/>
    </xf>
    <xf numFmtId="0" fontId="25" fillId="3" borderId="19" xfId="25" applyFont="1" applyFill="1" applyBorder="1" applyAlignment="1">
      <alignment horizontal="center" vertical="center" wrapText="1"/>
    </xf>
    <xf numFmtId="0" fontId="25" fillId="3" borderId="4" xfId="25" applyFont="1" applyFill="1" applyBorder="1" applyAlignment="1">
      <alignment horizontal="center" vertical="center" wrapText="1"/>
    </xf>
    <xf numFmtId="0" fontId="25" fillId="3" borderId="20" xfId="25" applyFont="1" applyFill="1" applyBorder="1" applyAlignment="1">
      <alignment horizontal="center" vertical="center" wrapText="1"/>
    </xf>
    <xf numFmtId="0" fontId="5" fillId="3" borderId="19" xfId="25" applyFont="1" applyFill="1" applyBorder="1" applyAlignment="1">
      <alignment horizontal="center" vertical="center"/>
    </xf>
    <xf numFmtId="0" fontId="5" fillId="3" borderId="4" xfId="25" applyFont="1" applyFill="1" applyBorder="1" applyAlignment="1">
      <alignment horizontal="center" vertical="center"/>
    </xf>
    <xf numFmtId="0" fontId="5" fillId="3" borderId="20" xfId="25" applyFont="1" applyFill="1" applyBorder="1" applyAlignment="1">
      <alignment horizontal="center" vertical="center"/>
    </xf>
    <xf numFmtId="0" fontId="25" fillId="3" borderId="12" xfId="25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</cellXfs>
  <cellStyles count="26">
    <cellStyle name="Moeda" xfId="22" builtinId="4"/>
    <cellStyle name="Moeda 2" xfId="6"/>
    <cellStyle name="Normal" xfId="0" builtinId="0"/>
    <cellStyle name="Normal 2" xfId="3"/>
    <cellStyle name="Normal 2 2" xfId="9"/>
    <cellStyle name="Normal 3" xfId="10"/>
    <cellStyle name="Normal 3 2" xfId="2"/>
    <cellStyle name="Normal 4" xfId="11"/>
    <cellStyle name="Normal 5" xfId="25"/>
    <cellStyle name="Normal_CPU_Limpeza Urbana_Belém_23-08-11" xfId="24"/>
    <cellStyle name="Porcentagem" xfId="23" builtinId="5"/>
    <cellStyle name="Porcentagem 2" xfId="13"/>
    <cellStyle name="Porcentagem 2 2" xfId="12"/>
    <cellStyle name="Porcentagem 2 3" xfId="1"/>
    <cellStyle name="Separador de milhares 2" xfId="8"/>
    <cellStyle name="Separador de milhares 2 2" xfId="7"/>
    <cellStyle name="Separador de milhares 2_Aditivo 2011" xfId="4"/>
    <cellStyle name="Separador de milhares 3" xfId="5"/>
    <cellStyle name="Separador de milhares 3 2" xfId="14"/>
    <cellStyle name="Separador de milhares 3 2 2" xfId="15"/>
    <cellStyle name="Separador de milhares 3 3" xfId="16"/>
    <cellStyle name="Separador de milhares 4" xfId="17"/>
    <cellStyle name="Separador de milhares 5" xfId="18"/>
    <cellStyle name="Separador de milhares 6" xfId="19"/>
    <cellStyle name="Vírgula 2" xfId="20"/>
    <cellStyle name="Vírgula 2 2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DEEBF7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CE6F2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969696"/>
      <rgbColor rgb="00003366"/>
      <rgbColor rgb="0000B050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G106"/>
  <sheetViews>
    <sheetView view="pageBreakPreview" topLeftCell="F7" zoomScale="93" zoomScaleNormal="70" zoomScaleSheetLayoutView="93" workbookViewId="0">
      <selection activeCell="L7" sqref="L7"/>
    </sheetView>
  </sheetViews>
  <sheetFormatPr defaultColWidth="9.140625" defaultRowHeight="12.75"/>
  <cols>
    <col min="1" max="1" width="8.7109375" style="2" customWidth="1"/>
    <col min="2" max="2" width="89" style="1" customWidth="1"/>
    <col min="3" max="3" width="14.42578125" style="3" customWidth="1"/>
    <col min="4" max="4" width="16.140625" style="3" customWidth="1"/>
    <col min="5" max="5" width="16.42578125" style="3" customWidth="1"/>
    <col min="6" max="6" width="13.42578125" style="3" customWidth="1"/>
    <col min="7" max="7" width="16.42578125" style="4" customWidth="1"/>
    <col min="8" max="8" width="6.28515625" style="4" customWidth="1"/>
    <col min="9" max="9" width="5.7109375" style="4" bestFit="1" customWidth="1"/>
    <col min="10" max="10" width="3.5703125" style="4" customWidth="1"/>
    <col min="11" max="11" width="4.85546875" style="3" bestFit="1" customWidth="1"/>
    <col min="12" max="12" width="18.85546875" style="1" customWidth="1"/>
    <col min="13" max="13" width="24.85546875" style="1" customWidth="1"/>
    <col min="14" max="14" width="19.5703125" style="1" customWidth="1"/>
    <col min="15" max="15" width="22.5703125" style="1" customWidth="1"/>
    <col min="16" max="16" width="23.5703125" style="1" customWidth="1"/>
    <col min="17" max="17" width="15.5703125" style="1" customWidth="1"/>
    <col min="18" max="18" width="26.85546875" style="1" customWidth="1"/>
    <col min="19" max="19" width="26.140625" style="1" customWidth="1"/>
    <col min="20" max="20" width="25.42578125" style="1" customWidth="1"/>
    <col min="21" max="21" width="28.140625" style="1" customWidth="1"/>
    <col min="22" max="1021" width="9.140625" style="1"/>
  </cols>
  <sheetData>
    <row r="1" spans="1:1021" ht="25.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AMG1"/>
    </row>
    <row r="2" spans="1:1021" ht="21.95" customHeight="1">
      <c r="A2" s="235" t="s">
        <v>236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AMG2"/>
    </row>
    <row r="3" spans="1:1021" ht="32.25" customHeight="1" thickBot="1">
      <c r="A3" s="5"/>
      <c r="B3" s="6"/>
      <c r="C3" s="5"/>
      <c r="D3" s="5"/>
      <c r="E3" s="5"/>
      <c r="G3" s="5"/>
      <c r="H3" s="5"/>
      <c r="I3" s="5"/>
      <c r="J3" s="5"/>
      <c r="K3" s="5"/>
      <c r="AMG3"/>
    </row>
    <row r="4" spans="1:1021" ht="24.95" customHeight="1" thickBot="1">
      <c r="A4" s="161" t="s">
        <v>0</v>
      </c>
      <c r="B4" s="159" t="s">
        <v>1</v>
      </c>
      <c r="C4" s="159"/>
      <c r="D4" s="159"/>
      <c r="E4" s="159"/>
      <c r="F4" s="159"/>
      <c r="G4" s="7"/>
      <c r="H4" s="160" t="s">
        <v>2</v>
      </c>
      <c r="I4" s="160"/>
      <c r="J4" s="160"/>
      <c r="K4" s="160"/>
      <c r="L4" s="163" t="s">
        <v>225</v>
      </c>
      <c r="M4" s="165" t="s">
        <v>226</v>
      </c>
      <c r="N4" s="167" t="s">
        <v>227</v>
      </c>
      <c r="O4" s="165" t="s">
        <v>228</v>
      </c>
      <c r="P4" s="165" t="s">
        <v>229</v>
      </c>
      <c r="Q4" s="165" t="s">
        <v>230</v>
      </c>
      <c r="R4" s="165" t="s">
        <v>231</v>
      </c>
      <c r="S4" s="165" t="s">
        <v>232</v>
      </c>
      <c r="T4" s="165" t="s">
        <v>233</v>
      </c>
      <c r="U4" s="165" t="s">
        <v>234</v>
      </c>
      <c r="AMG4"/>
    </row>
    <row r="5" spans="1:1021" ht="34.5" customHeight="1" thickBot="1">
      <c r="A5" s="161"/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9" t="s">
        <v>9</v>
      </c>
      <c r="I5" s="10" t="s">
        <v>10</v>
      </c>
      <c r="J5" s="11" t="s">
        <v>11</v>
      </c>
      <c r="K5" s="11" t="s">
        <v>12</v>
      </c>
      <c r="L5" s="164"/>
      <c r="M5" s="166"/>
      <c r="N5" s="168"/>
      <c r="O5" s="166"/>
      <c r="P5" s="166"/>
      <c r="Q5" s="166"/>
      <c r="R5" s="166"/>
      <c r="S5" s="166"/>
      <c r="T5" s="166"/>
      <c r="U5" s="166"/>
      <c r="AMG5"/>
    </row>
    <row r="6" spans="1:1021" ht="409.5" customHeight="1" thickBot="1">
      <c r="A6" s="134">
        <v>1</v>
      </c>
      <c r="B6" s="135" t="s">
        <v>15</v>
      </c>
      <c r="C6" s="136">
        <f>D6+E6</f>
        <v>195.08</v>
      </c>
      <c r="D6" s="136">
        <f>(97.54*2)</f>
        <v>195.08</v>
      </c>
      <c r="E6" s="136"/>
      <c r="F6" s="134" t="s">
        <v>14</v>
      </c>
      <c r="G6" s="134" t="str">
        <f>IF((MAX(H6:K6)&lt;8),"Veículo Automotor do Tipo - Pequeno Porte",(IF(MAX(H6:K6)&lt;31,"Veículo Automotor do Tipo - Médio Porte","Veículo Automotor do Tipo - Grande Porte")))</f>
        <v>Veículo Automotor do Tipo - Grande Porte</v>
      </c>
      <c r="H6" s="137"/>
      <c r="I6" s="137">
        <v>44</v>
      </c>
      <c r="J6" s="137"/>
      <c r="K6" s="138"/>
      <c r="L6" s="139">
        <v>4.4400000000000004</v>
      </c>
      <c r="M6" s="140">
        <f>L6*D6</f>
        <v>866.15520000000015</v>
      </c>
      <c r="N6" s="140">
        <v>0</v>
      </c>
      <c r="O6" s="140">
        <f>N6*E6</f>
        <v>0</v>
      </c>
      <c r="P6" s="140">
        <f>M6+O6</f>
        <v>866.15520000000015</v>
      </c>
      <c r="Q6" s="142">
        <v>20</v>
      </c>
      <c r="R6" s="140">
        <f>P6*20</f>
        <v>17323.104000000003</v>
      </c>
      <c r="S6" s="140">
        <v>11494.93</v>
      </c>
      <c r="T6" s="140">
        <f>R6+S6</f>
        <v>28818.034000000003</v>
      </c>
      <c r="U6" s="140">
        <f>T6*12</f>
        <v>345816.40800000005</v>
      </c>
      <c r="AMG6"/>
    </row>
    <row r="7" spans="1:1021" ht="367.5" customHeight="1">
      <c r="A7" s="143">
        <v>2</v>
      </c>
      <c r="B7" s="144" t="s">
        <v>16</v>
      </c>
      <c r="C7" s="145">
        <f>D7+E7</f>
        <v>194.08</v>
      </c>
      <c r="D7" s="145">
        <f>(97.04*2)</f>
        <v>194.08</v>
      </c>
      <c r="E7" s="145"/>
      <c r="F7" s="143" t="str">
        <f t="shared" ref="F7" si="0">IF(ISNUMBER(FIND("manhã",B7)),"Manhã","")&amp;IF(ISNUMBER(FIND("manhã",B7))*ISNUMBER(FIND("tarde",B7)),"/","")&amp;IF(ISNUMBER(FIND("tarde",B7)),"Tarde","")&amp;IF(ISNUMBER(FIND("tarde",B7))*ISNUMBER(FIND("noite",B7)),"/","")&amp;IF(ISNUMBER(FIND("noite",B7)),"Noite","")&amp;IF(ISNUMBER(FIND("noite",B7))*ISNUMBER(FIND("integral",B7)),"/","")&amp;IF(ISNUMBER(FIND("integral",B7)),"Integral","")</f>
        <v>Manhã</v>
      </c>
      <c r="G7" s="143" t="str">
        <f t="shared" ref="G7" si="1">IF((MAX(H7:K7)&lt;8),"Veículo Automotor do Tipo - Pequeno Porte",(IF(MAX(H7:K7)&lt;31,"Veículo Automotor do Tipo - Médio Porte","Veículo Automotor do Tipo - Grande Porte")))</f>
        <v>Veículo Automotor do Tipo - Grande Porte</v>
      </c>
      <c r="H7" s="146">
        <v>44</v>
      </c>
      <c r="I7" s="146"/>
      <c r="J7" s="146"/>
      <c r="K7" s="147"/>
      <c r="L7" s="148">
        <v>4.4400000000000004</v>
      </c>
      <c r="M7" s="149">
        <f>L7*D7</f>
        <v>861.7152000000001</v>
      </c>
      <c r="N7" s="149"/>
      <c r="O7" s="149">
        <f t="shared" ref="O7" si="2">N7*E7</f>
        <v>0</v>
      </c>
      <c r="P7" s="149">
        <f>M7+O7</f>
        <v>861.7152000000001</v>
      </c>
      <c r="Q7" s="150">
        <v>20</v>
      </c>
      <c r="R7" s="149">
        <f>P7*20</f>
        <v>17234.304000000004</v>
      </c>
      <c r="S7" s="140">
        <v>11494.93</v>
      </c>
      <c r="T7" s="149">
        <f>R7+S7</f>
        <v>28729.234000000004</v>
      </c>
      <c r="U7" s="149">
        <f>T7*12</f>
        <v>344750.80800000008</v>
      </c>
      <c r="AMG7"/>
    </row>
    <row r="8" spans="1:1021" ht="60.75" customHeight="1">
      <c r="A8" s="162"/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51">
        <f>SUM(M6:M7)</f>
        <v>1727.8704000000002</v>
      </c>
      <c r="N8" s="141"/>
      <c r="O8" s="140">
        <f>SUM(O6:O7)</f>
        <v>0</v>
      </c>
      <c r="P8" s="151">
        <f>SUM(P6:P7)</f>
        <v>1727.8704000000002</v>
      </c>
      <c r="Q8" s="141"/>
      <c r="R8" s="151">
        <f>SUM(R6:R7)</f>
        <v>34557.40800000001</v>
      </c>
      <c r="S8" s="151">
        <f>SUM(S6:S7)</f>
        <v>22989.86</v>
      </c>
      <c r="T8" s="151">
        <f>SUM(T6:T7)</f>
        <v>57547.268000000011</v>
      </c>
      <c r="U8" s="151">
        <f>SUM(U6:U7)</f>
        <v>690567.21600000013</v>
      </c>
      <c r="AMG8"/>
    </row>
    <row r="9" spans="1:1021">
      <c r="A9" s="1"/>
      <c r="C9" s="1"/>
      <c r="D9" s="1"/>
      <c r="E9" s="1"/>
      <c r="F9" s="1"/>
      <c r="G9" s="1"/>
      <c r="H9" s="1"/>
      <c r="I9" s="1"/>
      <c r="J9" s="1"/>
      <c r="K9" s="1"/>
      <c r="L9" s="3"/>
      <c r="AMG9"/>
    </row>
    <row r="10" spans="1:1021">
      <c r="A10" s="1"/>
      <c r="C10" s="1"/>
      <c r="D10" s="1"/>
      <c r="E10" s="1"/>
      <c r="F10" s="1"/>
      <c r="G10" s="1"/>
      <c r="H10" s="1"/>
      <c r="I10" s="1"/>
      <c r="J10" s="1"/>
      <c r="K10" s="1"/>
      <c r="AMG10"/>
    </row>
    <row r="11" spans="1:1021">
      <c r="A11" s="1"/>
      <c r="C11" s="1"/>
      <c r="D11" s="1"/>
      <c r="E11" s="1"/>
      <c r="F11" s="1"/>
      <c r="G11" s="1"/>
      <c r="H11" s="1"/>
      <c r="I11" s="1"/>
      <c r="J11" s="1"/>
      <c r="K11" s="1"/>
      <c r="AMG11"/>
    </row>
    <row r="12" spans="1:1021">
      <c r="A12" s="1"/>
      <c r="C12" s="1"/>
      <c r="D12" s="1"/>
      <c r="E12" s="1"/>
      <c r="F12" s="1"/>
      <c r="G12" s="1"/>
      <c r="H12" s="1"/>
      <c r="I12" s="1"/>
      <c r="J12" s="1"/>
      <c r="K12" s="1"/>
      <c r="AMG12"/>
    </row>
    <row r="13" spans="1:1021">
      <c r="A13" s="1"/>
      <c r="C13" s="1"/>
      <c r="D13" s="1"/>
      <c r="E13" s="1"/>
      <c r="F13" s="1"/>
      <c r="G13" s="1"/>
      <c r="H13" s="1"/>
      <c r="I13" s="1"/>
      <c r="J13" s="1"/>
      <c r="K13" s="1"/>
      <c r="AMG13"/>
    </row>
    <row r="14" spans="1:1021">
      <c r="A14" s="1"/>
      <c r="C14" s="1"/>
      <c r="D14" s="1"/>
      <c r="E14" s="1"/>
      <c r="F14" s="1"/>
      <c r="G14" s="1"/>
      <c r="H14" s="1"/>
      <c r="I14" s="1"/>
      <c r="J14" s="1"/>
      <c r="K14" s="1"/>
      <c r="AMG14"/>
    </row>
    <row r="15" spans="1:1021">
      <c r="A15" s="1"/>
      <c r="C15" s="1"/>
      <c r="D15" s="1"/>
      <c r="E15" s="1"/>
      <c r="F15" s="1"/>
      <c r="G15" s="1"/>
      <c r="H15" s="1"/>
      <c r="I15" s="1"/>
      <c r="J15" s="1"/>
      <c r="K15" s="1"/>
      <c r="AMG15"/>
    </row>
    <row r="16" spans="1:1021">
      <c r="A16" s="1"/>
      <c r="C16" s="1"/>
      <c r="D16" s="1"/>
      <c r="E16" s="1"/>
      <c r="F16" s="1"/>
      <c r="G16" s="1"/>
      <c r="H16" s="1"/>
      <c r="I16" s="1"/>
      <c r="J16" s="1"/>
      <c r="K16" s="1"/>
      <c r="AMG16"/>
    </row>
    <row r="17" spans="1:1021">
      <c r="A17" s="1"/>
      <c r="C17" s="1"/>
      <c r="D17" s="1"/>
      <c r="E17" s="1"/>
      <c r="F17" s="1"/>
      <c r="G17" s="1"/>
      <c r="H17" s="1"/>
      <c r="I17" s="1"/>
      <c r="J17" s="1"/>
      <c r="K17" s="1"/>
      <c r="AMG17"/>
    </row>
    <row r="18" spans="1:1021">
      <c r="A18" s="1"/>
      <c r="C18" s="1"/>
      <c r="D18" s="1"/>
      <c r="E18" s="1"/>
      <c r="F18" s="1"/>
      <c r="G18" s="1"/>
      <c r="H18" s="1"/>
      <c r="I18" s="1"/>
      <c r="J18" s="1"/>
      <c r="K18" s="1"/>
      <c r="AMG18"/>
    </row>
    <row r="19" spans="1:1021">
      <c r="A19" s="1"/>
      <c r="C19" s="1"/>
      <c r="D19" s="1"/>
      <c r="E19" s="1"/>
      <c r="F19" s="1"/>
      <c r="G19" s="1"/>
      <c r="H19" s="1"/>
      <c r="I19" s="1"/>
      <c r="J19" s="1"/>
      <c r="K19" s="1"/>
      <c r="AMG19"/>
    </row>
    <row r="20" spans="1:1021">
      <c r="A20" s="1"/>
      <c r="C20" s="1"/>
      <c r="D20" s="1"/>
      <c r="E20" s="1"/>
      <c r="F20" s="1"/>
      <c r="G20" s="1"/>
      <c r="H20" s="1"/>
      <c r="I20" s="1"/>
      <c r="J20" s="1"/>
      <c r="K20" s="1"/>
      <c r="AMG20"/>
    </row>
    <row r="21" spans="1:1021">
      <c r="A21" s="1"/>
      <c r="C21" s="1"/>
      <c r="D21" s="1"/>
      <c r="E21" s="1"/>
      <c r="F21" s="1"/>
      <c r="G21" s="1"/>
      <c r="H21" s="1"/>
      <c r="I21" s="1"/>
      <c r="J21" s="1"/>
      <c r="K21" s="1"/>
      <c r="AMG21"/>
    </row>
    <row r="22" spans="1:1021">
      <c r="A22" s="1"/>
      <c r="C22" s="1"/>
      <c r="D22" s="1"/>
      <c r="E22" s="1"/>
      <c r="F22" s="1"/>
      <c r="G22" s="1"/>
      <c r="H22" s="1"/>
      <c r="I22" s="1"/>
      <c r="J22" s="1"/>
      <c r="K22" s="1"/>
      <c r="AMG22"/>
    </row>
    <row r="23" spans="1:1021">
      <c r="A23" s="1"/>
      <c r="C23" s="1"/>
      <c r="D23" s="1"/>
      <c r="E23" s="1"/>
      <c r="F23" s="1"/>
      <c r="G23" s="1"/>
      <c r="H23" s="1"/>
      <c r="I23" s="1"/>
      <c r="J23" s="1"/>
      <c r="K23" s="1"/>
      <c r="AMG23"/>
    </row>
    <row r="24" spans="1:1021">
      <c r="A24" s="1"/>
      <c r="C24" s="1"/>
      <c r="D24" s="1"/>
      <c r="E24" s="1"/>
      <c r="F24" s="1"/>
      <c r="G24" s="1"/>
      <c r="H24" s="1"/>
      <c r="I24" s="1"/>
      <c r="J24" s="1"/>
      <c r="K24" s="1"/>
      <c r="AMG24"/>
    </row>
    <row r="25" spans="1:1021">
      <c r="A25" s="1"/>
      <c r="C25" s="1"/>
      <c r="D25" s="1"/>
      <c r="E25" s="1"/>
      <c r="F25" s="1"/>
      <c r="G25" s="1"/>
      <c r="H25" s="1"/>
      <c r="I25" s="1"/>
      <c r="J25" s="1"/>
      <c r="K25" s="1"/>
      <c r="AMG25"/>
    </row>
    <row r="26" spans="1:1021">
      <c r="A26" s="1"/>
      <c r="C26" s="1"/>
      <c r="D26" s="1"/>
      <c r="E26" s="1"/>
      <c r="F26" s="1"/>
      <c r="G26" s="1"/>
      <c r="H26" s="1"/>
      <c r="I26" s="1"/>
      <c r="J26" s="1"/>
      <c r="K26" s="1"/>
      <c r="AMG26"/>
    </row>
    <row r="27" spans="1:1021" s="1" customFormat="1"/>
    <row r="28" spans="1:1021" s="1" customFormat="1"/>
    <row r="29" spans="1:1021" s="1" customFormat="1"/>
    <row r="30" spans="1:1021" s="1" customFormat="1"/>
    <row r="31" spans="1:1021" s="1" customFormat="1"/>
    <row r="32" spans="1:1021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pans="1:11" s="1" customFormat="1">
      <c r="A81" s="2"/>
      <c r="C81" s="3"/>
      <c r="D81" s="3"/>
      <c r="E81" s="3"/>
      <c r="F81" s="3"/>
      <c r="G81" s="4"/>
      <c r="H81" s="4"/>
      <c r="I81" s="4"/>
      <c r="J81" s="4"/>
      <c r="K81" s="3"/>
    </row>
    <row r="82" spans="1:11" s="1" customFormat="1">
      <c r="A82" s="2"/>
      <c r="C82" s="3"/>
      <c r="D82" s="3"/>
      <c r="E82" s="3"/>
      <c r="F82" s="3"/>
      <c r="G82" s="4"/>
      <c r="H82" s="4"/>
      <c r="I82" s="4"/>
      <c r="J82" s="4"/>
      <c r="K82" s="3"/>
    </row>
    <row r="83" spans="1:11" s="1" customFormat="1">
      <c r="A83" s="2"/>
      <c r="C83" s="3"/>
      <c r="D83" s="3"/>
      <c r="E83" s="3"/>
      <c r="F83" s="3"/>
      <c r="G83" s="4"/>
      <c r="H83" s="4"/>
      <c r="I83" s="4"/>
      <c r="J83" s="4"/>
      <c r="K83" s="3"/>
    </row>
    <row r="84" spans="1:11" s="1" customFormat="1">
      <c r="A84" s="2"/>
      <c r="C84" s="3"/>
      <c r="D84" s="3"/>
      <c r="E84" s="3"/>
      <c r="F84" s="3"/>
      <c r="G84" s="4"/>
      <c r="H84" s="4"/>
      <c r="I84" s="4"/>
      <c r="J84" s="4"/>
      <c r="K84" s="3"/>
    </row>
    <row r="85" spans="1:11" s="1" customFormat="1">
      <c r="A85" s="2"/>
      <c r="C85" s="3"/>
      <c r="D85" s="3"/>
      <c r="E85" s="3"/>
      <c r="F85" s="3"/>
      <c r="G85" s="4"/>
      <c r="H85" s="4"/>
      <c r="I85" s="4"/>
      <c r="J85" s="4"/>
      <c r="K85" s="3"/>
    </row>
    <row r="86" spans="1:11" s="1" customFormat="1">
      <c r="A86" s="2"/>
      <c r="C86" s="3"/>
      <c r="D86" s="3"/>
      <c r="E86" s="3"/>
      <c r="F86" s="3"/>
      <c r="G86" s="4"/>
      <c r="H86" s="4"/>
      <c r="I86" s="4"/>
      <c r="J86" s="4"/>
      <c r="K86" s="3"/>
    </row>
    <row r="87" spans="1:11" s="1" customFormat="1">
      <c r="A87" s="2"/>
      <c r="C87" s="3"/>
      <c r="D87" s="3"/>
      <c r="E87" s="3"/>
      <c r="F87" s="3"/>
      <c r="G87" s="4"/>
      <c r="H87" s="4"/>
      <c r="I87" s="4"/>
      <c r="J87" s="4"/>
      <c r="K87" s="3"/>
    </row>
    <row r="88" spans="1:11" s="1" customFormat="1">
      <c r="A88" s="2"/>
      <c r="C88" s="3"/>
      <c r="D88" s="3"/>
      <c r="E88" s="3"/>
      <c r="F88" s="3"/>
      <c r="G88" s="4"/>
      <c r="H88" s="4"/>
      <c r="I88" s="4"/>
      <c r="J88" s="4"/>
      <c r="K88" s="3"/>
    </row>
    <row r="89" spans="1:11" s="1" customFormat="1">
      <c r="A89" s="2"/>
      <c r="C89" s="3"/>
      <c r="D89" s="3"/>
      <c r="E89" s="3"/>
      <c r="F89" s="3"/>
      <c r="G89" s="4"/>
      <c r="H89" s="4"/>
      <c r="I89" s="4"/>
      <c r="J89" s="4"/>
      <c r="K89" s="3"/>
    </row>
    <row r="90" spans="1:11" s="1" customFormat="1">
      <c r="A90" s="2"/>
      <c r="C90" s="3"/>
      <c r="D90" s="3"/>
      <c r="E90" s="3"/>
      <c r="F90" s="3"/>
      <c r="G90" s="4"/>
      <c r="H90" s="4"/>
      <c r="I90" s="4"/>
      <c r="J90" s="4"/>
      <c r="K90" s="3"/>
    </row>
    <row r="91" spans="1:11" s="1" customFormat="1">
      <c r="A91" s="2"/>
      <c r="C91" s="3"/>
      <c r="D91" s="3"/>
      <c r="E91" s="3"/>
      <c r="F91" s="3"/>
      <c r="G91" s="4"/>
      <c r="H91" s="4"/>
      <c r="I91" s="4"/>
      <c r="J91" s="4"/>
      <c r="K91" s="3"/>
    </row>
    <row r="92" spans="1:11" s="1" customFormat="1">
      <c r="A92" s="2"/>
      <c r="C92" s="3"/>
      <c r="D92" s="3"/>
      <c r="E92" s="3"/>
      <c r="F92" s="3"/>
      <c r="G92" s="4"/>
      <c r="H92" s="4"/>
      <c r="I92" s="4"/>
      <c r="J92" s="4"/>
      <c r="K92" s="3"/>
    </row>
    <row r="93" spans="1:11" s="1" customFormat="1">
      <c r="A93" s="2"/>
      <c r="C93" s="3"/>
      <c r="D93" s="3"/>
      <c r="E93" s="3"/>
      <c r="F93" s="3"/>
      <c r="G93" s="4"/>
      <c r="H93" s="4"/>
      <c r="I93" s="4"/>
      <c r="J93" s="4"/>
      <c r="K93" s="3"/>
    </row>
    <row r="94" spans="1:11" s="1" customFormat="1">
      <c r="A94" s="2"/>
      <c r="C94" s="3"/>
      <c r="D94" s="3"/>
      <c r="E94" s="3"/>
      <c r="F94" s="3"/>
      <c r="G94" s="4"/>
      <c r="H94" s="4"/>
      <c r="I94" s="4"/>
      <c r="J94" s="4"/>
      <c r="K94" s="3"/>
    </row>
    <row r="95" spans="1:11" s="1" customFormat="1">
      <c r="A95" s="2"/>
      <c r="C95" s="3"/>
      <c r="D95" s="3"/>
      <c r="E95" s="3"/>
      <c r="F95" s="3"/>
      <c r="G95" s="4"/>
      <c r="H95" s="4"/>
      <c r="I95" s="4"/>
      <c r="J95" s="4"/>
      <c r="K95" s="3"/>
    </row>
    <row r="96" spans="1:11" s="1" customFormat="1">
      <c r="A96" s="2"/>
      <c r="C96" s="3"/>
      <c r="D96" s="3"/>
      <c r="E96" s="3"/>
      <c r="F96" s="3"/>
      <c r="G96" s="4"/>
      <c r="H96" s="4"/>
      <c r="I96" s="4"/>
      <c r="J96" s="4"/>
      <c r="K96" s="3"/>
    </row>
    <row r="97" spans="1:11" s="1" customFormat="1">
      <c r="A97" s="2"/>
      <c r="C97" s="3"/>
      <c r="D97" s="3"/>
      <c r="E97" s="3"/>
      <c r="F97" s="3"/>
      <c r="G97" s="4"/>
      <c r="H97" s="4"/>
      <c r="I97" s="4"/>
      <c r="J97" s="4"/>
      <c r="K97" s="3"/>
    </row>
    <row r="98" spans="1:11" s="1" customFormat="1">
      <c r="A98" s="2"/>
      <c r="C98" s="3"/>
      <c r="D98" s="3"/>
      <c r="E98" s="3"/>
      <c r="F98" s="3"/>
      <c r="G98" s="4"/>
      <c r="H98" s="4"/>
      <c r="I98" s="4"/>
      <c r="J98" s="4"/>
      <c r="K98" s="3"/>
    </row>
    <row r="99" spans="1:11" s="1" customFormat="1">
      <c r="A99" s="2"/>
      <c r="C99" s="3"/>
      <c r="D99" s="3"/>
      <c r="E99" s="3"/>
      <c r="F99" s="3"/>
      <c r="G99" s="4"/>
      <c r="H99" s="4"/>
      <c r="I99" s="4"/>
      <c r="J99" s="4"/>
      <c r="K99" s="3"/>
    </row>
    <row r="100" spans="1:11" s="1" customFormat="1">
      <c r="A100" s="2"/>
      <c r="C100" s="3"/>
      <c r="D100" s="3"/>
      <c r="E100" s="3"/>
      <c r="F100" s="3"/>
      <c r="G100" s="4"/>
      <c r="H100" s="4"/>
      <c r="I100" s="4"/>
      <c r="J100" s="4"/>
      <c r="K100" s="3"/>
    </row>
    <row r="101" spans="1:11" s="1" customFormat="1">
      <c r="A101" s="2"/>
      <c r="C101" s="3"/>
      <c r="D101" s="3"/>
      <c r="E101" s="3"/>
      <c r="F101" s="3"/>
      <c r="G101" s="4"/>
      <c r="H101" s="4"/>
      <c r="I101" s="4"/>
      <c r="J101" s="4"/>
      <c r="K101" s="3"/>
    </row>
    <row r="102" spans="1:11" s="1" customFormat="1">
      <c r="A102" s="2"/>
      <c r="C102" s="3"/>
      <c r="D102" s="3"/>
      <c r="E102" s="3"/>
      <c r="F102" s="3"/>
      <c r="G102" s="4"/>
      <c r="H102" s="4"/>
      <c r="I102" s="4"/>
      <c r="J102" s="4"/>
      <c r="K102" s="3"/>
    </row>
    <row r="103" spans="1:11" s="1" customFormat="1">
      <c r="A103" s="2"/>
      <c r="C103" s="3"/>
      <c r="D103" s="3"/>
      <c r="E103" s="3"/>
      <c r="F103" s="3"/>
      <c r="G103" s="4"/>
      <c r="H103" s="4"/>
      <c r="I103" s="4"/>
      <c r="J103" s="4"/>
      <c r="K103" s="3"/>
    </row>
    <row r="104" spans="1:11" s="1" customFormat="1">
      <c r="A104" s="2"/>
      <c r="C104" s="3"/>
      <c r="D104" s="3"/>
      <c r="E104" s="3"/>
      <c r="F104" s="3"/>
      <c r="G104" s="4"/>
      <c r="H104" s="4"/>
      <c r="I104" s="4"/>
      <c r="J104" s="4"/>
      <c r="K104" s="3"/>
    </row>
    <row r="105" spans="1:11" s="1" customFormat="1">
      <c r="A105" s="2"/>
      <c r="C105" s="3"/>
      <c r="D105" s="3"/>
      <c r="E105" s="3"/>
      <c r="F105" s="3"/>
      <c r="G105" s="4"/>
      <c r="H105" s="4"/>
      <c r="I105" s="4"/>
      <c r="J105" s="4"/>
      <c r="K105" s="3"/>
    </row>
    <row r="106" spans="1:11" s="1" customFormat="1">
      <c r="A106" s="2"/>
      <c r="C106" s="3"/>
      <c r="D106" s="3"/>
      <c r="E106" s="3"/>
      <c r="F106" s="3"/>
      <c r="G106" s="4"/>
      <c r="H106" s="4"/>
      <c r="I106" s="4"/>
      <c r="J106" s="4"/>
      <c r="K106" s="3"/>
    </row>
  </sheetData>
  <mergeCells count="15">
    <mergeCell ref="R4:R5"/>
    <mergeCell ref="S4:S5"/>
    <mergeCell ref="T4:T5"/>
    <mergeCell ref="U4:U5"/>
    <mergeCell ref="A2:V2"/>
    <mergeCell ref="M4:M5"/>
    <mergeCell ref="N4:N5"/>
    <mergeCell ref="O4:O5"/>
    <mergeCell ref="P4:P5"/>
    <mergeCell ref="Q4:Q5"/>
    <mergeCell ref="B4:F4"/>
    <mergeCell ref="H4:K4"/>
    <mergeCell ref="A4:A5"/>
    <mergeCell ref="A8:L8"/>
    <mergeCell ref="L4:L5"/>
  </mergeCells>
  <printOptions horizontalCentered="1"/>
  <pageMargins left="0.70866141732283472" right="0.70866141732283472" top="0.98425196850393704" bottom="0.74803149606299213" header="0.31496062992125984" footer="0.31496062992125984"/>
  <pageSetup paperSize="9" scale="29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workbookViewId="0">
      <selection activeCell="A10" sqref="A10:E10"/>
    </sheetView>
  </sheetViews>
  <sheetFormatPr defaultRowHeight="12.75"/>
  <cols>
    <col min="2" max="2" width="33.42578125" customWidth="1"/>
    <col min="3" max="3" width="15.5703125" customWidth="1"/>
    <col min="4" max="4" width="17.85546875" customWidth="1"/>
    <col min="5" max="5" width="17.28515625" customWidth="1"/>
    <col min="6" max="6" width="16.28515625" customWidth="1"/>
  </cols>
  <sheetData>
    <row r="3" spans="1:6">
      <c r="A3" t="s">
        <v>17</v>
      </c>
    </row>
    <row r="6" spans="1:6">
      <c r="A6" s="12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</row>
    <row r="7" spans="1:6">
      <c r="A7" s="12">
        <v>1</v>
      </c>
      <c r="B7" s="12" t="s">
        <v>24</v>
      </c>
      <c r="C7" s="12">
        <v>2</v>
      </c>
      <c r="D7" s="13">
        <v>54.39</v>
      </c>
      <c r="E7" s="13">
        <f>C7*D7</f>
        <v>108.78</v>
      </c>
      <c r="F7" s="13">
        <f>E7/12</f>
        <v>9.0649999999999995</v>
      </c>
    </row>
    <row r="8" spans="1:6">
      <c r="A8" s="12">
        <v>2</v>
      </c>
      <c r="B8" s="12" t="s">
        <v>25</v>
      </c>
      <c r="C8" s="12">
        <v>2</v>
      </c>
      <c r="D8" s="13">
        <v>59.25</v>
      </c>
      <c r="E8" s="13">
        <f t="shared" ref="E8:E9" si="0">C8*D8</f>
        <v>118.5</v>
      </c>
      <c r="F8" s="13">
        <f t="shared" ref="F8:F9" si="1">E8/12</f>
        <v>9.875</v>
      </c>
    </row>
    <row r="9" spans="1:6">
      <c r="A9" s="12">
        <v>3</v>
      </c>
      <c r="B9" s="12" t="s">
        <v>26</v>
      </c>
      <c r="C9" s="12">
        <v>1</v>
      </c>
      <c r="D9" s="13">
        <v>59</v>
      </c>
      <c r="E9" s="13">
        <f t="shared" si="0"/>
        <v>59</v>
      </c>
      <c r="F9" s="13">
        <f t="shared" si="1"/>
        <v>4.916666666666667</v>
      </c>
    </row>
    <row r="10" spans="1:6">
      <c r="A10" s="169" t="s">
        <v>27</v>
      </c>
      <c r="B10" s="169"/>
      <c r="C10" s="169"/>
      <c r="D10" s="169"/>
      <c r="E10" s="169"/>
      <c r="F10" s="14">
        <f>SUM(F7:F9)</f>
        <v>23.856666666666666</v>
      </c>
    </row>
  </sheetData>
  <mergeCells count="1">
    <mergeCell ref="A10:E10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41"/>
  <sheetViews>
    <sheetView workbookViewId="0">
      <selection sqref="A1:L1048576"/>
    </sheetView>
  </sheetViews>
  <sheetFormatPr defaultRowHeight="15"/>
  <cols>
    <col min="1" max="1" width="6" style="15" customWidth="1"/>
    <col min="2" max="2" width="12.7109375" style="15" customWidth="1"/>
    <col min="3" max="3" width="13.42578125" style="15" customWidth="1"/>
    <col min="4" max="4" width="16" style="15" customWidth="1"/>
    <col min="5" max="5" width="14.7109375" style="15" customWidth="1"/>
    <col min="6" max="6" width="13.28515625" style="15" customWidth="1"/>
    <col min="7" max="7" width="16.140625" style="15" customWidth="1"/>
  </cols>
  <sheetData>
    <row r="8" spans="2:7" ht="25.5">
      <c r="B8" s="172" t="s">
        <v>28</v>
      </c>
      <c r="C8" s="173"/>
      <c r="D8" s="173"/>
      <c r="E8" s="173"/>
      <c r="F8" s="173"/>
      <c r="G8" s="174"/>
    </row>
    <row r="9" spans="2:7">
      <c r="B9" s="16"/>
      <c r="C9" s="16"/>
      <c r="D9" s="16"/>
      <c r="E9" s="16"/>
      <c r="F9" s="16"/>
      <c r="G9" s="16"/>
    </row>
    <row r="10" spans="2:7" ht="15.75">
      <c r="B10" s="17" t="s">
        <v>18</v>
      </c>
      <c r="C10" s="175" t="s">
        <v>29</v>
      </c>
      <c r="D10" s="176"/>
      <c r="E10" s="176"/>
      <c r="F10" s="177"/>
      <c r="G10" s="17" t="s">
        <v>30</v>
      </c>
    </row>
    <row r="11" spans="2:7">
      <c r="B11" s="18"/>
      <c r="C11" s="19"/>
      <c r="D11" s="19"/>
      <c r="E11" s="19"/>
      <c r="F11" s="19"/>
      <c r="G11" s="20"/>
    </row>
    <row r="12" spans="2:7" ht="15.75">
      <c r="B12" s="178" t="s">
        <v>31</v>
      </c>
      <c r="C12" s="179"/>
      <c r="D12" s="179"/>
      <c r="E12" s="179"/>
      <c r="F12" s="179"/>
      <c r="G12" s="180"/>
    </row>
    <row r="13" spans="2:7" ht="15.75">
      <c r="B13" s="21" t="s">
        <v>32</v>
      </c>
      <c r="C13" s="181" t="s">
        <v>33</v>
      </c>
      <c r="D13" s="181"/>
      <c r="E13" s="181"/>
      <c r="F13" s="182"/>
      <c r="G13" s="22">
        <v>8.2000000000000007E-3</v>
      </c>
    </row>
    <row r="14" spans="2:7" ht="15.75">
      <c r="B14" s="23" t="s">
        <v>34</v>
      </c>
      <c r="C14" s="183" t="s">
        <v>35</v>
      </c>
      <c r="D14" s="183"/>
      <c r="E14" s="183"/>
      <c r="F14" s="184"/>
      <c r="G14" s="22">
        <v>4.4900000000000002E-2</v>
      </c>
    </row>
    <row r="15" spans="2:7" ht="15.75">
      <c r="B15" s="23" t="s">
        <v>36</v>
      </c>
      <c r="C15" s="183" t="s">
        <v>37</v>
      </c>
      <c r="D15" s="183"/>
      <c r="E15" s="183"/>
      <c r="F15" s="184"/>
      <c r="G15" s="22">
        <v>1.11E-2</v>
      </c>
    </row>
    <row r="16" spans="2:7" ht="15.75">
      <c r="B16" s="178" t="s">
        <v>38</v>
      </c>
      <c r="C16" s="179"/>
      <c r="D16" s="179"/>
      <c r="E16" s="179"/>
      <c r="F16" s="180"/>
      <c r="G16" s="24">
        <f>G13+G14+G15</f>
        <v>6.4200000000000007E-2</v>
      </c>
    </row>
    <row r="17" spans="1:7" ht="15.75">
      <c r="B17" s="25"/>
      <c r="C17" s="26"/>
      <c r="D17" s="26"/>
      <c r="E17" s="26"/>
      <c r="F17" s="26"/>
      <c r="G17" s="27"/>
    </row>
    <row r="18" spans="1:7" ht="15.75">
      <c r="B18" s="185" t="s">
        <v>39</v>
      </c>
      <c r="C18" s="186"/>
      <c r="D18" s="186"/>
      <c r="E18" s="186"/>
      <c r="F18" s="186"/>
      <c r="G18" s="187"/>
    </row>
    <row r="19" spans="1:7" ht="15.75">
      <c r="B19" s="23" t="s">
        <v>40</v>
      </c>
      <c r="C19" s="188" t="s">
        <v>41</v>
      </c>
      <c r="D19" s="188"/>
      <c r="E19" s="188"/>
      <c r="F19" s="189"/>
      <c r="G19" s="28">
        <v>6.2199999999999998E-2</v>
      </c>
    </row>
    <row r="20" spans="1:7" ht="15.75">
      <c r="B20" s="178" t="s">
        <v>42</v>
      </c>
      <c r="C20" s="179"/>
      <c r="D20" s="179"/>
      <c r="E20" s="179"/>
      <c r="F20" s="180"/>
      <c r="G20" s="28">
        <f>G19</f>
        <v>6.2199999999999998E-2</v>
      </c>
    </row>
    <row r="21" spans="1:7" ht="15.75">
      <c r="B21" s="25"/>
      <c r="C21" s="26"/>
      <c r="D21" s="26"/>
      <c r="E21" s="26"/>
      <c r="F21" s="26"/>
      <c r="G21" s="27"/>
    </row>
    <row r="22" spans="1:7" ht="15.75">
      <c r="B22" s="178" t="s">
        <v>43</v>
      </c>
      <c r="C22" s="179"/>
      <c r="D22" s="179"/>
      <c r="E22" s="179"/>
      <c r="F22" s="179"/>
      <c r="G22" s="180"/>
    </row>
    <row r="23" spans="1:7" ht="15.75">
      <c r="B23" s="23" t="s">
        <v>44</v>
      </c>
      <c r="C23" s="170" t="s">
        <v>45</v>
      </c>
      <c r="D23" s="170"/>
      <c r="E23" s="170"/>
      <c r="F23" s="171"/>
      <c r="G23" s="22">
        <v>6.4999999999999997E-3</v>
      </c>
    </row>
    <row r="24" spans="1:7" ht="15.75">
      <c r="B24" s="23" t="s">
        <v>46</v>
      </c>
      <c r="C24" s="196" t="s">
        <v>47</v>
      </c>
      <c r="D24" s="196"/>
      <c r="E24" s="196"/>
      <c r="F24" s="197"/>
      <c r="G24" s="22">
        <v>0.03</v>
      </c>
    </row>
    <row r="25" spans="1:7" ht="15.75">
      <c r="B25" s="23" t="s">
        <v>48</v>
      </c>
      <c r="C25" s="183" t="s">
        <v>49</v>
      </c>
      <c r="D25" s="183"/>
      <c r="E25" s="183"/>
      <c r="F25" s="184"/>
      <c r="G25" s="22">
        <v>0.05</v>
      </c>
    </row>
    <row r="26" spans="1:7" ht="15.75">
      <c r="B26" s="178" t="s">
        <v>50</v>
      </c>
      <c r="C26" s="179"/>
      <c r="D26" s="179"/>
      <c r="E26" s="179"/>
      <c r="F26" s="180"/>
      <c r="G26" s="24">
        <f>SUM(G23:G25)</f>
        <v>8.6499999999999994E-2</v>
      </c>
    </row>
    <row r="27" spans="1:7" ht="15.75">
      <c r="B27" s="25"/>
      <c r="C27" s="26"/>
      <c r="D27" s="26"/>
      <c r="E27" s="26"/>
      <c r="F27" s="26"/>
      <c r="G27" s="29"/>
    </row>
    <row r="28" spans="1:7" ht="15.75">
      <c r="A28" s="30"/>
      <c r="B28" s="31" t="s">
        <v>51</v>
      </c>
      <c r="C28" s="32"/>
      <c r="D28" s="32"/>
      <c r="E28" s="32"/>
      <c r="F28" s="32"/>
      <c r="G28" s="33"/>
    </row>
    <row r="29" spans="1:7" ht="15.75">
      <c r="A29" s="30"/>
      <c r="B29" s="25" t="s">
        <v>52</v>
      </c>
      <c r="C29" s="34"/>
      <c r="D29" s="34"/>
      <c r="E29" s="34"/>
      <c r="F29" s="34"/>
      <c r="G29" s="35">
        <v>8.8999999999999999E-3</v>
      </c>
    </row>
    <row r="30" spans="1:7" ht="15.75">
      <c r="A30" s="30"/>
      <c r="B30" s="31" t="s">
        <v>53</v>
      </c>
      <c r="C30" s="32"/>
      <c r="D30" s="32"/>
      <c r="E30" s="32"/>
      <c r="F30" s="32"/>
      <c r="G30" s="24">
        <f>G29</f>
        <v>8.8999999999999999E-3</v>
      </c>
    </row>
    <row r="31" spans="1:7" ht="15.75">
      <c r="B31" s="25"/>
      <c r="C31" s="26"/>
      <c r="D31" s="26"/>
      <c r="E31" s="26"/>
      <c r="F31" s="26"/>
      <c r="G31" s="29"/>
    </row>
    <row r="32" spans="1:7" ht="16.5">
      <c r="B32" s="198" t="s">
        <v>54</v>
      </c>
      <c r="C32" s="199"/>
      <c r="D32" s="199"/>
      <c r="E32" s="199"/>
      <c r="F32" s="200"/>
      <c r="G32" s="36">
        <f>((1+G16)*(1+G30)/(1-(G26+G20)))-1</f>
        <v>0.26121388464701045</v>
      </c>
    </row>
    <row r="33" spans="1:7">
      <c r="B33" s="19"/>
      <c r="C33" s="19"/>
      <c r="D33" s="19"/>
      <c r="E33" s="19"/>
      <c r="F33" s="19"/>
      <c r="G33" s="19"/>
    </row>
    <row r="34" spans="1:7" ht="26.25" customHeight="1">
      <c r="B34" s="201" t="s">
        <v>55</v>
      </c>
      <c r="C34" s="202"/>
      <c r="D34" s="202"/>
      <c r="E34" s="202"/>
      <c r="F34" s="202"/>
      <c r="G34" s="203"/>
    </row>
    <row r="35" spans="1:7" ht="12.75">
      <c r="A35" s="37"/>
      <c r="B35" s="190" t="s">
        <v>56</v>
      </c>
      <c r="C35" s="191"/>
      <c r="D35" s="191"/>
      <c r="E35" s="191"/>
      <c r="F35" s="191"/>
      <c r="G35" s="192"/>
    </row>
    <row r="36" spans="1:7" ht="12.75">
      <c r="A36" s="37"/>
      <c r="B36" s="38" t="s">
        <v>57</v>
      </c>
      <c r="C36" s="39"/>
      <c r="D36" s="39"/>
      <c r="E36" s="39"/>
      <c r="F36" s="39"/>
      <c r="G36" s="40"/>
    </row>
    <row r="37" spans="1:7" ht="12.75">
      <c r="A37" s="37"/>
      <c r="B37" s="190" t="s">
        <v>58</v>
      </c>
      <c r="C37" s="191"/>
      <c r="D37" s="191"/>
      <c r="E37" s="191"/>
      <c r="F37" s="191"/>
      <c r="G37" s="192"/>
    </row>
    <row r="38" spans="1:7" ht="12.75">
      <c r="A38" s="37"/>
      <c r="B38" s="41" t="s">
        <v>59</v>
      </c>
      <c r="C38" s="42"/>
      <c r="D38" s="42"/>
      <c r="E38" s="42"/>
      <c r="F38" s="42"/>
      <c r="G38" s="43"/>
    </row>
    <row r="39" spans="1:7" ht="12.75">
      <c r="A39" s="37"/>
      <c r="B39" s="190" t="s">
        <v>60</v>
      </c>
      <c r="C39" s="191"/>
      <c r="D39" s="191"/>
      <c r="E39" s="191"/>
      <c r="F39" s="191"/>
      <c r="G39" s="192"/>
    </row>
    <row r="40" spans="1:7" ht="12.75">
      <c r="A40" s="37"/>
      <c r="B40" s="193" t="s">
        <v>61</v>
      </c>
      <c r="C40" s="194"/>
      <c r="D40" s="194"/>
      <c r="E40" s="194"/>
      <c r="F40" s="194"/>
      <c r="G40" s="195"/>
    </row>
    <row r="41" spans="1:7">
      <c r="B41" s="44"/>
      <c r="C41" s="44"/>
      <c r="D41" s="44"/>
      <c r="E41" s="44"/>
      <c r="F41" s="44"/>
      <c r="G41" s="44"/>
    </row>
  </sheetData>
  <mergeCells count="21">
    <mergeCell ref="B37:G37"/>
    <mergeCell ref="B39:G39"/>
    <mergeCell ref="B40:G40"/>
    <mergeCell ref="C24:F24"/>
    <mergeCell ref="C25:F25"/>
    <mergeCell ref="B26:F26"/>
    <mergeCell ref="B32:F32"/>
    <mergeCell ref="B34:G34"/>
    <mergeCell ref="B35:G35"/>
    <mergeCell ref="C23:F23"/>
    <mergeCell ref="B8:G8"/>
    <mergeCell ref="C10:F10"/>
    <mergeCell ref="B12:G12"/>
    <mergeCell ref="C13:F13"/>
    <mergeCell ref="C14:F14"/>
    <mergeCell ref="C15:F15"/>
    <mergeCell ref="B16:F16"/>
    <mergeCell ref="B18:G18"/>
    <mergeCell ref="C19:F19"/>
    <mergeCell ref="B20:F20"/>
    <mergeCell ref="B22:G2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workbookViewId="0">
      <selection sqref="A1:K1048576"/>
    </sheetView>
  </sheetViews>
  <sheetFormatPr defaultRowHeight="12.75"/>
  <cols>
    <col min="4" max="4" width="42.42578125" customWidth="1"/>
    <col min="5" max="5" width="10.7109375" customWidth="1"/>
    <col min="6" max="6" width="13.42578125" customWidth="1"/>
    <col min="7" max="7" width="16.7109375" customWidth="1"/>
    <col min="8" max="8" width="17.42578125" customWidth="1"/>
    <col min="9" max="9" width="22.7109375" customWidth="1"/>
  </cols>
  <sheetData>
    <row r="1" spans="1:9" ht="14.25">
      <c r="A1" s="45"/>
      <c r="B1" s="46"/>
      <c r="C1" s="46"/>
      <c r="D1" s="46"/>
      <c r="E1" s="46"/>
      <c r="F1" s="46"/>
      <c r="G1" s="46"/>
      <c r="H1" s="46"/>
      <c r="I1" s="46"/>
    </row>
    <row r="2" spans="1:9" ht="15">
      <c r="A2" s="207" t="s">
        <v>224</v>
      </c>
      <c r="B2" s="207"/>
      <c r="C2" s="207"/>
      <c r="D2" s="207"/>
      <c r="E2" s="207"/>
      <c r="F2" s="207"/>
      <c r="G2" s="207"/>
      <c r="H2" s="207"/>
      <c r="I2" s="207"/>
    </row>
    <row r="3" spans="1:9" ht="15" thickBot="1">
      <c r="A3" s="45"/>
      <c r="B3" s="46"/>
      <c r="C3" s="46"/>
      <c r="D3" s="46"/>
      <c r="E3" s="46"/>
      <c r="F3" s="46"/>
      <c r="G3" s="46"/>
      <c r="H3" s="46"/>
      <c r="I3" s="46"/>
    </row>
    <row r="4" spans="1:9" ht="14.25">
      <c r="A4" s="208" t="s">
        <v>235</v>
      </c>
      <c r="B4" s="209"/>
      <c r="C4" s="209"/>
      <c r="D4" s="209"/>
      <c r="E4" s="209"/>
      <c r="F4" s="209"/>
      <c r="G4" s="209"/>
      <c r="H4" s="209"/>
      <c r="I4" s="210"/>
    </row>
    <row r="5" spans="1:9" ht="14.25">
      <c r="A5" s="47" t="s">
        <v>223</v>
      </c>
      <c r="B5" s="48"/>
      <c r="C5" s="48"/>
      <c r="D5" s="48"/>
      <c r="E5" s="48"/>
      <c r="F5" s="48"/>
      <c r="G5" s="48"/>
      <c r="H5" s="48"/>
      <c r="I5" s="49"/>
    </row>
    <row r="6" spans="1:9" ht="14.25">
      <c r="A6" s="47" t="s">
        <v>63</v>
      </c>
      <c r="B6" s="48"/>
      <c r="C6" s="48"/>
      <c r="D6" s="48"/>
      <c r="E6" s="48"/>
      <c r="F6" s="48"/>
      <c r="G6" s="48"/>
      <c r="H6" s="48"/>
      <c r="I6" s="49"/>
    </row>
    <row r="7" spans="1:9" ht="14.25">
      <c r="A7" s="47" t="s">
        <v>64</v>
      </c>
      <c r="B7" s="48"/>
      <c r="C7" s="48"/>
      <c r="D7" s="48"/>
      <c r="E7" s="50">
        <v>195.08</v>
      </c>
      <c r="F7" s="48"/>
      <c r="G7" s="48"/>
      <c r="H7" s="48"/>
      <c r="I7" s="49"/>
    </row>
    <row r="8" spans="1:9" ht="14.25">
      <c r="A8" s="51" t="s">
        <v>65</v>
      </c>
      <c r="B8" s="46"/>
      <c r="C8" s="46"/>
      <c r="D8" s="46"/>
      <c r="E8" s="52">
        <f>E7*20</f>
        <v>3901.6000000000004</v>
      </c>
      <c r="F8" s="46"/>
      <c r="G8" s="46"/>
      <c r="H8" s="46"/>
      <c r="I8" s="53"/>
    </row>
    <row r="9" spans="1:9" ht="14.25">
      <c r="A9" s="47" t="s">
        <v>66</v>
      </c>
      <c r="B9" s="48"/>
      <c r="C9" s="48"/>
      <c r="D9" s="48"/>
      <c r="E9" s="50">
        <v>0</v>
      </c>
      <c r="F9" s="46"/>
      <c r="G9" s="46"/>
      <c r="H9" s="46"/>
      <c r="I9" s="53"/>
    </row>
    <row r="10" spans="1:9" ht="14.25">
      <c r="A10" s="51" t="s">
        <v>67</v>
      </c>
      <c r="B10" s="46"/>
      <c r="C10" s="46"/>
      <c r="D10" s="46"/>
      <c r="E10" s="52">
        <f>E9*20</f>
        <v>0</v>
      </c>
      <c r="F10" s="46"/>
      <c r="G10" s="46"/>
      <c r="H10" s="46"/>
      <c r="I10" s="53"/>
    </row>
    <row r="11" spans="1:9" ht="14.25">
      <c r="A11" s="51" t="s">
        <v>68</v>
      </c>
      <c r="B11" s="46"/>
      <c r="C11" s="46"/>
      <c r="D11" s="46"/>
      <c r="E11" s="52">
        <f>E8+E10</f>
        <v>3901.6000000000004</v>
      </c>
      <c r="F11" s="46"/>
      <c r="G11" s="46"/>
      <c r="H11" s="46"/>
      <c r="I11" s="53"/>
    </row>
    <row r="12" spans="1:9" ht="15" thickBot="1">
      <c r="A12" s="54" t="s">
        <v>69</v>
      </c>
      <c r="B12" s="55"/>
      <c r="C12" s="55"/>
      <c r="D12" s="55"/>
      <c r="E12" s="56" t="s">
        <v>10</v>
      </c>
      <c r="F12" s="55"/>
      <c r="G12" s="55"/>
      <c r="H12" s="55"/>
      <c r="I12" s="57"/>
    </row>
    <row r="13" spans="1:9" ht="14.25">
      <c r="A13" s="45"/>
      <c r="B13" s="46"/>
      <c r="C13" s="46"/>
      <c r="D13" s="46"/>
      <c r="E13" s="46"/>
      <c r="F13" s="46"/>
      <c r="G13" s="46"/>
      <c r="H13" s="46"/>
      <c r="I13" s="46"/>
    </row>
    <row r="14" spans="1:9" ht="15">
      <c r="A14" s="211" t="s">
        <v>70</v>
      </c>
      <c r="B14" s="211"/>
      <c r="C14" s="211"/>
      <c r="D14" s="211"/>
      <c r="E14" s="211"/>
      <c r="F14" s="211"/>
      <c r="G14" s="211"/>
      <c r="H14" s="211"/>
      <c r="I14" s="211"/>
    </row>
    <row r="15" spans="1:9" ht="14.25">
      <c r="A15" s="58" t="s">
        <v>32</v>
      </c>
      <c r="B15" s="204" t="s">
        <v>71</v>
      </c>
      <c r="C15" s="205"/>
      <c r="D15" s="206"/>
      <c r="E15" s="58" t="s">
        <v>72</v>
      </c>
      <c r="F15" s="58" t="s">
        <v>73</v>
      </c>
      <c r="G15" s="58" t="s">
        <v>74</v>
      </c>
      <c r="H15" s="58" t="s">
        <v>75</v>
      </c>
      <c r="I15" s="59" t="s">
        <v>76</v>
      </c>
    </row>
    <row r="16" spans="1:9" ht="14.25">
      <c r="A16" s="60" t="s">
        <v>77</v>
      </c>
      <c r="B16" s="212" t="s">
        <v>78</v>
      </c>
      <c r="C16" s="213"/>
      <c r="D16" s="214"/>
      <c r="E16" s="60" t="s">
        <v>79</v>
      </c>
      <c r="F16" s="60">
        <v>1</v>
      </c>
      <c r="G16" s="60">
        <v>2728.98</v>
      </c>
      <c r="H16" s="61">
        <f>G16</f>
        <v>2728.98</v>
      </c>
      <c r="I16" s="60">
        <f>G16</f>
        <v>2728.98</v>
      </c>
    </row>
    <row r="17" spans="1:9" ht="14.25">
      <c r="A17" s="60" t="s">
        <v>80</v>
      </c>
      <c r="B17" s="62" t="s">
        <v>81</v>
      </c>
      <c r="C17" s="63"/>
      <c r="D17" s="64"/>
      <c r="E17" s="60" t="s">
        <v>79</v>
      </c>
      <c r="F17" s="60">
        <v>1</v>
      </c>
      <c r="G17" s="60">
        <f>G16*70.11%</f>
        <v>1913.2878779999999</v>
      </c>
      <c r="H17" s="61">
        <f>G17</f>
        <v>1913.2878779999999</v>
      </c>
      <c r="I17" s="60">
        <f>H17</f>
        <v>1913.2878779999999</v>
      </c>
    </row>
    <row r="18" spans="1:9" ht="14.25">
      <c r="A18" s="60" t="s">
        <v>82</v>
      </c>
      <c r="B18" s="62" t="s">
        <v>83</v>
      </c>
      <c r="C18" s="63"/>
      <c r="D18" s="64"/>
      <c r="E18" s="60" t="s">
        <v>79</v>
      </c>
      <c r="F18" s="60">
        <v>1</v>
      </c>
      <c r="G18" s="60">
        <v>405.6</v>
      </c>
      <c r="H18" s="61">
        <f>G18</f>
        <v>405.6</v>
      </c>
      <c r="I18" s="60">
        <f>H18</f>
        <v>405.6</v>
      </c>
    </row>
    <row r="19" spans="1:9" ht="14.25">
      <c r="A19" s="60" t="s">
        <v>84</v>
      </c>
      <c r="B19" s="62" t="s">
        <v>85</v>
      </c>
      <c r="C19" s="63"/>
      <c r="D19" s="64"/>
      <c r="E19" s="60" t="s">
        <v>79</v>
      </c>
      <c r="F19" s="60">
        <v>1</v>
      </c>
      <c r="G19" s="60">
        <v>23.86</v>
      </c>
      <c r="H19" s="61">
        <f>G19</f>
        <v>23.86</v>
      </c>
      <c r="I19" s="60">
        <f>H19</f>
        <v>23.86</v>
      </c>
    </row>
    <row r="20" spans="1:9" ht="14.25">
      <c r="A20" s="58" t="s">
        <v>34</v>
      </c>
      <c r="B20" s="204" t="s">
        <v>86</v>
      </c>
      <c r="C20" s="205"/>
      <c r="D20" s="206"/>
      <c r="E20" s="58" t="s">
        <v>72</v>
      </c>
      <c r="F20" s="58" t="s">
        <v>73</v>
      </c>
      <c r="G20" s="58" t="s">
        <v>74</v>
      </c>
      <c r="H20" s="58" t="s">
        <v>75</v>
      </c>
      <c r="I20" s="65" t="s">
        <v>76</v>
      </c>
    </row>
    <row r="21" spans="1:9" ht="15">
      <c r="A21" s="58" t="s">
        <v>87</v>
      </c>
      <c r="B21" s="204" t="s">
        <v>88</v>
      </c>
      <c r="C21" s="205"/>
      <c r="D21" s="206"/>
      <c r="E21" s="58" t="s">
        <v>89</v>
      </c>
      <c r="F21" s="58">
        <v>1</v>
      </c>
      <c r="G21" s="66">
        <v>169900</v>
      </c>
      <c r="H21" s="67">
        <f>G21</f>
        <v>169900</v>
      </c>
      <c r="I21" s="68"/>
    </row>
    <row r="22" spans="1:9" ht="15">
      <c r="A22" s="58" t="s">
        <v>90</v>
      </c>
      <c r="B22" s="204" t="s">
        <v>91</v>
      </c>
      <c r="C22" s="205"/>
      <c r="D22" s="206"/>
      <c r="E22" s="58" t="s">
        <v>92</v>
      </c>
      <c r="F22" s="58">
        <v>0.25</v>
      </c>
      <c r="G22" s="66">
        <f>F22*H21</f>
        <v>42475</v>
      </c>
      <c r="H22" s="67">
        <f>G22</f>
        <v>42475</v>
      </c>
      <c r="I22" s="69"/>
    </row>
    <row r="23" spans="1:9" ht="15">
      <c r="A23" s="58" t="s">
        <v>93</v>
      </c>
      <c r="B23" s="204" t="s">
        <v>94</v>
      </c>
      <c r="C23" s="205"/>
      <c r="D23" s="206"/>
      <c r="E23" s="58" t="s">
        <v>92</v>
      </c>
      <c r="F23" s="65">
        <v>1</v>
      </c>
      <c r="G23" s="70">
        <f>G21-G22</f>
        <v>127425</v>
      </c>
      <c r="H23" s="67">
        <f>G23</f>
        <v>127425</v>
      </c>
      <c r="I23" s="69"/>
    </row>
    <row r="24" spans="1:9" ht="15">
      <c r="A24" s="71" t="s">
        <v>95</v>
      </c>
      <c r="B24" s="204" t="s">
        <v>96</v>
      </c>
      <c r="C24" s="205"/>
      <c r="D24" s="206"/>
      <c r="E24" s="58" t="s">
        <v>97</v>
      </c>
      <c r="F24" s="58">
        <v>15</v>
      </c>
      <c r="G24" s="72">
        <f>G23*15%</f>
        <v>19113.75</v>
      </c>
      <c r="H24" s="67"/>
      <c r="I24" s="69"/>
    </row>
    <row r="25" spans="1:9" ht="14.25">
      <c r="A25" s="58" t="s">
        <v>98</v>
      </c>
      <c r="B25" s="204" t="s">
        <v>99</v>
      </c>
      <c r="C25" s="205"/>
      <c r="D25" s="206"/>
      <c r="E25" s="58" t="s">
        <v>79</v>
      </c>
      <c r="F25" s="58">
        <v>1</v>
      </c>
      <c r="G25" s="73">
        <f>G24/12</f>
        <v>1592.8125</v>
      </c>
      <c r="H25" s="67">
        <f>G25</f>
        <v>1592.8125</v>
      </c>
      <c r="I25" s="60">
        <f>H25</f>
        <v>1592.8125</v>
      </c>
    </row>
    <row r="26" spans="1:9" ht="14.25">
      <c r="A26" s="58" t="s">
        <v>36</v>
      </c>
      <c r="B26" s="204" t="s">
        <v>100</v>
      </c>
      <c r="C26" s="205"/>
      <c r="D26" s="206"/>
      <c r="E26" s="58" t="s">
        <v>72</v>
      </c>
      <c r="F26" s="58" t="s">
        <v>73</v>
      </c>
      <c r="G26" s="58" t="s">
        <v>74</v>
      </c>
      <c r="H26" s="58" t="s">
        <v>75</v>
      </c>
      <c r="I26" s="65" t="s">
        <v>76</v>
      </c>
    </row>
    <row r="27" spans="1:9" ht="14.25">
      <c r="A27" s="58" t="s">
        <v>101</v>
      </c>
      <c r="B27" s="74" t="s">
        <v>102</v>
      </c>
      <c r="C27" s="75"/>
      <c r="D27" s="76"/>
      <c r="E27" s="58" t="s">
        <v>97</v>
      </c>
      <c r="F27" s="77">
        <v>0.1045</v>
      </c>
      <c r="G27" s="58"/>
      <c r="H27" s="78"/>
      <c r="I27" s="79"/>
    </row>
    <row r="28" spans="1:9" ht="14.25">
      <c r="A28" s="58" t="s">
        <v>103</v>
      </c>
      <c r="B28" s="74" t="s">
        <v>104</v>
      </c>
      <c r="C28" s="75"/>
      <c r="D28" s="76"/>
      <c r="E28" s="58" t="s">
        <v>105</v>
      </c>
      <c r="F28" s="80">
        <v>5</v>
      </c>
      <c r="G28" s="58"/>
      <c r="H28" s="78"/>
      <c r="I28" s="81"/>
    </row>
    <row r="29" spans="1:9" ht="14.25">
      <c r="A29" s="58" t="s">
        <v>106</v>
      </c>
      <c r="B29" s="204" t="s">
        <v>107</v>
      </c>
      <c r="C29" s="205"/>
      <c r="D29" s="206"/>
      <c r="E29" s="58" t="s">
        <v>97</v>
      </c>
      <c r="F29" s="58">
        <f>F27/12</f>
        <v>8.7083333333333336E-3</v>
      </c>
      <c r="G29" s="82"/>
      <c r="H29" s="83"/>
      <c r="I29" s="84"/>
    </row>
    <row r="30" spans="1:9" ht="14.25">
      <c r="A30" s="58" t="s">
        <v>108</v>
      </c>
      <c r="B30" s="204" t="s">
        <v>109</v>
      </c>
      <c r="C30" s="205"/>
      <c r="D30" s="206"/>
      <c r="E30" s="58" t="s">
        <v>79</v>
      </c>
      <c r="F30" s="58">
        <v>1</v>
      </c>
      <c r="G30" s="85">
        <f>(F29*H21)</f>
        <v>1479.5458333333333</v>
      </c>
      <c r="H30" s="65">
        <f>G30</f>
        <v>1479.5458333333333</v>
      </c>
      <c r="I30" s="65">
        <f>H30</f>
        <v>1479.5458333333333</v>
      </c>
    </row>
    <row r="31" spans="1:9" ht="14.25">
      <c r="A31" s="58" t="s">
        <v>110</v>
      </c>
      <c r="B31" s="204" t="s">
        <v>111</v>
      </c>
      <c r="C31" s="205"/>
      <c r="D31" s="206"/>
      <c r="E31" s="58" t="s">
        <v>72</v>
      </c>
      <c r="F31" s="58" t="s">
        <v>73</v>
      </c>
      <c r="G31" s="58" t="s">
        <v>74</v>
      </c>
      <c r="H31" s="58" t="s">
        <v>75</v>
      </c>
      <c r="I31" s="65" t="s">
        <v>76</v>
      </c>
    </row>
    <row r="32" spans="1:9" ht="14.25">
      <c r="A32" s="58" t="s">
        <v>112</v>
      </c>
      <c r="B32" s="204" t="s">
        <v>113</v>
      </c>
      <c r="C32" s="205"/>
      <c r="D32" s="206"/>
      <c r="E32" s="58" t="s">
        <v>72</v>
      </c>
      <c r="F32" s="58">
        <v>1</v>
      </c>
      <c r="G32" s="86">
        <f>H21*1%</f>
        <v>1699</v>
      </c>
      <c r="H32" s="86">
        <f>G32/12</f>
        <v>141.58333333333334</v>
      </c>
      <c r="I32" s="79"/>
    </row>
    <row r="33" spans="1:9" ht="14.25">
      <c r="A33" s="58" t="s">
        <v>114</v>
      </c>
      <c r="B33" s="74" t="s">
        <v>115</v>
      </c>
      <c r="C33" s="75"/>
      <c r="D33" s="76"/>
      <c r="E33" s="58" t="s">
        <v>72</v>
      </c>
      <c r="F33" s="58">
        <v>1</v>
      </c>
      <c r="G33" s="86">
        <v>233.05</v>
      </c>
      <c r="H33" s="86">
        <f t="shared" ref="H33:H38" si="0">G33/12</f>
        <v>19.420833333333334</v>
      </c>
      <c r="I33" s="81"/>
    </row>
    <row r="34" spans="1:9" ht="14.25">
      <c r="A34" s="58" t="s">
        <v>114</v>
      </c>
      <c r="B34" s="204" t="s">
        <v>116</v>
      </c>
      <c r="C34" s="205"/>
      <c r="D34" s="206"/>
      <c r="E34" s="58" t="s">
        <v>72</v>
      </c>
      <c r="F34" s="58">
        <v>1</v>
      </c>
      <c r="G34" s="86">
        <v>193.72</v>
      </c>
      <c r="H34" s="86">
        <f t="shared" si="0"/>
        <v>16.143333333333334</v>
      </c>
      <c r="I34" s="84"/>
    </row>
    <row r="35" spans="1:9" ht="14.25">
      <c r="A35" s="58" t="s">
        <v>117</v>
      </c>
      <c r="B35" s="74" t="s">
        <v>118</v>
      </c>
      <c r="C35" s="75"/>
      <c r="D35" s="76"/>
      <c r="E35" s="58" t="s">
        <v>72</v>
      </c>
      <c r="F35" s="58">
        <v>2</v>
      </c>
      <c r="G35" s="86">
        <v>181.52</v>
      </c>
      <c r="H35" s="86">
        <f t="shared" si="0"/>
        <v>15.126666666666667</v>
      </c>
      <c r="I35" s="84"/>
    </row>
    <row r="36" spans="1:9" ht="14.25">
      <c r="A36" s="58" t="s">
        <v>117</v>
      </c>
      <c r="B36" s="74" t="s">
        <v>119</v>
      </c>
      <c r="C36" s="75"/>
      <c r="D36" s="76"/>
      <c r="E36" s="58" t="s">
        <v>120</v>
      </c>
      <c r="F36" s="58">
        <v>1</v>
      </c>
      <c r="G36" s="86">
        <f>G21*5%</f>
        <v>8495</v>
      </c>
      <c r="H36" s="86">
        <f t="shared" si="0"/>
        <v>707.91666666666663</v>
      </c>
      <c r="I36" s="84"/>
    </row>
    <row r="37" spans="1:9" ht="14.25">
      <c r="A37" s="58" t="s">
        <v>121</v>
      </c>
      <c r="B37" s="204" t="s">
        <v>122</v>
      </c>
      <c r="C37" s="205"/>
      <c r="D37" s="206"/>
      <c r="E37" s="58" t="s">
        <v>120</v>
      </c>
      <c r="F37" s="58">
        <v>1</v>
      </c>
      <c r="G37" s="59">
        <f>SUM(G32:G36)</f>
        <v>10802.29</v>
      </c>
      <c r="H37" s="86">
        <f>SUM(H32:H36)</f>
        <v>900.19083333333333</v>
      </c>
      <c r="I37" s="65">
        <f>H37</f>
        <v>900.19083333333333</v>
      </c>
    </row>
    <row r="38" spans="1:9" ht="14.25">
      <c r="A38" s="78" t="s">
        <v>123</v>
      </c>
      <c r="B38" s="74" t="s">
        <v>124</v>
      </c>
      <c r="C38" s="75"/>
      <c r="D38" s="75"/>
      <c r="E38" s="58" t="s">
        <v>120</v>
      </c>
      <c r="F38" s="58">
        <v>1</v>
      </c>
      <c r="G38" s="59">
        <v>840</v>
      </c>
      <c r="H38" s="86">
        <f t="shared" si="0"/>
        <v>70</v>
      </c>
      <c r="I38" s="65">
        <f>H38</f>
        <v>70</v>
      </c>
    </row>
    <row r="39" spans="1:9" ht="15">
      <c r="A39" s="87" t="s">
        <v>125</v>
      </c>
      <c r="B39" s="215" t="s">
        <v>126</v>
      </c>
      <c r="C39" s="216"/>
      <c r="D39" s="216"/>
      <c r="E39" s="216"/>
      <c r="F39" s="216"/>
      <c r="G39" s="216"/>
      <c r="H39" s="217"/>
      <c r="I39" s="88">
        <f>I16+I17+I18+I19+I25+I30+I37+I38</f>
        <v>9114.2770446666673</v>
      </c>
    </row>
    <row r="40" spans="1:9" ht="15">
      <c r="A40" s="89"/>
      <c r="B40" s="90"/>
      <c r="C40" s="90"/>
      <c r="D40" s="90"/>
      <c r="E40" s="90"/>
      <c r="F40" s="90"/>
      <c r="G40" s="90"/>
      <c r="H40" s="90"/>
      <c r="I40" s="91"/>
    </row>
    <row r="41" spans="1:9" ht="15">
      <c r="A41" s="218" t="s">
        <v>127</v>
      </c>
      <c r="B41" s="219"/>
      <c r="C41" s="219"/>
      <c r="D41" s="219"/>
      <c r="E41" s="92"/>
      <c r="F41" s="92"/>
      <c r="G41" s="92"/>
      <c r="H41" s="92"/>
      <c r="I41" s="93"/>
    </row>
    <row r="42" spans="1:9" ht="15">
      <c r="A42" s="94" t="s">
        <v>40</v>
      </c>
      <c r="B42" s="220" t="s">
        <v>128</v>
      </c>
      <c r="C42" s="220"/>
      <c r="D42" s="220"/>
      <c r="E42" s="94" t="s">
        <v>72</v>
      </c>
      <c r="F42" s="94" t="s">
        <v>73</v>
      </c>
      <c r="G42" s="94" t="s">
        <v>74</v>
      </c>
      <c r="H42" s="94" t="s">
        <v>75</v>
      </c>
      <c r="I42" s="95" t="s">
        <v>76</v>
      </c>
    </row>
    <row r="43" spans="1:9" ht="15">
      <c r="A43" s="94" t="s">
        <v>129</v>
      </c>
      <c r="B43" s="215" t="s">
        <v>28</v>
      </c>
      <c r="C43" s="216"/>
      <c r="D43" s="217"/>
      <c r="E43" s="94" t="s">
        <v>97</v>
      </c>
      <c r="F43" s="96">
        <v>0.26119999999999999</v>
      </c>
      <c r="G43" s="97">
        <f>I39</f>
        <v>9114.2770446666673</v>
      </c>
      <c r="H43" s="98">
        <f>G43*F43</f>
        <v>2380.6491640669333</v>
      </c>
      <c r="I43" s="99">
        <f>H43</f>
        <v>2380.6491640669333</v>
      </c>
    </row>
    <row r="44" spans="1:9" ht="15">
      <c r="A44" s="89"/>
      <c r="B44" s="90"/>
      <c r="C44" s="90"/>
      <c r="D44" s="90"/>
      <c r="E44" s="89"/>
      <c r="F44" s="100"/>
      <c r="G44" s="101"/>
      <c r="H44" s="102"/>
      <c r="I44" s="103"/>
    </row>
    <row r="45" spans="1:9" ht="15">
      <c r="A45" s="221" t="s">
        <v>130</v>
      </c>
      <c r="B45" s="222"/>
      <c r="C45" s="222"/>
      <c r="D45" s="222"/>
      <c r="E45" s="222"/>
      <c r="F45" s="222"/>
      <c r="G45" s="222"/>
      <c r="H45" s="222"/>
      <c r="I45" s="223"/>
    </row>
    <row r="46" spans="1:9" ht="15.75">
      <c r="A46" s="94" t="s">
        <v>44</v>
      </c>
      <c r="B46" s="215" t="s">
        <v>131</v>
      </c>
      <c r="C46" s="216"/>
      <c r="D46" s="216"/>
      <c r="E46" s="216"/>
      <c r="F46" s="216"/>
      <c r="G46" s="216"/>
      <c r="H46" s="217"/>
      <c r="I46" s="104">
        <f>I39+I43</f>
        <v>11494.926208733601</v>
      </c>
    </row>
    <row r="47" spans="1:9" ht="14.25">
      <c r="A47" s="71"/>
      <c r="B47" s="105"/>
      <c r="C47" s="105"/>
      <c r="D47" s="105"/>
      <c r="E47" s="71"/>
      <c r="F47" s="71"/>
      <c r="G47" s="106"/>
      <c r="H47" s="107"/>
      <c r="I47" s="108"/>
    </row>
    <row r="48" spans="1:9" ht="15">
      <c r="A48" s="211" t="s">
        <v>132</v>
      </c>
      <c r="B48" s="211"/>
      <c r="C48" s="211"/>
      <c r="D48" s="211"/>
      <c r="E48" s="211"/>
      <c r="F48" s="211"/>
      <c r="G48" s="211"/>
      <c r="H48" s="211"/>
      <c r="I48" s="211"/>
    </row>
    <row r="49" spans="1:9" ht="14.25">
      <c r="A49" s="58" t="s">
        <v>133</v>
      </c>
      <c r="B49" s="204" t="s">
        <v>134</v>
      </c>
      <c r="C49" s="205"/>
      <c r="D49" s="206"/>
      <c r="E49" s="58" t="s">
        <v>72</v>
      </c>
      <c r="F49" s="58" t="s">
        <v>73</v>
      </c>
      <c r="G49" s="58" t="s">
        <v>74</v>
      </c>
      <c r="H49" s="58" t="s">
        <v>75</v>
      </c>
      <c r="I49" s="109" t="s">
        <v>76</v>
      </c>
    </row>
    <row r="50" spans="1:9" ht="14.25">
      <c r="A50" s="58" t="s">
        <v>135</v>
      </c>
      <c r="B50" s="204" t="s">
        <v>136</v>
      </c>
      <c r="C50" s="205"/>
      <c r="D50" s="206"/>
      <c r="E50" s="58" t="s">
        <v>137</v>
      </c>
      <c r="F50" s="58">
        <v>3</v>
      </c>
      <c r="G50" s="110">
        <v>5.81</v>
      </c>
      <c r="H50" s="65">
        <f>G50/F50</f>
        <v>1.9366666666666665</v>
      </c>
      <c r="I50" s="111"/>
    </row>
    <row r="51" spans="1:9" ht="14.25">
      <c r="A51" s="58" t="s">
        <v>138</v>
      </c>
      <c r="B51" s="204" t="s">
        <v>139</v>
      </c>
      <c r="C51" s="205"/>
      <c r="D51" s="206"/>
      <c r="E51" s="58" t="s">
        <v>140</v>
      </c>
      <c r="F51" s="112">
        <f>E8</f>
        <v>3901.6000000000004</v>
      </c>
      <c r="G51" s="65">
        <f>H50</f>
        <v>1.9366666666666665</v>
      </c>
      <c r="H51" s="60">
        <f>F51*G51</f>
        <v>7556.0986666666668</v>
      </c>
      <c r="I51" s="60">
        <f>H51</f>
        <v>7556.0986666666668</v>
      </c>
    </row>
    <row r="52" spans="1:9" ht="14.25">
      <c r="A52" s="58" t="s">
        <v>141</v>
      </c>
      <c r="B52" s="224" t="s">
        <v>142</v>
      </c>
      <c r="C52" s="224"/>
      <c r="D52" s="224"/>
      <c r="E52" s="58" t="s">
        <v>72</v>
      </c>
      <c r="F52" s="58" t="s">
        <v>73</v>
      </c>
      <c r="G52" s="58" t="s">
        <v>74</v>
      </c>
      <c r="H52" s="58" t="s">
        <v>75</v>
      </c>
      <c r="I52" s="109" t="s">
        <v>76</v>
      </c>
    </row>
    <row r="53" spans="1:9" ht="14.25">
      <c r="A53" s="58" t="s">
        <v>143</v>
      </c>
      <c r="B53" s="224" t="s">
        <v>144</v>
      </c>
      <c r="C53" s="224"/>
      <c r="D53" s="224"/>
      <c r="E53" s="58" t="s">
        <v>145</v>
      </c>
      <c r="F53" s="113">
        <v>1</v>
      </c>
      <c r="G53" s="65">
        <v>88.27</v>
      </c>
      <c r="H53" s="60"/>
      <c r="I53" s="65"/>
    </row>
    <row r="54" spans="1:9" ht="14.25">
      <c r="A54" s="58" t="s">
        <v>146</v>
      </c>
      <c r="B54" s="224" t="s">
        <v>147</v>
      </c>
      <c r="C54" s="224"/>
      <c r="D54" s="224"/>
      <c r="E54" s="58" t="s">
        <v>13</v>
      </c>
      <c r="F54" s="113">
        <v>10000</v>
      </c>
      <c r="G54" s="65"/>
      <c r="H54" s="60"/>
      <c r="I54" s="65"/>
    </row>
    <row r="55" spans="1:9" ht="14.25">
      <c r="A55" s="58" t="s">
        <v>148</v>
      </c>
      <c r="B55" s="224" t="s">
        <v>149</v>
      </c>
      <c r="C55" s="224"/>
      <c r="D55" s="224"/>
      <c r="E55" s="58" t="s">
        <v>145</v>
      </c>
      <c r="F55" s="114">
        <v>20.5</v>
      </c>
      <c r="G55" s="65"/>
      <c r="H55" s="60"/>
      <c r="I55" s="65"/>
    </row>
    <row r="56" spans="1:9" ht="14.25">
      <c r="A56" s="58" t="s">
        <v>150</v>
      </c>
      <c r="B56" s="224" t="s">
        <v>151</v>
      </c>
      <c r="C56" s="224"/>
      <c r="D56" s="224"/>
      <c r="E56" s="58" t="s">
        <v>152</v>
      </c>
      <c r="F56" s="113">
        <v>1</v>
      </c>
      <c r="G56" s="110">
        <f>F55*G53/F54</f>
        <v>0.18095349999999999</v>
      </c>
      <c r="H56" s="60"/>
      <c r="I56" s="65"/>
    </row>
    <row r="57" spans="1:9" ht="14.25">
      <c r="A57" s="58" t="s">
        <v>153</v>
      </c>
      <c r="B57" s="224" t="s">
        <v>154</v>
      </c>
      <c r="C57" s="224"/>
      <c r="D57" s="224"/>
      <c r="E57" s="58" t="s">
        <v>79</v>
      </c>
      <c r="F57" s="112">
        <f>F51</f>
        <v>3901.6000000000004</v>
      </c>
      <c r="G57" s="110">
        <f>G56</f>
        <v>0.18095349999999999</v>
      </c>
      <c r="H57" s="60">
        <f>F57*G57</f>
        <v>706.00817560000007</v>
      </c>
      <c r="I57" s="65">
        <f>H57</f>
        <v>706.00817560000007</v>
      </c>
    </row>
    <row r="58" spans="1:9" ht="14.25">
      <c r="A58" s="58" t="s">
        <v>155</v>
      </c>
      <c r="B58" s="204" t="s">
        <v>156</v>
      </c>
      <c r="C58" s="205"/>
      <c r="D58" s="206"/>
      <c r="E58" s="58" t="s">
        <v>72</v>
      </c>
      <c r="F58" s="58" t="s">
        <v>73</v>
      </c>
      <c r="G58" s="58" t="s">
        <v>74</v>
      </c>
      <c r="H58" s="58" t="s">
        <v>75</v>
      </c>
      <c r="I58" s="109" t="s">
        <v>76</v>
      </c>
    </row>
    <row r="59" spans="1:9" ht="14.25">
      <c r="A59" s="58" t="s">
        <v>157</v>
      </c>
      <c r="B59" s="204" t="s">
        <v>158</v>
      </c>
      <c r="C59" s="205"/>
      <c r="D59" s="206"/>
      <c r="E59" s="58" t="s">
        <v>159</v>
      </c>
      <c r="F59" s="60">
        <v>6</v>
      </c>
      <c r="G59" s="60">
        <v>3260.44</v>
      </c>
      <c r="H59" s="60">
        <f>F59*G59</f>
        <v>19562.64</v>
      </c>
      <c r="I59" s="115"/>
    </row>
    <row r="60" spans="1:9" ht="14.25">
      <c r="A60" s="58" t="s">
        <v>160</v>
      </c>
      <c r="B60" s="204" t="s">
        <v>161</v>
      </c>
      <c r="C60" s="205"/>
      <c r="D60" s="206"/>
      <c r="E60" s="58" t="s">
        <v>162</v>
      </c>
      <c r="F60" s="116">
        <v>60000</v>
      </c>
      <c r="G60" s="60">
        <f>H59</f>
        <v>19562.64</v>
      </c>
      <c r="H60" s="60">
        <f>G60/F60</f>
        <v>0.326044</v>
      </c>
      <c r="I60" s="115"/>
    </row>
    <row r="61" spans="1:9" ht="14.25">
      <c r="A61" s="58" t="s">
        <v>163</v>
      </c>
      <c r="B61" s="204" t="s">
        <v>164</v>
      </c>
      <c r="C61" s="205"/>
      <c r="D61" s="206"/>
      <c r="E61" s="58" t="s">
        <v>165</v>
      </c>
      <c r="F61" s="60">
        <f>F51</f>
        <v>3901.6000000000004</v>
      </c>
      <c r="G61" s="60">
        <f>H60</f>
        <v>0.326044</v>
      </c>
      <c r="H61" s="60">
        <f>F61*G61</f>
        <v>1272.0932704000002</v>
      </c>
      <c r="I61" s="60">
        <f>H61</f>
        <v>1272.0932704000002</v>
      </c>
    </row>
    <row r="62" spans="1:9" ht="14.25">
      <c r="A62" s="58" t="s">
        <v>166</v>
      </c>
      <c r="B62" s="204" t="s">
        <v>167</v>
      </c>
      <c r="C62" s="205"/>
      <c r="D62" s="206"/>
      <c r="E62" s="58" t="s">
        <v>72</v>
      </c>
      <c r="F62" s="58" t="s">
        <v>73</v>
      </c>
      <c r="G62" s="58" t="s">
        <v>74</v>
      </c>
      <c r="H62" s="58" t="s">
        <v>75</v>
      </c>
      <c r="I62" s="109" t="s">
        <v>76</v>
      </c>
    </row>
    <row r="63" spans="1:9" ht="14.25">
      <c r="A63" s="58" t="s">
        <v>168</v>
      </c>
      <c r="B63" s="204" t="s">
        <v>169</v>
      </c>
      <c r="C63" s="205"/>
      <c r="D63" s="206"/>
      <c r="E63" s="58" t="s">
        <v>13</v>
      </c>
      <c r="F63" s="117">
        <v>0.01</v>
      </c>
      <c r="G63" s="60">
        <f>(H21)*F63/2500</f>
        <v>0.67959999999999998</v>
      </c>
      <c r="H63" s="60">
        <f>G63</f>
        <v>0.67959999999999998</v>
      </c>
      <c r="I63" s="111"/>
    </row>
    <row r="64" spans="1:9" ht="14.25">
      <c r="A64" s="58" t="s">
        <v>170</v>
      </c>
      <c r="B64" s="204" t="s">
        <v>171</v>
      </c>
      <c r="C64" s="205"/>
      <c r="D64" s="206"/>
      <c r="E64" s="58" t="s">
        <v>120</v>
      </c>
      <c r="F64" s="60">
        <f>F51</f>
        <v>3901.6000000000004</v>
      </c>
      <c r="G64" s="60">
        <f>H63</f>
        <v>0.67959999999999998</v>
      </c>
      <c r="H64" s="60">
        <f>F64*G64</f>
        <v>2651.52736</v>
      </c>
      <c r="I64" s="65">
        <f>H64</f>
        <v>2651.52736</v>
      </c>
    </row>
    <row r="65" spans="1:9" ht="14.25">
      <c r="A65" s="118" t="s">
        <v>172</v>
      </c>
      <c r="B65" s="225" t="s">
        <v>173</v>
      </c>
      <c r="C65" s="226"/>
      <c r="D65" s="227"/>
      <c r="E65" s="58" t="s">
        <v>72</v>
      </c>
      <c r="F65" s="58" t="s">
        <v>73</v>
      </c>
      <c r="G65" s="58" t="s">
        <v>74</v>
      </c>
      <c r="H65" s="58" t="s">
        <v>75</v>
      </c>
      <c r="I65" s="109" t="s">
        <v>76</v>
      </c>
    </row>
    <row r="66" spans="1:9" ht="14.25">
      <c r="A66" s="118" t="s">
        <v>174</v>
      </c>
      <c r="B66" s="225" t="s">
        <v>175</v>
      </c>
      <c r="C66" s="226"/>
      <c r="D66" s="227"/>
      <c r="E66" s="118" t="s">
        <v>89</v>
      </c>
      <c r="F66" s="119">
        <v>1</v>
      </c>
      <c r="G66" s="120">
        <v>200</v>
      </c>
      <c r="H66" s="118">
        <f>G66/500</f>
        <v>0.4</v>
      </c>
      <c r="I66" s="118"/>
    </row>
    <row r="67" spans="1:9" ht="14.25">
      <c r="A67" s="118" t="s">
        <v>176</v>
      </c>
      <c r="B67" s="225" t="s">
        <v>177</v>
      </c>
      <c r="C67" s="226"/>
      <c r="D67" s="227"/>
      <c r="E67" s="119" t="s">
        <v>13</v>
      </c>
      <c r="F67" s="120">
        <f>F51</f>
        <v>3901.6000000000004</v>
      </c>
      <c r="G67" s="118">
        <f>H66</f>
        <v>0.4</v>
      </c>
      <c r="H67" s="121">
        <f>F67*G67</f>
        <v>1560.6400000000003</v>
      </c>
      <c r="I67" s="121">
        <f>H67</f>
        <v>1560.6400000000003</v>
      </c>
    </row>
    <row r="68" spans="1:9" ht="15">
      <c r="A68" s="87" t="s">
        <v>178</v>
      </c>
      <c r="B68" s="215" t="s">
        <v>179</v>
      </c>
      <c r="C68" s="216"/>
      <c r="D68" s="216"/>
      <c r="E68" s="216"/>
      <c r="F68" s="216"/>
      <c r="G68" s="216"/>
      <c r="H68" s="217"/>
      <c r="I68" s="88">
        <f>I51+I57+I61+I64+I67</f>
        <v>13746.367472666669</v>
      </c>
    </row>
    <row r="69" spans="1:9" ht="15">
      <c r="A69" s="94" t="s">
        <v>180</v>
      </c>
      <c r="B69" s="122" t="s">
        <v>181</v>
      </c>
      <c r="C69" s="122"/>
      <c r="D69" s="122"/>
      <c r="E69" s="58" t="s">
        <v>72</v>
      </c>
      <c r="F69" s="58" t="s">
        <v>73</v>
      </c>
      <c r="G69" s="58" t="s">
        <v>74</v>
      </c>
      <c r="H69" s="58" t="s">
        <v>75</v>
      </c>
      <c r="I69" s="65" t="s">
        <v>76</v>
      </c>
    </row>
    <row r="70" spans="1:9" ht="15">
      <c r="A70" s="58" t="s">
        <v>182</v>
      </c>
      <c r="B70" s="224" t="s">
        <v>183</v>
      </c>
      <c r="C70" s="224"/>
      <c r="D70" s="224"/>
      <c r="E70" s="58" t="s">
        <v>152</v>
      </c>
      <c r="F70" s="52">
        <f>E11</f>
        <v>3901.6000000000004</v>
      </c>
      <c r="G70" s="60">
        <f>I68</f>
        <v>13746.367472666669</v>
      </c>
      <c r="H70" s="65">
        <f>G70/F70</f>
        <v>3.5232641666666669</v>
      </c>
      <c r="I70" s="95">
        <f>H70</f>
        <v>3.5232641666666669</v>
      </c>
    </row>
    <row r="71" spans="1:9" ht="15">
      <c r="A71" s="211" t="s">
        <v>184</v>
      </c>
      <c r="B71" s="211"/>
      <c r="C71" s="211"/>
      <c r="D71" s="211"/>
      <c r="E71" s="211"/>
      <c r="F71" s="211"/>
      <c r="G71" s="211"/>
      <c r="H71" s="211"/>
      <c r="I71" s="211"/>
    </row>
    <row r="72" spans="1:9" ht="14.25">
      <c r="A72" s="58" t="s">
        <v>185</v>
      </c>
      <c r="B72" s="204" t="s">
        <v>134</v>
      </c>
      <c r="C72" s="205"/>
      <c r="D72" s="206"/>
      <c r="E72" s="58" t="s">
        <v>72</v>
      </c>
      <c r="F72" s="58" t="s">
        <v>73</v>
      </c>
      <c r="G72" s="58" t="s">
        <v>74</v>
      </c>
      <c r="H72" s="58" t="s">
        <v>75</v>
      </c>
      <c r="I72" s="109" t="s">
        <v>76</v>
      </c>
    </row>
    <row r="73" spans="1:9" ht="14.25">
      <c r="A73" s="58" t="s">
        <v>186</v>
      </c>
      <c r="B73" s="204" t="s">
        <v>136</v>
      </c>
      <c r="C73" s="205"/>
      <c r="D73" s="206"/>
      <c r="E73" s="58" t="s">
        <v>137</v>
      </c>
      <c r="F73" s="58">
        <v>2.5</v>
      </c>
      <c r="G73" s="110">
        <v>5.81</v>
      </c>
      <c r="H73" s="65">
        <f>G73/F73</f>
        <v>2.3239999999999998</v>
      </c>
      <c r="I73" s="111"/>
    </row>
    <row r="74" spans="1:9" ht="14.25">
      <c r="A74" s="58" t="s">
        <v>187</v>
      </c>
      <c r="B74" s="204" t="s">
        <v>139</v>
      </c>
      <c r="C74" s="205"/>
      <c r="D74" s="206"/>
      <c r="E74" s="58" t="s">
        <v>140</v>
      </c>
      <c r="F74" s="112">
        <f>E10</f>
        <v>0</v>
      </c>
      <c r="G74" s="65">
        <f>H73</f>
        <v>2.3239999999999998</v>
      </c>
      <c r="H74" s="60">
        <f>F74*G74</f>
        <v>0</v>
      </c>
      <c r="I74" s="60">
        <f>H74</f>
        <v>0</v>
      </c>
    </row>
    <row r="75" spans="1:9" ht="14.25">
      <c r="A75" s="58" t="s">
        <v>188</v>
      </c>
      <c r="B75" s="224" t="s">
        <v>142</v>
      </c>
      <c r="C75" s="224"/>
      <c r="D75" s="224"/>
      <c r="E75" s="58" t="s">
        <v>72</v>
      </c>
      <c r="F75" s="58" t="s">
        <v>73</v>
      </c>
      <c r="G75" s="58" t="s">
        <v>74</v>
      </c>
      <c r="H75" s="58" t="s">
        <v>75</v>
      </c>
      <c r="I75" s="109" t="s">
        <v>76</v>
      </c>
    </row>
    <row r="76" spans="1:9" ht="14.25">
      <c r="A76" s="58" t="s">
        <v>189</v>
      </c>
      <c r="B76" s="224" t="s">
        <v>144</v>
      </c>
      <c r="C76" s="224"/>
      <c r="D76" s="224"/>
      <c r="E76" s="58" t="s">
        <v>145</v>
      </c>
      <c r="F76" s="113">
        <v>1</v>
      </c>
      <c r="G76" s="65">
        <v>88.27</v>
      </c>
      <c r="H76" s="60"/>
      <c r="I76" s="65"/>
    </row>
    <row r="77" spans="1:9" ht="14.25">
      <c r="A77" s="58" t="s">
        <v>190</v>
      </c>
      <c r="B77" s="224" t="s">
        <v>147</v>
      </c>
      <c r="C77" s="224"/>
      <c r="D77" s="224"/>
      <c r="E77" s="58" t="s">
        <v>13</v>
      </c>
      <c r="F77" s="113">
        <v>7000</v>
      </c>
      <c r="G77" s="65"/>
      <c r="H77" s="60"/>
      <c r="I77" s="65"/>
    </row>
    <row r="78" spans="1:9" ht="14.25">
      <c r="A78" s="58" t="s">
        <v>191</v>
      </c>
      <c r="B78" s="224" t="s">
        <v>149</v>
      </c>
      <c r="C78" s="224"/>
      <c r="D78" s="224"/>
      <c r="E78" s="58" t="s">
        <v>145</v>
      </c>
      <c r="F78" s="114">
        <v>20.5</v>
      </c>
      <c r="G78" s="65"/>
      <c r="H78" s="60"/>
      <c r="I78" s="65"/>
    </row>
    <row r="79" spans="1:9" ht="14.25">
      <c r="A79" s="58" t="s">
        <v>192</v>
      </c>
      <c r="B79" s="224" t="s">
        <v>151</v>
      </c>
      <c r="C79" s="224"/>
      <c r="D79" s="224"/>
      <c r="E79" s="58" t="s">
        <v>152</v>
      </c>
      <c r="F79" s="113">
        <v>1</v>
      </c>
      <c r="G79" s="110">
        <f>F78*G76/F77</f>
        <v>0.25850499999999998</v>
      </c>
      <c r="H79" s="60"/>
      <c r="I79" s="65"/>
    </row>
    <row r="80" spans="1:9" ht="14.25">
      <c r="A80" s="58" t="s">
        <v>193</v>
      </c>
      <c r="B80" s="224" t="s">
        <v>154</v>
      </c>
      <c r="C80" s="224"/>
      <c r="D80" s="224"/>
      <c r="E80" s="58" t="s">
        <v>79</v>
      </c>
      <c r="F80" s="112">
        <f>F74</f>
        <v>0</v>
      </c>
      <c r="G80" s="110">
        <f>G79</f>
        <v>0.25850499999999998</v>
      </c>
      <c r="H80" s="60">
        <f>F80*G80</f>
        <v>0</v>
      </c>
      <c r="I80" s="65">
        <f>H80</f>
        <v>0</v>
      </c>
    </row>
    <row r="81" spans="1:9" ht="14.25">
      <c r="A81" s="58" t="s">
        <v>194</v>
      </c>
      <c r="B81" s="204" t="s">
        <v>156</v>
      </c>
      <c r="C81" s="205"/>
      <c r="D81" s="206"/>
      <c r="E81" s="58" t="s">
        <v>72</v>
      </c>
      <c r="F81" s="58" t="s">
        <v>73</v>
      </c>
      <c r="G81" s="58" t="s">
        <v>74</v>
      </c>
      <c r="H81" s="58" t="s">
        <v>75</v>
      </c>
      <c r="I81" s="109" t="s">
        <v>76</v>
      </c>
    </row>
    <row r="82" spans="1:9" ht="14.25">
      <c r="A82" s="58" t="s">
        <v>195</v>
      </c>
      <c r="B82" s="204" t="s">
        <v>158</v>
      </c>
      <c r="C82" s="205"/>
      <c r="D82" s="206"/>
      <c r="E82" s="58" t="s">
        <v>159</v>
      </c>
      <c r="F82" s="60">
        <v>6</v>
      </c>
      <c r="G82" s="60">
        <v>3260.44</v>
      </c>
      <c r="H82" s="60">
        <f>F82*G82</f>
        <v>19562.64</v>
      </c>
      <c r="I82" s="115"/>
    </row>
    <row r="83" spans="1:9" ht="14.25">
      <c r="A83" s="58" t="s">
        <v>196</v>
      </c>
      <c r="B83" s="204" t="s">
        <v>161</v>
      </c>
      <c r="C83" s="205"/>
      <c r="D83" s="206"/>
      <c r="E83" s="58" t="s">
        <v>162</v>
      </c>
      <c r="F83" s="116">
        <v>45000</v>
      </c>
      <c r="G83" s="60">
        <f>H82</f>
        <v>19562.64</v>
      </c>
      <c r="H83" s="60">
        <f>G83/F83</f>
        <v>0.4347253333333333</v>
      </c>
      <c r="I83" s="115"/>
    </row>
    <row r="84" spans="1:9" ht="14.25">
      <c r="A84" s="58" t="s">
        <v>197</v>
      </c>
      <c r="B84" s="204" t="s">
        <v>164</v>
      </c>
      <c r="C84" s="205"/>
      <c r="D84" s="206"/>
      <c r="E84" s="58" t="s">
        <v>165</v>
      </c>
      <c r="F84" s="60">
        <f>F74</f>
        <v>0</v>
      </c>
      <c r="G84" s="60">
        <f>H83</f>
        <v>0.4347253333333333</v>
      </c>
      <c r="H84" s="60">
        <f>F84*G84</f>
        <v>0</v>
      </c>
      <c r="I84" s="60">
        <f>H84</f>
        <v>0</v>
      </c>
    </row>
    <row r="85" spans="1:9" ht="14.25">
      <c r="A85" s="58" t="s">
        <v>198</v>
      </c>
      <c r="B85" s="204" t="s">
        <v>167</v>
      </c>
      <c r="C85" s="205"/>
      <c r="D85" s="206"/>
      <c r="E85" s="58" t="s">
        <v>72</v>
      </c>
      <c r="F85" s="58" t="s">
        <v>73</v>
      </c>
      <c r="G85" s="58" t="s">
        <v>74</v>
      </c>
      <c r="H85" s="58" t="s">
        <v>75</v>
      </c>
      <c r="I85" s="109" t="s">
        <v>76</v>
      </c>
    </row>
    <row r="86" spans="1:9" ht="14.25">
      <c r="A86" s="58" t="s">
        <v>199</v>
      </c>
      <c r="B86" s="204" t="s">
        <v>169</v>
      </c>
      <c r="C86" s="205"/>
      <c r="D86" s="206"/>
      <c r="E86" s="58" t="s">
        <v>13</v>
      </c>
      <c r="F86" s="117">
        <v>0.02</v>
      </c>
      <c r="G86" s="60">
        <f>(H21)*F86/2500</f>
        <v>1.3592</v>
      </c>
      <c r="H86" s="60">
        <f>G86</f>
        <v>1.3592</v>
      </c>
      <c r="I86" s="111"/>
    </row>
    <row r="87" spans="1:9" ht="14.25">
      <c r="A87" s="58" t="s">
        <v>200</v>
      </c>
      <c r="B87" s="204" t="s">
        <v>171</v>
      </c>
      <c r="C87" s="205"/>
      <c r="D87" s="206"/>
      <c r="E87" s="58" t="s">
        <v>120</v>
      </c>
      <c r="F87" s="60">
        <f>F74</f>
        <v>0</v>
      </c>
      <c r="G87" s="60">
        <f>H86</f>
        <v>1.3592</v>
      </c>
      <c r="H87" s="60">
        <f>F87*G87</f>
        <v>0</v>
      </c>
      <c r="I87" s="65">
        <f>H87</f>
        <v>0</v>
      </c>
    </row>
    <row r="88" spans="1:9" ht="14.25">
      <c r="A88" s="118" t="s">
        <v>201</v>
      </c>
      <c r="B88" s="225" t="s">
        <v>173</v>
      </c>
      <c r="C88" s="226"/>
      <c r="D88" s="227"/>
      <c r="E88" s="58" t="s">
        <v>72</v>
      </c>
      <c r="F88" s="58" t="s">
        <v>73</v>
      </c>
      <c r="G88" s="58" t="s">
        <v>74</v>
      </c>
      <c r="H88" s="58" t="s">
        <v>75</v>
      </c>
      <c r="I88" s="109" t="s">
        <v>76</v>
      </c>
    </row>
    <row r="89" spans="1:9" ht="14.25">
      <c r="A89" s="118" t="s">
        <v>202</v>
      </c>
      <c r="B89" s="225" t="s">
        <v>175</v>
      </c>
      <c r="C89" s="226"/>
      <c r="D89" s="227"/>
      <c r="E89" s="118" t="s">
        <v>89</v>
      </c>
      <c r="F89" s="119">
        <v>1</v>
      </c>
      <c r="G89" s="120">
        <v>200</v>
      </c>
      <c r="H89" s="118">
        <f>G89/250</f>
        <v>0.8</v>
      </c>
      <c r="I89" s="118"/>
    </row>
    <row r="90" spans="1:9" ht="14.25">
      <c r="A90" s="118" t="s">
        <v>203</v>
      </c>
      <c r="B90" s="225" t="s">
        <v>177</v>
      </c>
      <c r="C90" s="226"/>
      <c r="D90" s="227"/>
      <c r="E90" s="119" t="s">
        <v>13</v>
      </c>
      <c r="F90" s="120">
        <f>F74</f>
        <v>0</v>
      </c>
      <c r="G90" s="118">
        <f>H89</f>
        <v>0.8</v>
      </c>
      <c r="H90" s="121">
        <f>F90*G90</f>
        <v>0</v>
      </c>
      <c r="I90" s="121">
        <f>H90</f>
        <v>0</v>
      </c>
    </row>
    <row r="91" spans="1:9" ht="15">
      <c r="A91" s="87" t="s">
        <v>204</v>
      </c>
      <c r="B91" s="215" t="s">
        <v>205</v>
      </c>
      <c r="C91" s="216"/>
      <c r="D91" s="216"/>
      <c r="E91" s="216"/>
      <c r="F91" s="216"/>
      <c r="G91" s="216"/>
      <c r="H91" s="217"/>
      <c r="I91" s="88">
        <f>I74+I80+I84+I87+I90</f>
        <v>0</v>
      </c>
    </row>
    <row r="92" spans="1:9" ht="15">
      <c r="A92" s="94" t="s">
        <v>206</v>
      </c>
      <c r="B92" s="122" t="s">
        <v>207</v>
      </c>
      <c r="C92" s="122"/>
      <c r="D92" s="122"/>
      <c r="E92" s="58" t="s">
        <v>72</v>
      </c>
      <c r="F92" s="58" t="s">
        <v>73</v>
      </c>
      <c r="G92" s="58" t="s">
        <v>74</v>
      </c>
      <c r="H92" s="58" t="s">
        <v>75</v>
      </c>
      <c r="I92" s="65" t="s">
        <v>76</v>
      </c>
    </row>
    <row r="93" spans="1:9" ht="15">
      <c r="A93" s="58" t="s">
        <v>208</v>
      </c>
      <c r="B93" s="224" t="s">
        <v>183</v>
      </c>
      <c r="C93" s="224"/>
      <c r="D93" s="224"/>
      <c r="E93" s="58" t="s">
        <v>152</v>
      </c>
      <c r="F93" s="123">
        <f>F70</f>
        <v>3901.6000000000004</v>
      </c>
      <c r="G93" s="60">
        <f>I91</f>
        <v>0</v>
      </c>
      <c r="H93" s="65">
        <f>G93/F93</f>
        <v>0</v>
      </c>
      <c r="I93" s="95">
        <f>H93</f>
        <v>0</v>
      </c>
    </row>
    <row r="94" spans="1:9" ht="15">
      <c r="A94" s="124"/>
      <c r="B94" s="105"/>
      <c r="C94" s="105"/>
      <c r="D94" s="105"/>
      <c r="E94" s="71"/>
      <c r="F94" s="125"/>
      <c r="G94" s="126"/>
      <c r="H94" s="108"/>
      <c r="I94" s="127"/>
    </row>
    <row r="95" spans="1:9" ht="15">
      <c r="A95" s="222" t="s">
        <v>209</v>
      </c>
      <c r="B95" s="222"/>
      <c r="C95" s="222"/>
      <c r="D95" s="222"/>
      <c r="E95" s="222"/>
      <c r="F95" s="222"/>
      <c r="G95" s="222"/>
      <c r="H95" s="222"/>
      <c r="I95" s="111"/>
    </row>
    <row r="96" spans="1:9" ht="30">
      <c r="A96" s="94" t="s">
        <v>210</v>
      </c>
      <c r="B96" s="228" t="s">
        <v>128</v>
      </c>
      <c r="C96" s="229"/>
      <c r="D96" s="229"/>
      <c r="E96" s="229"/>
      <c r="F96" s="230"/>
      <c r="G96" s="128" t="s">
        <v>211</v>
      </c>
      <c r="H96" s="128" t="s">
        <v>212</v>
      </c>
      <c r="I96" s="95" t="s">
        <v>76</v>
      </c>
    </row>
    <row r="97" spans="1:9" ht="15.75">
      <c r="A97" s="129" t="s">
        <v>213</v>
      </c>
      <c r="B97" s="231" t="s">
        <v>214</v>
      </c>
      <c r="C97" s="232"/>
      <c r="D97" s="232"/>
      <c r="E97" s="232"/>
      <c r="F97" s="233"/>
      <c r="G97" s="130">
        <f>I70</f>
        <v>3.5232641666666669</v>
      </c>
      <c r="H97" s="130">
        <f>I93</f>
        <v>0</v>
      </c>
      <c r="I97" s="130">
        <f>F97+G97+H97</f>
        <v>3.5232641666666669</v>
      </c>
    </row>
    <row r="98" spans="1:9" ht="14.25">
      <c r="A98" s="124"/>
      <c r="B98" s="131"/>
      <c r="C98" s="131"/>
      <c r="D98" s="131"/>
      <c r="E98" s="131"/>
      <c r="F98" s="131"/>
      <c r="G98" s="131"/>
      <c r="H98" s="52"/>
      <c r="I98" s="93"/>
    </row>
    <row r="99" spans="1:9" ht="15">
      <c r="A99" s="218" t="s">
        <v>215</v>
      </c>
      <c r="B99" s="219"/>
      <c r="C99" s="219"/>
      <c r="D99" s="219"/>
      <c r="E99" s="92"/>
      <c r="F99" s="92"/>
      <c r="G99" s="92"/>
      <c r="H99" s="92"/>
      <c r="I99" s="93"/>
    </row>
    <row r="100" spans="1:9" ht="15">
      <c r="A100" s="94" t="s">
        <v>216</v>
      </c>
      <c r="B100" s="220" t="s">
        <v>128</v>
      </c>
      <c r="C100" s="220"/>
      <c r="D100" s="220"/>
      <c r="E100" s="94" t="s">
        <v>72</v>
      </c>
      <c r="F100" s="94" t="s">
        <v>73</v>
      </c>
      <c r="G100" s="94" t="s">
        <v>74</v>
      </c>
      <c r="H100" s="94" t="s">
        <v>75</v>
      </c>
      <c r="I100" s="95" t="s">
        <v>76</v>
      </c>
    </row>
    <row r="101" spans="1:9" ht="15">
      <c r="A101" s="94" t="s">
        <v>217</v>
      </c>
      <c r="B101" s="215" t="s">
        <v>28</v>
      </c>
      <c r="C101" s="216"/>
      <c r="D101" s="217"/>
      <c r="E101" s="94" t="s">
        <v>97</v>
      </c>
      <c r="F101" s="96">
        <v>0.26119999999999999</v>
      </c>
      <c r="G101" s="97">
        <f>G97</f>
        <v>3.5232641666666669</v>
      </c>
      <c r="H101" s="98">
        <f>G101*F101</f>
        <v>0.92027660033333336</v>
      </c>
      <c r="I101" s="99">
        <f>H101</f>
        <v>0.92027660033333336</v>
      </c>
    </row>
    <row r="102" spans="1:9" ht="15">
      <c r="A102" s="124"/>
      <c r="B102" s="131"/>
      <c r="C102" s="92"/>
      <c r="D102" s="92"/>
      <c r="E102" s="92"/>
      <c r="F102" s="92"/>
      <c r="G102" s="92"/>
      <c r="H102" s="92"/>
      <c r="I102" s="132"/>
    </row>
    <row r="103" spans="1:9" ht="15">
      <c r="A103" s="218" t="s">
        <v>218</v>
      </c>
      <c r="B103" s="219"/>
      <c r="C103" s="219"/>
      <c r="D103" s="219"/>
      <c r="E103" s="219"/>
      <c r="F103" s="219"/>
      <c r="G103" s="219"/>
      <c r="H103" s="219"/>
      <c r="I103" s="234"/>
    </row>
    <row r="104" spans="1:9" ht="15.75">
      <c r="A104" s="94" t="s">
        <v>219</v>
      </c>
      <c r="B104" s="215" t="s">
        <v>220</v>
      </c>
      <c r="C104" s="216"/>
      <c r="D104" s="216"/>
      <c r="E104" s="216"/>
      <c r="F104" s="216"/>
      <c r="G104" s="216"/>
      <c r="H104" s="217"/>
      <c r="I104" s="133">
        <f>G97+H101</f>
        <v>4.443540767</v>
      </c>
    </row>
    <row r="107" spans="1:9" ht="15">
      <c r="A107" s="218" t="s">
        <v>221</v>
      </c>
      <c r="B107" s="219"/>
      <c r="C107" s="219"/>
      <c r="D107" s="219"/>
      <c r="E107" s="92"/>
      <c r="F107" s="92"/>
      <c r="G107" s="92"/>
      <c r="H107" s="92"/>
      <c r="I107" s="93"/>
    </row>
    <row r="108" spans="1:9" ht="15">
      <c r="A108" s="94" t="s">
        <v>216</v>
      </c>
      <c r="B108" s="220" t="s">
        <v>128</v>
      </c>
      <c r="C108" s="220"/>
      <c r="D108" s="220"/>
      <c r="E108" s="94" t="s">
        <v>72</v>
      </c>
      <c r="F108" s="94" t="s">
        <v>73</v>
      </c>
      <c r="G108" s="94" t="s">
        <v>74</v>
      </c>
      <c r="H108" s="94" t="s">
        <v>75</v>
      </c>
      <c r="I108" s="95" t="s">
        <v>76</v>
      </c>
    </row>
    <row r="109" spans="1:9" ht="15">
      <c r="A109" s="94" t="s">
        <v>217</v>
      </c>
      <c r="B109" s="215" t="s">
        <v>28</v>
      </c>
      <c r="C109" s="216"/>
      <c r="D109" s="217"/>
      <c r="E109" s="94" t="s">
        <v>97</v>
      </c>
      <c r="F109" s="96">
        <v>0.26119999999999999</v>
      </c>
      <c r="G109" s="97">
        <f>H97</f>
        <v>0</v>
      </c>
      <c r="H109" s="98">
        <f>G109*F109</f>
        <v>0</v>
      </c>
      <c r="I109" s="99">
        <f>H109</f>
        <v>0</v>
      </c>
    </row>
    <row r="110" spans="1:9" ht="15">
      <c r="A110" s="124"/>
      <c r="B110" s="131"/>
      <c r="C110" s="92"/>
      <c r="D110" s="92"/>
      <c r="E110" s="92"/>
      <c r="F110" s="92"/>
      <c r="G110" s="92"/>
      <c r="H110" s="92"/>
      <c r="I110" s="132"/>
    </row>
    <row r="111" spans="1:9" ht="15">
      <c r="A111" s="218" t="s">
        <v>222</v>
      </c>
      <c r="B111" s="219"/>
      <c r="C111" s="219"/>
      <c r="D111" s="219"/>
      <c r="E111" s="219"/>
      <c r="F111" s="219"/>
      <c r="G111" s="219"/>
      <c r="H111" s="219"/>
      <c r="I111" s="234"/>
    </row>
    <row r="112" spans="1:9" ht="15.75">
      <c r="A112" s="94" t="s">
        <v>219</v>
      </c>
      <c r="B112" s="215" t="s">
        <v>220</v>
      </c>
      <c r="C112" s="216"/>
      <c r="D112" s="216"/>
      <c r="E112" s="216"/>
      <c r="F112" s="216"/>
      <c r="G112" s="216"/>
      <c r="H112" s="217"/>
      <c r="I112" s="133">
        <f>H97+I109</f>
        <v>0</v>
      </c>
    </row>
  </sheetData>
  <mergeCells count="81">
    <mergeCell ref="B109:D109"/>
    <mergeCell ref="A111:I111"/>
    <mergeCell ref="B112:H112"/>
    <mergeCell ref="B100:D100"/>
    <mergeCell ref="B101:D101"/>
    <mergeCell ref="A103:I103"/>
    <mergeCell ref="B104:H104"/>
    <mergeCell ref="A107:D107"/>
    <mergeCell ref="B108:D108"/>
    <mergeCell ref="A99:D99"/>
    <mergeCell ref="B85:D85"/>
    <mergeCell ref="B86:D86"/>
    <mergeCell ref="B87:D87"/>
    <mergeCell ref="B88:D88"/>
    <mergeCell ref="B89:D89"/>
    <mergeCell ref="B90:D90"/>
    <mergeCell ref="B91:H91"/>
    <mergeCell ref="B93:D93"/>
    <mergeCell ref="A95:H95"/>
    <mergeCell ref="B96:F96"/>
    <mergeCell ref="B97:F97"/>
    <mergeCell ref="B84:D84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72:D72"/>
    <mergeCell ref="B60:D60"/>
    <mergeCell ref="B61:D61"/>
    <mergeCell ref="B62:D62"/>
    <mergeCell ref="B63:D63"/>
    <mergeCell ref="B64:D64"/>
    <mergeCell ref="B65:D65"/>
    <mergeCell ref="B66:D66"/>
    <mergeCell ref="B67:D67"/>
    <mergeCell ref="B68:H68"/>
    <mergeCell ref="B70:D70"/>
    <mergeCell ref="A71:I71"/>
    <mergeCell ref="B59:D59"/>
    <mergeCell ref="A48:I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6:H46"/>
    <mergeCell ref="B29:D29"/>
    <mergeCell ref="B30:D30"/>
    <mergeCell ref="B31:D31"/>
    <mergeCell ref="B32:D32"/>
    <mergeCell ref="B34:D34"/>
    <mergeCell ref="B37:D37"/>
    <mergeCell ref="B39:H39"/>
    <mergeCell ref="A41:D41"/>
    <mergeCell ref="B42:D42"/>
    <mergeCell ref="B43:D43"/>
    <mergeCell ref="A45:I45"/>
    <mergeCell ref="B26:D26"/>
    <mergeCell ref="A2:I2"/>
    <mergeCell ref="A4:I4"/>
    <mergeCell ref="A14:I14"/>
    <mergeCell ref="B15:D15"/>
    <mergeCell ref="B16:D16"/>
    <mergeCell ref="B20:D20"/>
    <mergeCell ref="B21:D21"/>
    <mergeCell ref="B22:D22"/>
    <mergeCell ref="B23:D23"/>
    <mergeCell ref="B24:D24"/>
    <mergeCell ref="B25:D25"/>
  </mergeCells>
  <pageMargins left="0.511811024" right="0.511811024" top="0.78740157499999996" bottom="0.78740157499999996" header="0.31496062000000002" footer="0.31496062000000002"/>
  <pageSetup paperSize="9" scale="61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workbookViewId="0">
      <selection activeCell="E8" sqref="E8"/>
    </sheetView>
  </sheetViews>
  <sheetFormatPr defaultRowHeight="12.75"/>
  <cols>
    <col min="4" max="4" width="42.42578125" customWidth="1"/>
    <col min="5" max="5" width="10.7109375" customWidth="1"/>
    <col min="6" max="6" width="13.42578125" customWidth="1"/>
    <col min="7" max="7" width="16.7109375" customWidth="1"/>
    <col min="8" max="8" width="17.42578125" customWidth="1"/>
    <col min="9" max="9" width="22.7109375" customWidth="1"/>
  </cols>
  <sheetData>
    <row r="1" spans="1:9" ht="14.25">
      <c r="A1" s="45"/>
      <c r="B1" s="46"/>
      <c r="C1" s="46"/>
      <c r="D1" s="46"/>
      <c r="E1" s="46"/>
      <c r="F1" s="46"/>
      <c r="G1" s="46"/>
      <c r="H1" s="46"/>
      <c r="I1" s="46"/>
    </row>
    <row r="2" spans="1:9" ht="15">
      <c r="A2" s="207" t="s">
        <v>62</v>
      </c>
      <c r="B2" s="207"/>
      <c r="C2" s="207"/>
      <c r="D2" s="207"/>
      <c r="E2" s="207"/>
      <c r="F2" s="207"/>
      <c r="G2" s="207"/>
      <c r="H2" s="207"/>
      <c r="I2" s="207"/>
    </row>
    <row r="3" spans="1:9" ht="15" thickBot="1">
      <c r="A3" s="45"/>
      <c r="B3" s="46"/>
      <c r="C3" s="46"/>
      <c r="D3" s="46"/>
      <c r="E3" s="46"/>
      <c r="F3" s="46"/>
      <c r="G3" s="46"/>
      <c r="H3" s="46"/>
      <c r="I3" s="46"/>
    </row>
    <row r="4" spans="1:9" ht="14.25">
      <c r="A4" s="208" t="s">
        <v>235</v>
      </c>
      <c r="B4" s="209"/>
      <c r="C4" s="209"/>
      <c r="D4" s="209"/>
      <c r="E4" s="209"/>
      <c r="F4" s="209"/>
      <c r="G4" s="209"/>
      <c r="H4" s="209"/>
      <c r="I4" s="210"/>
    </row>
    <row r="5" spans="1:9" ht="14.25">
      <c r="A5" s="47" t="s">
        <v>223</v>
      </c>
      <c r="B5" s="48"/>
      <c r="C5" s="48"/>
      <c r="D5" s="48"/>
      <c r="E5" s="48"/>
      <c r="F5" s="48"/>
      <c r="G5" s="48"/>
      <c r="H5" s="48"/>
      <c r="I5" s="49"/>
    </row>
    <row r="6" spans="1:9" ht="14.25">
      <c r="A6" s="47" t="s">
        <v>63</v>
      </c>
      <c r="B6" s="48"/>
      <c r="C6" s="48"/>
      <c r="D6" s="48"/>
      <c r="E6" s="48"/>
      <c r="F6" s="48"/>
      <c r="G6" s="48"/>
      <c r="H6" s="48"/>
      <c r="I6" s="49"/>
    </row>
    <row r="7" spans="1:9" ht="14.25">
      <c r="A7" s="47" t="s">
        <v>64</v>
      </c>
      <c r="B7" s="48"/>
      <c r="C7" s="48"/>
      <c r="D7" s="48"/>
      <c r="E7" s="50">
        <v>194.08</v>
      </c>
      <c r="F7" s="48"/>
      <c r="G7" s="48"/>
      <c r="H7" s="48"/>
      <c r="I7" s="49"/>
    </row>
    <row r="8" spans="1:9" ht="14.25">
      <c r="A8" s="51" t="s">
        <v>65</v>
      </c>
      <c r="B8" s="46"/>
      <c r="C8" s="46"/>
      <c r="D8" s="46"/>
      <c r="E8" s="52">
        <f>E7*20</f>
        <v>3881.6000000000004</v>
      </c>
      <c r="F8" s="46"/>
      <c r="G8" s="46"/>
      <c r="H8" s="46"/>
      <c r="I8" s="53"/>
    </row>
    <row r="9" spans="1:9" ht="14.25">
      <c r="A9" s="47" t="s">
        <v>66</v>
      </c>
      <c r="B9" s="48"/>
      <c r="C9" s="48"/>
      <c r="D9" s="48"/>
      <c r="E9" s="50">
        <v>0</v>
      </c>
      <c r="F9" s="46"/>
      <c r="G9" s="46"/>
      <c r="H9" s="46"/>
      <c r="I9" s="53"/>
    </row>
    <row r="10" spans="1:9" ht="14.25">
      <c r="A10" s="51" t="s">
        <v>67</v>
      </c>
      <c r="B10" s="46"/>
      <c r="C10" s="46"/>
      <c r="D10" s="46"/>
      <c r="E10" s="52">
        <f>E9*20</f>
        <v>0</v>
      </c>
      <c r="F10" s="46"/>
      <c r="G10" s="46"/>
      <c r="H10" s="46"/>
      <c r="I10" s="53"/>
    </row>
    <row r="11" spans="1:9" ht="14.25">
      <c r="A11" s="51" t="s">
        <v>68</v>
      </c>
      <c r="B11" s="46"/>
      <c r="C11" s="46"/>
      <c r="D11" s="46"/>
      <c r="E11" s="52">
        <f>E8+E10</f>
        <v>3881.6000000000004</v>
      </c>
      <c r="F11" s="46"/>
      <c r="G11" s="46"/>
      <c r="H11" s="46"/>
      <c r="I11" s="53"/>
    </row>
    <row r="12" spans="1:9" ht="15" thickBot="1">
      <c r="A12" s="54" t="s">
        <v>69</v>
      </c>
      <c r="B12" s="55"/>
      <c r="C12" s="55"/>
      <c r="D12" s="55"/>
      <c r="E12" s="56" t="s">
        <v>9</v>
      </c>
      <c r="F12" s="55"/>
      <c r="G12" s="55"/>
      <c r="H12" s="55"/>
      <c r="I12" s="57"/>
    </row>
    <row r="13" spans="1:9" ht="14.25">
      <c r="A13" s="45"/>
      <c r="B13" s="46"/>
      <c r="C13" s="46"/>
      <c r="D13" s="46"/>
      <c r="E13" s="46"/>
      <c r="F13" s="46"/>
      <c r="G13" s="46"/>
      <c r="H13" s="46"/>
      <c r="I13" s="46"/>
    </row>
    <row r="14" spans="1:9" ht="15">
      <c r="A14" s="211" t="s">
        <v>70</v>
      </c>
      <c r="B14" s="211"/>
      <c r="C14" s="211"/>
      <c r="D14" s="211"/>
      <c r="E14" s="211"/>
      <c r="F14" s="211"/>
      <c r="G14" s="211"/>
      <c r="H14" s="211"/>
      <c r="I14" s="211"/>
    </row>
    <row r="15" spans="1:9" ht="14.25">
      <c r="A15" s="58" t="s">
        <v>32</v>
      </c>
      <c r="B15" s="204" t="s">
        <v>71</v>
      </c>
      <c r="C15" s="205"/>
      <c r="D15" s="206"/>
      <c r="E15" s="58" t="s">
        <v>72</v>
      </c>
      <c r="F15" s="58" t="s">
        <v>73</v>
      </c>
      <c r="G15" s="58" t="s">
        <v>74</v>
      </c>
      <c r="H15" s="58" t="s">
        <v>75</v>
      </c>
      <c r="I15" s="59" t="s">
        <v>76</v>
      </c>
    </row>
    <row r="16" spans="1:9" ht="14.25">
      <c r="A16" s="60" t="s">
        <v>77</v>
      </c>
      <c r="B16" s="212" t="s">
        <v>78</v>
      </c>
      <c r="C16" s="213"/>
      <c r="D16" s="214"/>
      <c r="E16" s="60" t="s">
        <v>79</v>
      </c>
      <c r="F16" s="60">
        <v>1</v>
      </c>
      <c r="G16" s="60">
        <v>2728.98</v>
      </c>
      <c r="H16" s="61">
        <f>G16</f>
        <v>2728.98</v>
      </c>
      <c r="I16" s="60">
        <f>G16</f>
        <v>2728.98</v>
      </c>
    </row>
    <row r="17" spans="1:9" ht="14.25">
      <c r="A17" s="60" t="s">
        <v>80</v>
      </c>
      <c r="B17" s="156" t="s">
        <v>81</v>
      </c>
      <c r="C17" s="157"/>
      <c r="D17" s="158"/>
      <c r="E17" s="60" t="s">
        <v>79</v>
      </c>
      <c r="F17" s="60">
        <v>1</v>
      </c>
      <c r="G17" s="60">
        <f>G16*70.11%</f>
        <v>1913.2878779999999</v>
      </c>
      <c r="H17" s="61">
        <f>G17</f>
        <v>1913.2878779999999</v>
      </c>
      <c r="I17" s="60">
        <f>H17</f>
        <v>1913.2878779999999</v>
      </c>
    </row>
    <row r="18" spans="1:9" ht="14.25">
      <c r="A18" s="60" t="s">
        <v>82</v>
      </c>
      <c r="B18" s="156" t="s">
        <v>83</v>
      </c>
      <c r="C18" s="157"/>
      <c r="D18" s="158"/>
      <c r="E18" s="60" t="s">
        <v>79</v>
      </c>
      <c r="F18" s="60">
        <v>1</v>
      </c>
      <c r="G18" s="60">
        <v>405.6</v>
      </c>
      <c r="H18" s="61">
        <f>G18</f>
        <v>405.6</v>
      </c>
      <c r="I18" s="60">
        <f>H18</f>
        <v>405.6</v>
      </c>
    </row>
    <row r="19" spans="1:9" ht="14.25">
      <c r="A19" s="60" t="s">
        <v>84</v>
      </c>
      <c r="B19" s="156" t="s">
        <v>85</v>
      </c>
      <c r="C19" s="157"/>
      <c r="D19" s="158"/>
      <c r="E19" s="60" t="s">
        <v>79</v>
      </c>
      <c r="F19" s="60">
        <v>1</v>
      </c>
      <c r="G19" s="60">
        <v>23.86</v>
      </c>
      <c r="H19" s="61">
        <f>G19</f>
        <v>23.86</v>
      </c>
      <c r="I19" s="60">
        <f>H19</f>
        <v>23.86</v>
      </c>
    </row>
    <row r="20" spans="1:9" ht="14.25">
      <c r="A20" s="58" t="s">
        <v>34</v>
      </c>
      <c r="B20" s="204" t="s">
        <v>86</v>
      </c>
      <c r="C20" s="205"/>
      <c r="D20" s="206"/>
      <c r="E20" s="58" t="s">
        <v>72</v>
      </c>
      <c r="F20" s="58" t="s">
        <v>73</v>
      </c>
      <c r="G20" s="58" t="s">
        <v>74</v>
      </c>
      <c r="H20" s="58" t="s">
        <v>75</v>
      </c>
      <c r="I20" s="65" t="s">
        <v>76</v>
      </c>
    </row>
    <row r="21" spans="1:9" ht="15">
      <c r="A21" s="58" t="s">
        <v>87</v>
      </c>
      <c r="B21" s="204" t="s">
        <v>88</v>
      </c>
      <c r="C21" s="205"/>
      <c r="D21" s="206"/>
      <c r="E21" s="58" t="s">
        <v>89</v>
      </c>
      <c r="F21" s="58">
        <v>1</v>
      </c>
      <c r="G21" s="66">
        <v>169900</v>
      </c>
      <c r="H21" s="67">
        <f>G21</f>
        <v>169900</v>
      </c>
      <c r="I21" s="68"/>
    </row>
    <row r="22" spans="1:9" ht="15">
      <c r="A22" s="58" t="s">
        <v>90</v>
      </c>
      <c r="B22" s="204" t="s">
        <v>91</v>
      </c>
      <c r="C22" s="205"/>
      <c r="D22" s="206"/>
      <c r="E22" s="58" t="s">
        <v>92</v>
      </c>
      <c r="F22" s="58">
        <v>0.25</v>
      </c>
      <c r="G22" s="66">
        <f>F22*H21</f>
        <v>42475</v>
      </c>
      <c r="H22" s="67">
        <f>G22</f>
        <v>42475</v>
      </c>
      <c r="I22" s="69"/>
    </row>
    <row r="23" spans="1:9" ht="15">
      <c r="A23" s="58" t="s">
        <v>93</v>
      </c>
      <c r="B23" s="204" t="s">
        <v>94</v>
      </c>
      <c r="C23" s="205"/>
      <c r="D23" s="206"/>
      <c r="E23" s="58" t="s">
        <v>92</v>
      </c>
      <c r="F23" s="65">
        <v>1</v>
      </c>
      <c r="G23" s="70">
        <f>G21-G22</f>
        <v>127425</v>
      </c>
      <c r="H23" s="67">
        <f>G23</f>
        <v>127425</v>
      </c>
      <c r="I23" s="69"/>
    </row>
    <row r="24" spans="1:9" ht="15">
      <c r="A24" s="71" t="s">
        <v>95</v>
      </c>
      <c r="B24" s="204" t="s">
        <v>96</v>
      </c>
      <c r="C24" s="205"/>
      <c r="D24" s="206"/>
      <c r="E24" s="58" t="s">
        <v>97</v>
      </c>
      <c r="F24" s="58">
        <v>15</v>
      </c>
      <c r="G24" s="72">
        <f>G23*15%</f>
        <v>19113.75</v>
      </c>
      <c r="H24" s="67"/>
      <c r="I24" s="69"/>
    </row>
    <row r="25" spans="1:9" ht="14.25">
      <c r="A25" s="58" t="s">
        <v>98</v>
      </c>
      <c r="B25" s="204" t="s">
        <v>99</v>
      </c>
      <c r="C25" s="205"/>
      <c r="D25" s="206"/>
      <c r="E25" s="58" t="s">
        <v>79</v>
      </c>
      <c r="F25" s="58">
        <v>1</v>
      </c>
      <c r="G25" s="73">
        <f>G24/12</f>
        <v>1592.8125</v>
      </c>
      <c r="H25" s="67">
        <f>G25</f>
        <v>1592.8125</v>
      </c>
      <c r="I25" s="60">
        <f>H25</f>
        <v>1592.8125</v>
      </c>
    </row>
    <row r="26" spans="1:9" ht="14.25">
      <c r="A26" s="58" t="s">
        <v>36</v>
      </c>
      <c r="B26" s="204" t="s">
        <v>100</v>
      </c>
      <c r="C26" s="205"/>
      <c r="D26" s="206"/>
      <c r="E26" s="58" t="s">
        <v>72</v>
      </c>
      <c r="F26" s="58" t="s">
        <v>73</v>
      </c>
      <c r="G26" s="58" t="s">
        <v>74</v>
      </c>
      <c r="H26" s="58" t="s">
        <v>75</v>
      </c>
      <c r="I26" s="65" t="s">
        <v>76</v>
      </c>
    </row>
    <row r="27" spans="1:9" ht="14.25">
      <c r="A27" s="58" t="s">
        <v>101</v>
      </c>
      <c r="B27" s="153" t="s">
        <v>102</v>
      </c>
      <c r="C27" s="154"/>
      <c r="D27" s="155"/>
      <c r="E27" s="58" t="s">
        <v>97</v>
      </c>
      <c r="F27" s="77">
        <v>0.1045</v>
      </c>
      <c r="G27" s="58"/>
      <c r="H27" s="78"/>
      <c r="I27" s="79"/>
    </row>
    <row r="28" spans="1:9" ht="14.25">
      <c r="A28" s="58" t="s">
        <v>103</v>
      </c>
      <c r="B28" s="153" t="s">
        <v>104</v>
      </c>
      <c r="C28" s="154"/>
      <c r="D28" s="155"/>
      <c r="E28" s="58" t="s">
        <v>105</v>
      </c>
      <c r="F28" s="80">
        <v>5</v>
      </c>
      <c r="G28" s="58"/>
      <c r="H28" s="78"/>
      <c r="I28" s="81"/>
    </row>
    <row r="29" spans="1:9" ht="14.25">
      <c r="A29" s="58" t="s">
        <v>106</v>
      </c>
      <c r="B29" s="204" t="s">
        <v>107</v>
      </c>
      <c r="C29" s="205"/>
      <c r="D29" s="206"/>
      <c r="E29" s="58" t="s">
        <v>97</v>
      </c>
      <c r="F29" s="58">
        <f>F27/12</f>
        <v>8.7083333333333336E-3</v>
      </c>
      <c r="G29" s="82"/>
      <c r="H29" s="83"/>
      <c r="I29" s="84"/>
    </row>
    <row r="30" spans="1:9" ht="14.25">
      <c r="A30" s="58" t="s">
        <v>108</v>
      </c>
      <c r="B30" s="204" t="s">
        <v>109</v>
      </c>
      <c r="C30" s="205"/>
      <c r="D30" s="206"/>
      <c r="E30" s="58" t="s">
        <v>79</v>
      </c>
      <c r="F30" s="58">
        <v>1</v>
      </c>
      <c r="G30" s="85">
        <f>(F29*H21)</f>
        <v>1479.5458333333333</v>
      </c>
      <c r="H30" s="65">
        <f>G30</f>
        <v>1479.5458333333333</v>
      </c>
      <c r="I30" s="65">
        <f>H30</f>
        <v>1479.5458333333333</v>
      </c>
    </row>
    <row r="31" spans="1:9" ht="14.25">
      <c r="A31" s="58" t="s">
        <v>110</v>
      </c>
      <c r="B31" s="204" t="s">
        <v>111</v>
      </c>
      <c r="C31" s="205"/>
      <c r="D31" s="206"/>
      <c r="E31" s="58" t="s">
        <v>72</v>
      </c>
      <c r="F31" s="58" t="s">
        <v>73</v>
      </c>
      <c r="G31" s="58" t="s">
        <v>74</v>
      </c>
      <c r="H31" s="58" t="s">
        <v>75</v>
      </c>
      <c r="I31" s="65" t="s">
        <v>76</v>
      </c>
    </row>
    <row r="32" spans="1:9" ht="14.25">
      <c r="A32" s="58" t="s">
        <v>112</v>
      </c>
      <c r="B32" s="204" t="s">
        <v>113</v>
      </c>
      <c r="C32" s="205"/>
      <c r="D32" s="206"/>
      <c r="E32" s="58" t="s">
        <v>72</v>
      </c>
      <c r="F32" s="58">
        <v>1</v>
      </c>
      <c r="G32" s="86">
        <f>H21*1%</f>
        <v>1699</v>
      </c>
      <c r="H32" s="86">
        <f>G32/12</f>
        <v>141.58333333333334</v>
      </c>
      <c r="I32" s="79"/>
    </row>
    <row r="33" spans="1:9" ht="14.25">
      <c r="A33" s="58" t="s">
        <v>114</v>
      </c>
      <c r="B33" s="153" t="s">
        <v>115</v>
      </c>
      <c r="C33" s="154"/>
      <c r="D33" s="155"/>
      <c r="E33" s="58" t="s">
        <v>72</v>
      </c>
      <c r="F33" s="58">
        <v>1</v>
      </c>
      <c r="G33" s="86">
        <v>233.05</v>
      </c>
      <c r="H33" s="86">
        <f t="shared" ref="H33:H38" si="0">G33/12</f>
        <v>19.420833333333334</v>
      </c>
      <c r="I33" s="81"/>
    </row>
    <row r="34" spans="1:9" ht="14.25">
      <c r="A34" s="58" t="s">
        <v>114</v>
      </c>
      <c r="B34" s="204" t="s">
        <v>116</v>
      </c>
      <c r="C34" s="205"/>
      <c r="D34" s="206"/>
      <c r="E34" s="58" t="s">
        <v>72</v>
      </c>
      <c r="F34" s="58">
        <v>1</v>
      </c>
      <c r="G34" s="86">
        <v>193.72</v>
      </c>
      <c r="H34" s="86">
        <f t="shared" si="0"/>
        <v>16.143333333333334</v>
      </c>
      <c r="I34" s="84"/>
    </row>
    <row r="35" spans="1:9" ht="14.25">
      <c r="A35" s="58" t="s">
        <v>117</v>
      </c>
      <c r="B35" s="153" t="s">
        <v>118</v>
      </c>
      <c r="C35" s="154"/>
      <c r="D35" s="155"/>
      <c r="E35" s="58" t="s">
        <v>72</v>
      </c>
      <c r="F35" s="58">
        <v>2</v>
      </c>
      <c r="G35" s="86">
        <v>181.52</v>
      </c>
      <c r="H35" s="86">
        <f t="shared" si="0"/>
        <v>15.126666666666667</v>
      </c>
      <c r="I35" s="84"/>
    </row>
    <row r="36" spans="1:9" ht="14.25">
      <c r="A36" s="58" t="s">
        <v>117</v>
      </c>
      <c r="B36" s="153" t="s">
        <v>119</v>
      </c>
      <c r="C36" s="154"/>
      <c r="D36" s="155"/>
      <c r="E36" s="58" t="s">
        <v>120</v>
      </c>
      <c r="F36" s="58">
        <v>1</v>
      </c>
      <c r="G36" s="86">
        <f>G21*5%</f>
        <v>8495</v>
      </c>
      <c r="H36" s="86">
        <f t="shared" si="0"/>
        <v>707.91666666666663</v>
      </c>
      <c r="I36" s="84"/>
    </row>
    <row r="37" spans="1:9" ht="14.25">
      <c r="A37" s="58" t="s">
        <v>121</v>
      </c>
      <c r="B37" s="204" t="s">
        <v>122</v>
      </c>
      <c r="C37" s="205"/>
      <c r="D37" s="206"/>
      <c r="E37" s="58" t="s">
        <v>120</v>
      </c>
      <c r="F37" s="58">
        <v>1</v>
      </c>
      <c r="G37" s="59">
        <f>SUM(G32:G36)</f>
        <v>10802.29</v>
      </c>
      <c r="H37" s="86">
        <f>SUM(H32:H36)</f>
        <v>900.19083333333333</v>
      </c>
      <c r="I37" s="65">
        <f>H37</f>
        <v>900.19083333333333</v>
      </c>
    </row>
    <row r="38" spans="1:9" ht="14.25">
      <c r="A38" s="78" t="s">
        <v>123</v>
      </c>
      <c r="B38" s="153" t="s">
        <v>124</v>
      </c>
      <c r="C38" s="154"/>
      <c r="D38" s="154"/>
      <c r="E38" s="58" t="s">
        <v>120</v>
      </c>
      <c r="F38" s="58">
        <v>1</v>
      </c>
      <c r="G38" s="59">
        <v>840</v>
      </c>
      <c r="H38" s="86">
        <f t="shared" si="0"/>
        <v>70</v>
      </c>
      <c r="I38" s="65">
        <f>H38</f>
        <v>70</v>
      </c>
    </row>
    <row r="39" spans="1:9" ht="15">
      <c r="A39" s="87" t="s">
        <v>125</v>
      </c>
      <c r="B39" s="215" t="s">
        <v>126</v>
      </c>
      <c r="C39" s="216"/>
      <c r="D39" s="216"/>
      <c r="E39" s="216"/>
      <c r="F39" s="216"/>
      <c r="G39" s="216"/>
      <c r="H39" s="217"/>
      <c r="I39" s="88">
        <f>I16+I17+I18+I19+I25+I30+I37+I38</f>
        <v>9114.2770446666673</v>
      </c>
    </row>
    <row r="40" spans="1:9" ht="15">
      <c r="A40" s="89"/>
      <c r="B40" s="90"/>
      <c r="C40" s="90"/>
      <c r="D40" s="90"/>
      <c r="E40" s="90"/>
      <c r="F40" s="90"/>
      <c r="G40" s="90"/>
      <c r="H40" s="90"/>
      <c r="I40" s="91"/>
    </row>
    <row r="41" spans="1:9" ht="15">
      <c r="A41" s="218" t="s">
        <v>127</v>
      </c>
      <c r="B41" s="219"/>
      <c r="C41" s="219"/>
      <c r="D41" s="219"/>
      <c r="E41" s="92"/>
      <c r="F41" s="92"/>
      <c r="G41" s="92"/>
      <c r="H41" s="92"/>
      <c r="I41" s="93"/>
    </row>
    <row r="42" spans="1:9" ht="15">
      <c r="A42" s="94" t="s">
        <v>40</v>
      </c>
      <c r="B42" s="220" t="s">
        <v>128</v>
      </c>
      <c r="C42" s="220"/>
      <c r="D42" s="220"/>
      <c r="E42" s="94" t="s">
        <v>72</v>
      </c>
      <c r="F42" s="94" t="s">
        <v>73</v>
      </c>
      <c r="G42" s="94" t="s">
        <v>74</v>
      </c>
      <c r="H42" s="94" t="s">
        <v>75</v>
      </c>
      <c r="I42" s="95" t="s">
        <v>76</v>
      </c>
    </row>
    <row r="43" spans="1:9" ht="15">
      <c r="A43" s="94" t="s">
        <v>129</v>
      </c>
      <c r="B43" s="215" t="s">
        <v>28</v>
      </c>
      <c r="C43" s="216"/>
      <c r="D43" s="217"/>
      <c r="E43" s="94" t="s">
        <v>97</v>
      </c>
      <c r="F43" s="96">
        <v>0.26119999999999999</v>
      </c>
      <c r="G43" s="97">
        <f>I39</f>
        <v>9114.2770446666673</v>
      </c>
      <c r="H43" s="98">
        <f>G43*F43</f>
        <v>2380.6491640669333</v>
      </c>
      <c r="I43" s="99">
        <f>H43</f>
        <v>2380.6491640669333</v>
      </c>
    </row>
    <row r="44" spans="1:9" ht="15">
      <c r="A44" s="89"/>
      <c r="B44" s="90"/>
      <c r="C44" s="90"/>
      <c r="D44" s="90"/>
      <c r="E44" s="89"/>
      <c r="F44" s="100"/>
      <c r="G44" s="101"/>
      <c r="H44" s="102"/>
      <c r="I44" s="103"/>
    </row>
    <row r="45" spans="1:9" ht="15">
      <c r="A45" s="221" t="s">
        <v>130</v>
      </c>
      <c r="B45" s="222"/>
      <c r="C45" s="222"/>
      <c r="D45" s="222"/>
      <c r="E45" s="222"/>
      <c r="F45" s="222"/>
      <c r="G45" s="222"/>
      <c r="H45" s="222"/>
      <c r="I45" s="223"/>
    </row>
    <row r="46" spans="1:9" ht="15.75">
      <c r="A46" s="94" t="s">
        <v>44</v>
      </c>
      <c r="B46" s="215" t="s">
        <v>131</v>
      </c>
      <c r="C46" s="216"/>
      <c r="D46" s="216"/>
      <c r="E46" s="216"/>
      <c r="F46" s="216"/>
      <c r="G46" s="216"/>
      <c r="H46" s="217"/>
      <c r="I46" s="104">
        <f>I39+I43</f>
        <v>11494.926208733601</v>
      </c>
    </row>
    <row r="47" spans="1:9" ht="14.25">
      <c r="A47" s="71"/>
      <c r="B47" s="105"/>
      <c r="C47" s="105"/>
      <c r="D47" s="105"/>
      <c r="E47" s="71"/>
      <c r="F47" s="71"/>
      <c r="G47" s="106"/>
      <c r="H47" s="107"/>
      <c r="I47" s="108"/>
    </row>
    <row r="48" spans="1:9" ht="15">
      <c r="A48" s="211" t="s">
        <v>132</v>
      </c>
      <c r="B48" s="211"/>
      <c r="C48" s="211"/>
      <c r="D48" s="211"/>
      <c r="E48" s="211"/>
      <c r="F48" s="211"/>
      <c r="G48" s="211"/>
      <c r="H48" s="211"/>
      <c r="I48" s="211"/>
    </row>
    <row r="49" spans="1:9" ht="14.25">
      <c r="A49" s="58" t="s">
        <v>133</v>
      </c>
      <c r="B49" s="204" t="s">
        <v>134</v>
      </c>
      <c r="C49" s="205"/>
      <c r="D49" s="206"/>
      <c r="E49" s="58" t="s">
        <v>72</v>
      </c>
      <c r="F49" s="58" t="s">
        <v>73</v>
      </c>
      <c r="G49" s="58" t="s">
        <v>74</v>
      </c>
      <c r="H49" s="58" t="s">
        <v>75</v>
      </c>
      <c r="I49" s="109" t="s">
        <v>76</v>
      </c>
    </row>
    <row r="50" spans="1:9" ht="14.25">
      <c r="A50" s="58" t="s">
        <v>135</v>
      </c>
      <c r="B50" s="204" t="s">
        <v>136</v>
      </c>
      <c r="C50" s="205"/>
      <c r="D50" s="206"/>
      <c r="E50" s="58" t="s">
        <v>137</v>
      </c>
      <c r="F50" s="58">
        <v>3</v>
      </c>
      <c r="G50" s="110">
        <v>5.81</v>
      </c>
      <c r="H50" s="65">
        <f>G50/F50</f>
        <v>1.9366666666666665</v>
      </c>
      <c r="I50" s="111"/>
    </row>
    <row r="51" spans="1:9" ht="14.25">
      <c r="A51" s="58" t="s">
        <v>138</v>
      </c>
      <c r="B51" s="204" t="s">
        <v>139</v>
      </c>
      <c r="C51" s="205"/>
      <c r="D51" s="206"/>
      <c r="E51" s="58" t="s">
        <v>140</v>
      </c>
      <c r="F51" s="112">
        <f>E8</f>
        <v>3881.6000000000004</v>
      </c>
      <c r="G51" s="65">
        <f>H50</f>
        <v>1.9366666666666665</v>
      </c>
      <c r="H51" s="60">
        <f>F51*G51</f>
        <v>7517.3653333333332</v>
      </c>
      <c r="I51" s="60">
        <f>H51</f>
        <v>7517.3653333333332</v>
      </c>
    </row>
    <row r="52" spans="1:9" ht="14.25">
      <c r="A52" s="58" t="s">
        <v>141</v>
      </c>
      <c r="B52" s="224" t="s">
        <v>142</v>
      </c>
      <c r="C52" s="224"/>
      <c r="D52" s="224"/>
      <c r="E52" s="58" t="s">
        <v>72</v>
      </c>
      <c r="F52" s="58" t="s">
        <v>73</v>
      </c>
      <c r="G52" s="58" t="s">
        <v>74</v>
      </c>
      <c r="H52" s="58" t="s">
        <v>75</v>
      </c>
      <c r="I52" s="109" t="s">
        <v>76</v>
      </c>
    </row>
    <row r="53" spans="1:9" ht="14.25">
      <c r="A53" s="58" t="s">
        <v>143</v>
      </c>
      <c r="B53" s="224" t="s">
        <v>144</v>
      </c>
      <c r="C53" s="224"/>
      <c r="D53" s="224"/>
      <c r="E53" s="58" t="s">
        <v>145</v>
      </c>
      <c r="F53" s="113">
        <v>1</v>
      </c>
      <c r="G53" s="65">
        <v>88.27</v>
      </c>
      <c r="H53" s="60"/>
      <c r="I53" s="65"/>
    </row>
    <row r="54" spans="1:9" ht="14.25">
      <c r="A54" s="58" t="s">
        <v>146</v>
      </c>
      <c r="B54" s="224" t="s">
        <v>147</v>
      </c>
      <c r="C54" s="224"/>
      <c r="D54" s="224"/>
      <c r="E54" s="58" t="s">
        <v>13</v>
      </c>
      <c r="F54" s="113">
        <v>10000</v>
      </c>
      <c r="G54" s="65"/>
      <c r="H54" s="60"/>
      <c r="I54" s="65"/>
    </row>
    <row r="55" spans="1:9" ht="14.25">
      <c r="A55" s="58" t="s">
        <v>148</v>
      </c>
      <c r="B55" s="224" t="s">
        <v>149</v>
      </c>
      <c r="C55" s="224"/>
      <c r="D55" s="224"/>
      <c r="E55" s="58" t="s">
        <v>145</v>
      </c>
      <c r="F55" s="114">
        <v>20.5</v>
      </c>
      <c r="G55" s="65"/>
      <c r="H55" s="60"/>
      <c r="I55" s="65"/>
    </row>
    <row r="56" spans="1:9" ht="14.25">
      <c r="A56" s="58" t="s">
        <v>150</v>
      </c>
      <c r="B56" s="224" t="s">
        <v>151</v>
      </c>
      <c r="C56" s="224"/>
      <c r="D56" s="224"/>
      <c r="E56" s="58" t="s">
        <v>152</v>
      </c>
      <c r="F56" s="113">
        <v>1</v>
      </c>
      <c r="G56" s="110">
        <f>F55*G53/F54</f>
        <v>0.18095349999999999</v>
      </c>
      <c r="H56" s="60"/>
      <c r="I56" s="65"/>
    </row>
    <row r="57" spans="1:9" ht="14.25">
      <c r="A57" s="58" t="s">
        <v>153</v>
      </c>
      <c r="B57" s="224" t="s">
        <v>154</v>
      </c>
      <c r="C57" s="224"/>
      <c r="D57" s="224"/>
      <c r="E57" s="58" t="s">
        <v>79</v>
      </c>
      <c r="F57" s="112">
        <f>F51</f>
        <v>3881.6000000000004</v>
      </c>
      <c r="G57" s="110">
        <f>G56</f>
        <v>0.18095349999999999</v>
      </c>
      <c r="H57" s="60">
        <f>F57*G57</f>
        <v>702.38910559999999</v>
      </c>
      <c r="I57" s="65">
        <f>H57</f>
        <v>702.38910559999999</v>
      </c>
    </row>
    <row r="58" spans="1:9" ht="14.25">
      <c r="A58" s="58" t="s">
        <v>155</v>
      </c>
      <c r="B58" s="204" t="s">
        <v>156</v>
      </c>
      <c r="C58" s="205"/>
      <c r="D58" s="206"/>
      <c r="E58" s="58" t="s">
        <v>72</v>
      </c>
      <c r="F58" s="58" t="s">
        <v>73</v>
      </c>
      <c r="G58" s="58" t="s">
        <v>74</v>
      </c>
      <c r="H58" s="58" t="s">
        <v>75</v>
      </c>
      <c r="I58" s="109" t="s">
        <v>76</v>
      </c>
    </row>
    <row r="59" spans="1:9" ht="14.25">
      <c r="A59" s="58" t="s">
        <v>157</v>
      </c>
      <c r="B59" s="204" t="s">
        <v>158</v>
      </c>
      <c r="C59" s="205"/>
      <c r="D59" s="206"/>
      <c r="E59" s="58" t="s">
        <v>159</v>
      </c>
      <c r="F59" s="60">
        <v>6</v>
      </c>
      <c r="G59" s="60">
        <v>3260.44</v>
      </c>
      <c r="H59" s="60">
        <f>F59*G59</f>
        <v>19562.64</v>
      </c>
      <c r="I59" s="115"/>
    </row>
    <row r="60" spans="1:9" ht="14.25">
      <c r="A60" s="58" t="s">
        <v>160</v>
      </c>
      <c r="B60" s="204" t="s">
        <v>161</v>
      </c>
      <c r="C60" s="205"/>
      <c r="D60" s="206"/>
      <c r="E60" s="58" t="s">
        <v>162</v>
      </c>
      <c r="F60" s="116">
        <v>60000</v>
      </c>
      <c r="G60" s="60">
        <f>H59</f>
        <v>19562.64</v>
      </c>
      <c r="H60" s="60">
        <f>G60/F60</f>
        <v>0.326044</v>
      </c>
      <c r="I60" s="115"/>
    </row>
    <row r="61" spans="1:9" ht="14.25">
      <c r="A61" s="58" t="s">
        <v>163</v>
      </c>
      <c r="B61" s="204" t="s">
        <v>164</v>
      </c>
      <c r="C61" s="205"/>
      <c r="D61" s="206"/>
      <c r="E61" s="58" t="s">
        <v>165</v>
      </c>
      <c r="F61" s="60">
        <f>F51</f>
        <v>3881.6000000000004</v>
      </c>
      <c r="G61" s="60">
        <f>H60</f>
        <v>0.326044</v>
      </c>
      <c r="H61" s="60">
        <f>F61*G61</f>
        <v>1265.5723904000001</v>
      </c>
      <c r="I61" s="60">
        <f>H61</f>
        <v>1265.5723904000001</v>
      </c>
    </row>
    <row r="62" spans="1:9" ht="14.25">
      <c r="A62" s="58" t="s">
        <v>166</v>
      </c>
      <c r="B62" s="204" t="s">
        <v>167</v>
      </c>
      <c r="C62" s="205"/>
      <c r="D62" s="206"/>
      <c r="E62" s="58" t="s">
        <v>72</v>
      </c>
      <c r="F62" s="58" t="s">
        <v>73</v>
      </c>
      <c r="G62" s="58" t="s">
        <v>74</v>
      </c>
      <c r="H62" s="58" t="s">
        <v>75</v>
      </c>
      <c r="I62" s="109" t="s">
        <v>76</v>
      </c>
    </row>
    <row r="63" spans="1:9" ht="14.25">
      <c r="A63" s="58" t="s">
        <v>168</v>
      </c>
      <c r="B63" s="204" t="s">
        <v>169</v>
      </c>
      <c r="C63" s="205"/>
      <c r="D63" s="206"/>
      <c r="E63" s="58" t="s">
        <v>13</v>
      </c>
      <c r="F63" s="117">
        <v>0.01</v>
      </c>
      <c r="G63" s="60">
        <f>(H21)*F63/2500</f>
        <v>0.67959999999999998</v>
      </c>
      <c r="H63" s="60">
        <f>G63</f>
        <v>0.67959999999999998</v>
      </c>
      <c r="I63" s="111"/>
    </row>
    <row r="64" spans="1:9" ht="14.25">
      <c r="A64" s="58" t="s">
        <v>170</v>
      </c>
      <c r="B64" s="204" t="s">
        <v>171</v>
      </c>
      <c r="C64" s="205"/>
      <c r="D64" s="206"/>
      <c r="E64" s="58" t="s">
        <v>120</v>
      </c>
      <c r="F64" s="60">
        <f>F51</f>
        <v>3881.6000000000004</v>
      </c>
      <c r="G64" s="60">
        <f>H63</f>
        <v>0.67959999999999998</v>
      </c>
      <c r="H64" s="60">
        <f>F64*G64</f>
        <v>2637.9353600000004</v>
      </c>
      <c r="I64" s="65">
        <f>H64</f>
        <v>2637.9353600000004</v>
      </c>
    </row>
    <row r="65" spans="1:9" ht="14.25">
      <c r="A65" s="118" t="s">
        <v>172</v>
      </c>
      <c r="B65" s="225" t="s">
        <v>173</v>
      </c>
      <c r="C65" s="226"/>
      <c r="D65" s="227"/>
      <c r="E65" s="58" t="s">
        <v>72</v>
      </c>
      <c r="F65" s="58" t="s">
        <v>73</v>
      </c>
      <c r="G65" s="58" t="s">
        <v>74</v>
      </c>
      <c r="H65" s="58" t="s">
        <v>75</v>
      </c>
      <c r="I65" s="109" t="s">
        <v>76</v>
      </c>
    </row>
    <row r="66" spans="1:9" ht="14.25">
      <c r="A66" s="118" t="s">
        <v>174</v>
      </c>
      <c r="B66" s="225" t="s">
        <v>175</v>
      </c>
      <c r="C66" s="226"/>
      <c r="D66" s="227"/>
      <c r="E66" s="118" t="s">
        <v>89</v>
      </c>
      <c r="F66" s="119">
        <v>1</v>
      </c>
      <c r="G66" s="120">
        <v>200</v>
      </c>
      <c r="H66" s="118">
        <f>G66/500</f>
        <v>0.4</v>
      </c>
      <c r="I66" s="118"/>
    </row>
    <row r="67" spans="1:9" ht="14.25">
      <c r="A67" s="118" t="s">
        <v>176</v>
      </c>
      <c r="B67" s="225" t="s">
        <v>177</v>
      </c>
      <c r="C67" s="226"/>
      <c r="D67" s="227"/>
      <c r="E67" s="119" t="s">
        <v>13</v>
      </c>
      <c r="F67" s="120">
        <f>F51</f>
        <v>3881.6000000000004</v>
      </c>
      <c r="G67" s="118">
        <f>H66</f>
        <v>0.4</v>
      </c>
      <c r="H67" s="121">
        <f>F67*G67</f>
        <v>1552.6400000000003</v>
      </c>
      <c r="I67" s="121">
        <f>H67</f>
        <v>1552.6400000000003</v>
      </c>
    </row>
    <row r="68" spans="1:9" ht="15">
      <c r="A68" s="87" t="s">
        <v>178</v>
      </c>
      <c r="B68" s="215" t="s">
        <v>179</v>
      </c>
      <c r="C68" s="216"/>
      <c r="D68" s="216"/>
      <c r="E68" s="216"/>
      <c r="F68" s="216"/>
      <c r="G68" s="216"/>
      <c r="H68" s="217"/>
      <c r="I68" s="88">
        <f>I51+I57+I61+I64+I67</f>
        <v>13675.902189333334</v>
      </c>
    </row>
    <row r="69" spans="1:9" ht="15">
      <c r="A69" s="94" t="s">
        <v>180</v>
      </c>
      <c r="B69" s="152" t="s">
        <v>181</v>
      </c>
      <c r="C69" s="152"/>
      <c r="D69" s="152"/>
      <c r="E69" s="58" t="s">
        <v>72</v>
      </c>
      <c r="F69" s="58" t="s">
        <v>73</v>
      </c>
      <c r="G69" s="58" t="s">
        <v>74</v>
      </c>
      <c r="H69" s="58" t="s">
        <v>75</v>
      </c>
      <c r="I69" s="65" t="s">
        <v>76</v>
      </c>
    </row>
    <row r="70" spans="1:9" ht="15">
      <c r="A70" s="58" t="s">
        <v>182</v>
      </c>
      <c r="B70" s="224" t="s">
        <v>183</v>
      </c>
      <c r="C70" s="224"/>
      <c r="D70" s="224"/>
      <c r="E70" s="58" t="s">
        <v>152</v>
      </c>
      <c r="F70" s="52">
        <f>E11</f>
        <v>3881.6000000000004</v>
      </c>
      <c r="G70" s="60">
        <f>I68</f>
        <v>13675.902189333334</v>
      </c>
      <c r="H70" s="65">
        <f>G70/F70</f>
        <v>3.5232641666666664</v>
      </c>
      <c r="I70" s="95">
        <f>H70</f>
        <v>3.5232641666666664</v>
      </c>
    </row>
    <row r="71" spans="1:9" ht="15">
      <c r="A71" s="211" t="s">
        <v>184</v>
      </c>
      <c r="B71" s="211"/>
      <c r="C71" s="211"/>
      <c r="D71" s="211"/>
      <c r="E71" s="211"/>
      <c r="F71" s="211"/>
      <c r="G71" s="211"/>
      <c r="H71" s="211"/>
      <c r="I71" s="211"/>
    </row>
    <row r="72" spans="1:9" ht="14.25">
      <c r="A72" s="58" t="s">
        <v>185</v>
      </c>
      <c r="B72" s="204" t="s">
        <v>134</v>
      </c>
      <c r="C72" s="205"/>
      <c r="D72" s="206"/>
      <c r="E72" s="58" t="s">
        <v>72</v>
      </c>
      <c r="F72" s="58" t="s">
        <v>73</v>
      </c>
      <c r="G72" s="58" t="s">
        <v>74</v>
      </c>
      <c r="H72" s="58" t="s">
        <v>75</v>
      </c>
      <c r="I72" s="109" t="s">
        <v>76</v>
      </c>
    </row>
    <row r="73" spans="1:9" ht="14.25">
      <c r="A73" s="58" t="s">
        <v>186</v>
      </c>
      <c r="B73" s="204" t="s">
        <v>136</v>
      </c>
      <c r="C73" s="205"/>
      <c r="D73" s="206"/>
      <c r="E73" s="58" t="s">
        <v>137</v>
      </c>
      <c r="F73" s="58">
        <v>2.5</v>
      </c>
      <c r="G73" s="110">
        <v>5.81</v>
      </c>
      <c r="H73" s="65">
        <f>G73/F73</f>
        <v>2.3239999999999998</v>
      </c>
      <c r="I73" s="111"/>
    </row>
    <row r="74" spans="1:9" ht="14.25">
      <c r="A74" s="58" t="s">
        <v>187</v>
      </c>
      <c r="B74" s="204" t="s">
        <v>139</v>
      </c>
      <c r="C74" s="205"/>
      <c r="D74" s="206"/>
      <c r="E74" s="58" t="s">
        <v>140</v>
      </c>
      <c r="F74" s="112">
        <f>E10</f>
        <v>0</v>
      </c>
      <c r="G74" s="65">
        <f>H73</f>
        <v>2.3239999999999998</v>
      </c>
      <c r="H74" s="60">
        <f>F74*G74</f>
        <v>0</v>
      </c>
      <c r="I74" s="60">
        <f>H74</f>
        <v>0</v>
      </c>
    </row>
    <row r="75" spans="1:9" ht="14.25">
      <c r="A75" s="58" t="s">
        <v>188</v>
      </c>
      <c r="B75" s="224" t="s">
        <v>142</v>
      </c>
      <c r="C75" s="224"/>
      <c r="D75" s="224"/>
      <c r="E75" s="58" t="s">
        <v>72</v>
      </c>
      <c r="F75" s="58" t="s">
        <v>73</v>
      </c>
      <c r="G75" s="58" t="s">
        <v>74</v>
      </c>
      <c r="H75" s="58" t="s">
        <v>75</v>
      </c>
      <c r="I75" s="109" t="s">
        <v>76</v>
      </c>
    </row>
    <row r="76" spans="1:9" ht="14.25">
      <c r="A76" s="58" t="s">
        <v>189</v>
      </c>
      <c r="B76" s="224" t="s">
        <v>144</v>
      </c>
      <c r="C76" s="224"/>
      <c r="D76" s="224"/>
      <c r="E76" s="58" t="s">
        <v>145</v>
      </c>
      <c r="F76" s="113">
        <v>1</v>
      </c>
      <c r="G76" s="65">
        <v>88.27</v>
      </c>
      <c r="H76" s="60"/>
      <c r="I76" s="65"/>
    </row>
    <row r="77" spans="1:9" ht="14.25">
      <c r="A77" s="58" t="s">
        <v>190</v>
      </c>
      <c r="B77" s="224" t="s">
        <v>147</v>
      </c>
      <c r="C77" s="224"/>
      <c r="D77" s="224"/>
      <c r="E77" s="58" t="s">
        <v>13</v>
      </c>
      <c r="F77" s="113">
        <v>7000</v>
      </c>
      <c r="G77" s="65"/>
      <c r="H77" s="60"/>
      <c r="I77" s="65"/>
    </row>
    <row r="78" spans="1:9" ht="14.25">
      <c r="A78" s="58" t="s">
        <v>191</v>
      </c>
      <c r="B78" s="224" t="s">
        <v>149</v>
      </c>
      <c r="C78" s="224"/>
      <c r="D78" s="224"/>
      <c r="E78" s="58" t="s">
        <v>145</v>
      </c>
      <c r="F78" s="114">
        <v>20.5</v>
      </c>
      <c r="G78" s="65"/>
      <c r="H78" s="60"/>
      <c r="I78" s="65"/>
    </row>
    <row r="79" spans="1:9" ht="14.25">
      <c r="A79" s="58" t="s">
        <v>192</v>
      </c>
      <c r="B79" s="224" t="s">
        <v>151</v>
      </c>
      <c r="C79" s="224"/>
      <c r="D79" s="224"/>
      <c r="E79" s="58" t="s">
        <v>152</v>
      </c>
      <c r="F79" s="113">
        <v>1</v>
      </c>
      <c r="G79" s="110">
        <f>F78*G76/F77</f>
        <v>0.25850499999999998</v>
      </c>
      <c r="H79" s="60"/>
      <c r="I79" s="65"/>
    </row>
    <row r="80" spans="1:9" ht="14.25">
      <c r="A80" s="58" t="s">
        <v>193</v>
      </c>
      <c r="B80" s="224" t="s">
        <v>154</v>
      </c>
      <c r="C80" s="224"/>
      <c r="D80" s="224"/>
      <c r="E80" s="58" t="s">
        <v>79</v>
      </c>
      <c r="F80" s="112">
        <f>F74</f>
        <v>0</v>
      </c>
      <c r="G80" s="110">
        <f>G79</f>
        <v>0.25850499999999998</v>
      </c>
      <c r="H80" s="60">
        <f>F80*G80</f>
        <v>0</v>
      </c>
      <c r="I80" s="65">
        <f>H80</f>
        <v>0</v>
      </c>
    </row>
    <row r="81" spans="1:9" ht="14.25">
      <c r="A81" s="58" t="s">
        <v>194</v>
      </c>
      <c r="B81" s="204" t="s">
        <v>156</v>
      </c>
      <c r="C81" s="205"/>
      <c r="D81" s="206"/>
      <c r="E81" s="58" t="s">
        <v>72</v>
      </c>
      <c r="F81" s="58" t="s">
        <v>73</v>
      </c>
      <c r="G81" s="58" t="s">
        <v>74</v>
      </c>
      <c r="H81" s="58" t="s">
        <v>75</v>
      </c>
      <c r="I81" s="109" t="s">
        <v>76</v>
      </c>
    </row>
    <row r="82" spans="1:9" ht="14.25">
      <c r="A82" s="58" t="s">
        <v>195</v>
      </c>
      <c r="B82" s="204" t="s">
        <v>158</v>
      </c>
      <c r="C82" s="205"/>
      <c r="D82" s="206"/>
      <c r="E82" s="58" t="s">
        <v>159</v>
      </c>
      <c r="F82" s="60">
        <v>6</v>
      </c>
      <c r="G82" s="60">
        <v>3260.44</v>
      </c>
      <c r="H82" s="60">
        <f>F82*G82</f>
        <v>19562.64</v>
      </c>
      <c r="I82" s="115"/>
    </row>
    <row r="83" spans="1:9" ht="14.25">
      <c r="A83" s="58" t="s">
        <v>196</v>
      </c>
      <c r="B83" s="204" t="s">
        <v>161</v>
      </c>
      <c r="C83" s="205"/>
      <c r="D83" s="206"/>
      <c r="E83" s="58" t="s">
        <v>162</v>
      </c>
      <c r="F83" s="116">
        <v>45000</v>
      </c>
      <c r="G83" s="60">
        <f>H82</f>
        <v>19562.64</v>
      </c>
      <c r="H83" s="60">
        <f>G83/F83</f>
        <v>0.4347253333333333</v>
      </c>
      <c r="I83" s="115"/>
    </row>
    <row r="84" spans="1:9" ht="14.25">
      <c r="A84" s="58" t="s">
        <v>197</v>
      </c>
      <c r="B84" s="204" t="s">
        <v>164</v>
      </c>
      <c r="C84" s="205"/>
      <c r="D84" s="206"/>
      <c r="E84" s="58" t="s">
        <v>165</v>
      </c>
      <c r="F84" s="60">
        <f>F74</f>
        <v>0</v>
      </c>
      <c r="G84" s="60">
        <f>H83</f>
        <v>0.4347253333333333</v>
      </c>
      <c r="H84" s="60">
        <f>F84*G84</f>
        <v>0</v>
      </c>
      <c r="I84" s="60">
        <f>H84</f>
        <v>0</v>
      </c>
    </row>
    <row r="85" spans="1:9" ht="14.25">
      <c r="A85" s="58" t="s">
        <v>198</v>
      </c>
      <c r="B85" s="204" t="s">
        <v>167</v>
      </c>
      <c r="C85" s="205"/>
      <c r="D85" s="206"/>
      <c r="E85" s="58" t="s">
        <v>72</v>
      </c>
      <c r="F85" s="58" t="s">
        <v>73</v>
      </c>
      <c r="G85" s="58" t="s">
        <v>74</v>
      </c>
      <c r="H85" s="58" t="s">
        <v>75</v>
      </c>
      <c r="I85" s="109" t="s">
        <v>76</v>
      </c>
    </row>
    <row r="86" spans="1:9" ht="14.25">
      <c r="A86" s="58" t="s">
        <v>199</v>
      </c>
      <c r="B86" s="204" t="s">
        <v>169</v>
      </c>
      <c r="C86" s="205"/>
      <c r="D86" s="206"/>
      <c r="E86" s="58" t="s">
        <v>13</v>
      </c>
      <c r="F86" s="117">
        <v>0.02</v>
      </c>
      <c r="G86" s="60">
        <f>(H21)*F86/2500</f>
        <v>1.3592</v>
      </c>
      <c r="H86" s="60">
        <f>G86</f>
        <v>1.3592</v>
      </c>
      <c r="I86" s="111"/>
    </row>
    <row r="87" spans="1:9" ht="14.25">
      <c r="A87" s="58" t="s">
        <v>200</v>
      </c>
      <c r="B87" s="204" t="s">
        <v>171</v>
      </c>
      <c r="C87" s="205"/>
      <c r="D87" s="206"/>
      <c r="E87" s="58" t="s">
        <v>120</v>
      </c>
      <c r="F87" s="60">
        <f>F74</f>
        <v>0</v>
      </c>
      <c r="G87" s="60">
        <f>H86</f>
        <v>1.3592</v>
      </c>
      <c r="H87" s="60">
        <f>F87*G87</f>
        <v>0</v>
      </c>
      <c r="I87" s="65">
        <f>H87</f>
        <v>0</v>
      </c>
    </row>
    <row r="88" spans="1:9" ht="14.25">
      <c r="A88" s="118" t="s">
        <v>201</v>
      </c>
      <c r="B88" s="225" t="s">
        <v>173</v>
      </c>
      <c r="C88" s="226"/>
      <c r="D88" s="227"/>
      <c r="E88" s="58" t="s">
        <v>72</v>
      </c>
      <c r="F88" s="58" t="s">
        <v>73</v>
      </c>
      <c r="G88" s="58" t="s">
        <v>74</v>
      </c>
      <c r="H88" s="58" t="s">
        <v>75</v>
      </c>
      <c r="I88" s="109" t="s">
        <v>76</v>
      </c>
    </row>
    <row r="89" spans="1:9" ht="14.25">
      <c r="A89" s="118" t="s">
        <v>202</v>
      </c>
      <c r="B89" s="225" t="s">
        <v>175</v>
      </c>
      <c r="C89" s="226"/>
      <c r="D89" s="227"/>
      <c r="E89" s="118" t="s">
        <v>89</v>
      </c>
      <c r="F89" s="119">
        <v>1</v>
      </c>
      <c r="G89" s="120">
        <v>200</v>
      </c>
      <c r="H89" s="118">
        <f>G89/250</f>
        <v>0.8</v>
      </c>
      <c r="I89" s="118"/>
    </row>
    <row r="90" spans="1:9" ht="14.25">
      <c r="A90" s="118" t="s">
        <v>203</v>
      </c>
      <c r="B90" s="225" t="s">
        <v>177</v>
      </c>
      <c r="C90" s="226"/>
      <c r="D90" s="227"/>
      <c r="E90" s="119" t="s">
        <v>13</v>
      </c>
      <c r="F90" s="120">
        <f>F74</f>
        <v>0</v>
      </c>
      <c r="G90" s="118">
        <f>H89</f>
        <v>0.8</v>
      </c>
      <c r="H90" s="121">
        <f>F90*G90</f>
        <v>0</v>
      </c>
      <c r="I90" s="121">
        <f>H90</f>
        <v>0</v>
      </c>
    </row>
    <row r="91" spans="1:9" ht="15">
      <c r="A91" s="87" t="s">
        <v>204</v>
      </c>
      <c r="B91" s="215" t="s">
        <v>205</v>
      </c>
      <c r="C91" s="216"/>
      <c r="D91" s="216"/>
      <c r="E91" s="216"/>
      <c r="F91" s="216"/>
      <c r="G91" s="216"/>
      <c r="H91" s="217"/>
      <c r="I91" s="88">
        <f>I74+I80+I84+I87+I90</f>
        <v>0</v>
      </c>
    </row>
    <row r="92" spans="1:9" ht="15">
      <c r="A92" s="94" t="s">
        <v>206</v>
      </c>
      <c r="B92" s="152" t="s">
        <v>207</v>
      </c>
      <c r="C92" s="152"/>
      <c r="D92" s="152"/>
      <c r="E92" s="58" t="s">
        <v>72</v>
      </c>
      <c r="F92" s="58" t="s">
        <v>73</v>
      </c>
      <c r="G92" s="58" t="s">
        <v>74</v>
      </c>
      <c r="H92" s="58" t="s">
        <v>75</v>
      </c>
      <c r="I92" s="65" t="s">
        <v>76</v>
      </c>
    </row>
    <row r="93" spans="1:9" ht="15">
      <c r="A93" s="58" t="s">
        <v>208</v>
      </c>
      <c r="B93" s="224" t="s">
        <v>183</v>
      </c>
      <c r="C93" s="224"/>
      <c r="D93" s="224"/>
      <c r="E93" s="58" t="s">
        <v>152</v>
      </c>
      <c r="F93" s="123">
        <f>F70</f>
        <v>3881.6000000000004</v>
      </c>
      <c r="G93" s="60">
        <f>I91</f>
        <v>0</v>
      </c>
      <c r="H93" s="65">
        <f>G93/F93</f>
        <v>0</v>
      </c>
      <c r="I93" s="95">
        <f>H93</f>
        <v>0</v>
      </c>
    </row>
    <row r="94" spans="1:9" ht="15">
      <c r="A94" s="124"/>
      <c r="B94" s="105"/>
      <c r="C94" s="105"/>
      <c r="D94" s="105"/>
      <c r="E94" s="71"/>
      <c r="F94" s="125"/>
      <c r="G94" s="126"/>
      <c r="H94" s="108"/>
      <c r="I94" s="127"/>
    </row>
    <row r="95" spans="1:9" ht="15">
      <c r="A95" s="222" t="s">
        <v>209</v>
      </c>
      <c r="B95" s="222"/>
      <c r="C95" s="222"/>
      <c r="D95" s="222"/>
      <c r="E95" s="222"/>
      <c r="F95" s="222"/>
      <c r="G95" s="222"/>
      <c r="H95" s="222"/>
      <c r="I95" s="111"/>
    </row>
    <row r="96" spans="1:9" ht="30" customHeight="1">
      <c r="A96" s="94" t="s">
        <v>210</v>
      </c>
      <c r="B96" s="228" t="s">
        <v>128</v>
      </c>
      <c r="C96" s="229"/>
      <c r="D96" s="229"/>
      <c r="E96" s="229"/>
      <c r="F96" s="230"/>
      <c r="G96" s="128" t="s">
        <v>211</v>
      </c>
      <c r="H96" s="128" t="s">
        <v>212</v>
      </c>
      <c r="I96" s="95" t="s">
        <v>76</v>
      </c>
    </row>
    <row r="97" spans="1:9" ht="15.75">
      <c r="A97" s="129" t="s">
        <v>213</v>
      </c>
      <c r="B97" s="231" t="s">
        <v>214</v>
      </c>
      <c r="C97" s="232"/>
      <c r="D97" s="232"/>
      <c r="E97" s="232"/>
      <c r="F97" s="233"/>
      <c r="G97" s="130">
        <f>I70</f>
        <v>3.5232641666666664</v>
      </c>
      <c r="H97" s="130">
        <f>I93</f>
        <v>0</v>
      </c>
      <c r="I97" s="130">
        <f>F97+G97+H97</f>
        <v>3.5232641666666664</v>
      </c>
    </row>
    <row r="98" spans="1:9" ht="14.25">
      <c r="A98" s="124"/>
      <c r="B98" s="131"/>
      <c r="C98" s="131"/>
      <c r="D98" s="131"/>
      <c r="E98" s="131"/>
      <c r="F98" s="131"/>
      <c r="G98" s="131"/>
      <c r="H98" s="52"/>
      <c r="I98" s="93"/>
    </row>
    <row r="99" spans="1:9" ht="15">
      <c r="A99" s="218" t="s">
        <v>215</v>
      </c>
      <c r="B99" s="219"/>
      <c r="C99" s="219"/>
      <c r="D99" s="219"/>
      <c r="E99" s="92"/>
      <c r="F99" s="92"/>
      <c r="G99" s="92"/>
      <c r="H99" s="92"/>
      <c r="I99" s="93"/>
    </row>
    <row r="100" spans="1:9" ht="15">
      <c r="A100" s="94" t="s">
        <v>216</v>
      </c>
      <c r="B100" s="220" t="s">
        <v>128</v>
      </c>
      <c r="C100" s="220"/>
      <c r="D100" s="220"/>
      <c r="E100" s="94" t="s">
        <v>72</v>
      </c>
      <c r="F100" s="94" t="s">
        <v>73</v>
      </c>
      <c r="G100" s="94" t="s">
        <v>74</v>
      </c>
      <c r="H100" s="94" t="s">
        <v>75</v>
      </c>
      <c r="I100" s="95" t="s">
        <v>76</v>
      </c>
    </row>
    <row r="101" spans="1:9" ht="15">
      <c r="A101" s="94" t="s">
        <v>217</v>
      </c>
      <c r="B101" s="215" t="s">
        <v>28</v>
      </c>
      <c r="C101" s="216"/>
      <c r="D101" s="217"/>
      <c r="E101" s="94" t="s">
        <v>97</v>
      </c>
      <c r="F101" s="96">
        <v>0.26119999999999999</v>
      </c>
      <c r="G101" s="97">
        <f>G97</f>
        <v>3.5232641666666664</v>
      </c>
      <c r="H101" s="98">
        <f>G101*F101</f>
        <v>0.92027660033333325</v>
      </c>
      <c r="I101" s="99">
        <f>H101</f>
        <v>0.92027660033333325</v>
      </c>
    </row>
    <row r="102" spans="1:9" ht="15">
      <c r="A102" s="124"/>
      <c r="B102" s="131"/>
      <c r="C102" s="92"/>
      <c r="D102" s="92"/>
      <c r="E102" s="92"/>
      <c r="F102" s="92"/>
      <c r="G102" s="92"/>
      <c r="H102" s="92"/>
      <c r="I102" s="132"/>
    </row>
    <row r="103" spans="1:9" ht="15">
      <c r="A103" s="218" t="s">
        <v>218</v>
      </c>
      <c r="B103" s="219"/>
      <c r="C103" s="219"/>
      <c r="D103" s="219"/>
      <c r="E103" s="219"/>
      <c r="F103" s="219"/>
      <c r="G103" s="219"/>
      <c r="H103" s="219"/>
      <c r="I103" s="234"/>
    </row>
    <row r="104" spans="1:9" ht="15.75">
      <c r="A104" s="94" t="s">
        <v>219</v>
      </c>
      <c r="B104" s="215" t="s">
        <v>220</v>
      </c>
      <c r="C104" s="216"/>
      <c r="D104" s="216"/>
      <c r="E104" s="216"/>
      <c r="F104" s="216"/>
      <c r="G104" s="216"/>
      <c r="H104" s="217"/>
      <c r="I104" s="133">
        <f>G97+H101</f>
        <v>4.443540767</v>
      </c>
    </row>
    <row r="107" spans="1:9" ht="15">
      <c r="A107" s="218" t="s">
        <v>221</v>
      </c>
      <c r="B107" s="219"/>
      <c r="C107" s="219"/>
      <c r="D107" s="219"/>
      <c r="E107" s="92"/>
      <c r="F107" s="92"/>
      <c r="G107" s="92"/>
      <c r="H107" s="92"/>
      <c r="I107" s="93"/>
    </row>
    <row r="108" spans="1:9" ht="15">
      <c r="A108" s="94" t="s">
        <v>216</v>
      </c>
      <c r="B108" s="220" t="s">
        <v>128</v>
      </c>
      <c r="C108" s="220"/>
      <c r="D108" s="220"/>
      <c r="E108" s="94" t="s">
        <v>72</v>
      </c>
      <c r="F108" s="94" t="s">
        <v>73</v>
      </c>
      <c r="G108" s="94" t="s">
        <v>74</v>
      </c>
      <c r="H108" s="94" t="s">
        <v>75</v>
      </c>
      <c r="I108" s="95" t="s">
        <v>76</v>
      </c>
    </row>
    <row r="109" spans="1:9" ht="15">
      <c r="A109" s="94" t="s">
        <v>217</v>
      </c>
      <c r="B109" s="215" t="s">
        <v>28</v>
      </c>
      <c r="C109" s="216"/>
      <c r="D109" s="217"/>
      <c r="E109" s="94" t="s">
        <v>97</v>
      </c>
      <c r="F109" s="96">
        <v>0.26119999999999999</v>
      </c>
      <c r="G109" s="97">
        <f>H97</f>
        <v>0</v>
      </c>
      <c r="H109" s="98">
        <f>G109*F109</f>
        <v>0</v>
      </c>
      <c r="I109" s="99">
        <f>H109</f>
        <v>0</v>
      </c>
    </row>
    <row r="110" spans="1:9" ht="15">
      <c r="A110" s="124"/>
      <c r="B110" s="131"/>
      <c r="C110" s="92"/>
      <c r="D110" s="92"/>
      <c r="E110" s="92"/>
      <c r="F110" s="92"/>
      <c r="G110" s="92"/>
      <c r="H110" s="92"/>
      <c r="I110" s="132"/>
    </row>
    <row r="111" spans="1:9" ht="15">
      <c r="A111" s="218" t="s">
        <v>222</v>
      </c>
      <c r="B111" s="219"/>
      <c r="C111" s="219"/>
      <c r="D111" s="219"/>
      <c r="E111" s="219"/>
      <c r="F111" s="219"/>
      <c r="G111" s="219"/>
      <c r="H111" s="219"/>
      <c r="I111" s="234"/>
    </row>
    <row r="112" spans="1:9" ht="15.75">
      <c r="A112" s="94" t="s">
        <v>219</v>
      </c>
      <c r="B112" s="215" t="s">
        <v>220</v>
      </c>
      <c r="C112" s="216"/>
      <c r="D112" s="216"/>
      <c r="E112" s="216"/>
      <c r="F112" s="216"/>
      <c r="G112" s="216"/>
      <c r="H112" s="217"/>
      <c r="I112" s="133">
        <f>H97+I109</f>
        <v>0</v>
      </c>
    </row>
  </sheetData>
  <mergeCells count="81">
    <mergeCell ref="B109:D109"/>
    <mergeCell ref="A111:I111"/>
    <mergeCell ref="B112:H112"/>
    <mergeCell ref="B100:D100"/>
    <mergeCell ref="B101:D101"/>
    <mergeCell ref="A103:I103"/>
    <mergeCell ref="B104:H104"/>
    <mergeCell ref="A107:D107"/>
    <mergeCell ref="B108:D108"/>
    <mergeCell ref="A99:D99"/>
    <mergeCell ref="B85:D85"/>
    <mergeCell ref="B86:D86"/>
    <mergeCell ref="B87:D87"/>
    <mergeCell ref="B88:D88"/>
    <mergeCell ref="B89:D89"/>
    <mergeCell ref="B90:D90"/>
    <mergeCell ref="B91:H91"/>
    <mergeCell ref="B93:D93"/>
    <mergeCell ref="A95:H95"/>
    <mergeCell ref="B96:F96"/>
    <mergeCell ref="B97:F97"/>
    <mergeCell ref="B84:D84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72:D72"/>
    <mergeCell ref="B60:D60"/>
    <mergeCell ref="B61:D61"/>
    <mergeCell ref="B62:D62"/>
    <mergeCell ref="B63:D63"/>
    <mergeCell ref="B64:D64"/>
    <mergeCell ref="B65:D65"/>
    <mergeCell ref="B66:D66"/>
    <mergeCell ref="B67:D67"/>
    <mergeCell ref="B68:H68"/>
    <mergeCell ref="B70:D70"/>
    <mergeCell ref="A71:I71"/>
    <mergeCell ref="B59:D59"/>
    <mergeCell ref="A48:I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6:H46"/>
    <mergeCell ref="B29:D29"/>
    <mergeCell ref="B30:D30"/>
    <mergeCell ref="B31:D31"/>
    <mergeCell ref="B32:D32"/>
    <mergeCell ref="B34:D34"/>
    <mergeCell ref="B37:D37"/>
    <mergeCell ref="B39:H39"/>
    <mergeCell ref="A41:D41"/>
    <mergeCell ref="B42:D42"/>
    <mergeCell ref="B43:D43"/>
    <mergeCell ref="A45:I45"/>
    <mergeCell ref="B26:D26"/>
    <mergeCell ref="A2:I2"/>
    <mergeCell ref="A4:I4"/>
    <mergeCell ref="A14:I14"/>
    <mergeCell ref="B15:D15"/>
    <mergeCell ref="B16:D16"/>
    <mergeCell ref="B20:D20"/>
    <mergeCell ref="B21:D21"/>
    <mergeCell ref="B22:D22"/>
    <mergeCell ref="B23:D23"/>
    <mergeCell ref="B24:D24"/>
    <mergeCell ref="B25:D25"/>
  </mergeCells>
  <pageMargins left="0.511811024" right="0.511811024" top="0.78740157499999996" bottom="0.78740157499999996" header="0.31496062000000002" footer="0.31496062000000002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</vt:lpstr>
      <vt:lpstr>FARDAMENTO</vt:lpstr>
      <vt:lpstr>BDI</vt:lpstr>
      <vt:lpstr>01</vt:lpstr>
      <vt:lpstr>02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MARCELLA</cp:lastModifiedBy>
  <cp:revision>11</cp:revision>
  <cp:lastPrinted>2024-05-21T22:32:33Z</cp:lastPrinted>
  <dcterms:created xsi:type="dcterms:W3CDTF">2018-04-06T16:45:00Z</dcterms:created>
  <dcterms:modified xsi:type="dcterms:W3CDTF">2024-05-21T23:42:02Z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1046-11.2.0.8343</vt:lpwstr>
  </property>
</Properties>
</file>