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13_ncr:1_{48C4E0A0-54F9-41C5-9EB1-DECBAA595C8A}" xr6:coauthVersionLast="47" xr6:coauthVersionMax="47" xr10:uidLastSave="{00000000-0000-0000-0000-000000000000}"/>
  <bookViews>
    <workbookView xWindow="-110" yWindow="-110" windowWidth="19420" windowHeight="10300" tabRatio="756" activeTab="1" xr2:uid="{00000000-000D-0000-FFFF-FFFF00000000}"/>
  </bookViews>
  <sheets>
    <sheet name="CRONOGRAMA" sheetId="12" r:id="rId1"/>
    <sheet name="ORÇAMENTO" sheetId="7" r:id="rId2"/>
    <sheet name="COMPOSIÇÃO 003" sheetId="9" r:id="rId3"/>
    <sheet name="DESPESAS FISCAIS" sheetId="4" r:id="rId4"/>
    <sheet name="ENCARGOS SOCIAIS" sheetId="6" r:id="rId5"/>
  </sheets>
  <definedNames>
    <definedName name="_xlnm.Print_Area" localSheetId="2">'COMPOSIÇÃO 003'!$A$1:$H$72</definedName>
    <definedName name="_xlnm.Print_Area" localSheetId="0">CRONOGRAMA!$A$1:$F$15</definedName>
    <definedName name="_xlnm.Print_Area" localSheetId="3">'DESPESAS FISCAIS'!$A$1:$F$17</definedName>
    <definedName name="_xlnm.Print_Area" localSheetId="4">'ENCARGOS SOCIAIS'!$A$1:$C$49</definedName>
    <definedName name="_xlnm.Print_Area" localSheetId="1">ORÇAMENTO!$A$1:$H$11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2" l="1"/>
  <c r="F12" i="12"/>
  <c r="D12" i="12"/>
  <c r="F29" i="9"/>
  <c r="F17" i="9"/>
  <c r="H17" i="9" s="1"/>
  <c r="F14" i="9"/>
  <c r="K9" i="7"/>
  <c r="H14" i="9"/>
  <c r="F20" i="9"/>
  <c r="H20" i="9" s="1"/>
  <c r="F52" i="9"/>
  <c r="H52" i="9" s="1"/>
  <c r="F51" i="9"/>
  <c r="H60" i="9"/>
  <c r="H57" i="9"/>
  <c r="F54" i="9"/>
  <c r="H54" i="9" s="1"/>
  <c r="H51" i="9"/>
  <c r="F38" i="9"/>
  <c r="H38" i="9" s="1"/>
  <c r="F35" i="9"/>
  <c r="H35" i="9" s="1"/>
  <c r="F32" i="9"/>
  <c r="H32" i="9" s="1"/>
  <c r="H29" i="9"/>
  <c r="F23" i="9"/>
  <c r="H23" i="9" s="1"/>
  <c r="A6" i="9"/>
  <c r="A5" i="9"/>
  <c r="H41" i="9" l="1"/>
  <c r="H63" i="9"/>
  <c r="H26" i="9"/>
  <c r="G43" i="9" l="1"/>
  <c r="H43" i="9"/>
  <c r="G45" i="9" l="1"/>
  <c r="H45" i="9" s="1"/>
  <c r="H46" i="9" s="1"/>
  <c r="H65" i="9" s="1"/>
  <c r="G68" i="9" s="1"/>
  <c r="H68" i="9" l="1"/>
  <c r="G70" i="9" s="1"/>
  <c r="H70" i="9" s="1"/>
  <c r="H72" i="9" s="1"/>
  <c r="G9" i="7" l="1"/>
  <c r="L9" i="7" s="1"/>
  <c r="C9" i="12"/>
  <c r="E9" i="12" l="1"/>
  <c r="D9" i="12"/>
  <c r="F9" i="12"/>
  <c r="K11" i="7" l="1"/>
  <c r="C11" i="12" l="1"/>
  <c r="H9" i="7"/>
  <c r="E13" i="12" l="1"/>
  <c r="F13" i="12"/>
  <c r="D14" i="12"/>
  <c r="E14" i="12" s="1"/>
  <c r="F14" i="12" s="1"/>
  <c r="D13" i="12"/>
  <c r="D15" i="12" s="1"/>
  <c r="C44" i="6"/>
  <c r="C40" i="6"/>
  <c r="C32" i="6"/>
  <c r="C19" i="6"/>
  <c r="E15" i="12" l="1"/>
  <c r="F15" i="12" s="1"/>
  <c r="G14" i="12"/>
  <c r="C43" i="6"/>
  <c r="C45" i="6" s="1"/>
  <c r="C47" i="6" s="1"/>
  <c r="A5" i="6" l="1"/>
  <c r="A4" i="6"/>
  <c r="A3" i="6"/>
  <c r="A5" i="4"/>
  <c r="A4" i="4"/>
  <c r="A3" i="4"/>
  <c r="F13" i="4" l="1"/>
  <c r="F15" i="4" s="1"/>
  <c r="H11" i="7" l="1"/>
  <c r="L11" i="7" s="1"/>
</calcChain>
</file>

<file path=xl/sharedStrings.xml><?xml version="1.0" encoding="utf-8"?>
<sst xmlns="http://schemas.openxmlformats.org/spreadsheetml/2006/main" count="244" uniqueCount="194">
  <si>
    <t>1.1</t>
  </si>
  <si>
    <t>PREÇO</t>
  </si>
  <si>
    <t>A</t>
  </si>
  <si>
    <t>1.2</t>
  </si>
  <si>
    <t>1.3</t>
  </si>
  <si>
    <t>Subtotal  1</t>
  </si>
  <si>
    <t>%</t>
  </si>
  <si>
    <t>B</t>
  </si>
  <si>
    <t>CUSTO DIRETO TOTAL</t>
  </si>
  <si>
    <t>PREÇO REFERENCIAL</t>
  </si>
  <si>
    <t>ITEM</t>
  </si>
  <si>
    <t>FONTE</t>
  </si>
  <si>
    <t>CÓDIGO</t>
  </si>
  <si>
    <t>DISCRIMINAÇÃO</t>
  </si>
  <si>
    <t>UNID.</t>
  </si>
  <si>
    <t>QUANT.</t>
  </si>
  <si>
    <t>UNITÁRIO (R$)</t>
  </si>
  <si>
    <t>TOTAL  (R$)</t>
  </si>
  <si>
    <t>DESCRIÇÃO</t>
  </si>
  <si>
    <t>UNIDADE</t>
  </si>
  <si>
    <t>CUSTOS  ADMINISTRATIVOS</t>
  </si>
  <si>
    <t>CAIXA/SICRO</t>
  </si>
  <si>
    <t>REMUNERAÇÃO DA EMPRESA</t>
  </si>
  <si>
    <t>1.0</t>
  </si>
  <si>
    <t>2.0</t>
  </si>
  <si>
    <t>3.0</t>
  </si>
  <si>
    <t>4.0</t>
  </si>
  <si>
    <t>DESPESAS FISCAIS (Decreto Estadual n. 38.409, de 04/07/2012)</t>
  </si>
  <si>
    <t>DETALHAMENTO DEPESAS FISCAIS</t>
  </si>
  <si>
    <t>ISS</t>
  </si>
  <si>
    <t>PIS</t>
  </si>
  <si>
    <t>COFINS</t>
  </si>
  <si>
    <t>TOTAL</t>
  </si>
  <si>
    <t>DESPESAS FISCAIS = (1/(1-0,865)-1)*100</t>
  </si>
  <si>
    <t>(Conforme Decreto nº 36.872 de 28/07/2011 do Governo do Estado de Pernambuco)</t>
  </si>
  <si>
    <t>DETALHAMENTO ENCARGOS SOCIAIS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</si>
  <si>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</si>
  <si>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</si>
  <si>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</si>
  <si>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</si>
  <si>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</si>
  <si>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</si>
  <si>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</si>
  <si>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</si>
  <si>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</si>
  <si>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</si>
  <si>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</si>
  <si>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</si>
  <si>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</si>
  <si>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</si>
  <si>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</si>
  <si>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</si>
  <si>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</si>
  <si>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</si>
  <si>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</si>
  <si>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GRUPO B</t>
  </si>
  <si>
    <t>B1</t>
  </si>
  <si>
    <t>Repouso Semanal Remunerado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</si>
  <si>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</si>
  <si>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</si>
  <si>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</si>
  <si>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</si>
  <si>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</si>
  <si>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</si>
  <si>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</si>
  <si>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</si>
  <si>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</si>
  <si>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</si>
  <si>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</si>
  <si>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</si>
  <si>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</si>
  <si>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Acidente de Trabalho</t>
  </si>
  <si>
    <t>B9</t>
  </si>
  <si>
    <t>Férias Gozadas</t>
  </si>
  <si>
    <t>B10</t>
  </si>
  <si>
    <t>Salário Maternidade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</si>
  <si>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</si>
  <si>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</si>
  <si>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</si>
  <si>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</si>
  <si>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</si>
  <si>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</si>
  <si>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</si>
  <si>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</si>
  <si>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</si>
  <si>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</si>
  <si>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</si>
  <si>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C</t>
  </si>
  <si>
    <t>GRUPO D</t>
  </si>
  <si>
    <t>D1</t>
  </si>
  <si>
    <t>Reincidência de Grupo A sobre Grupo B</t>
  </si>
  <si>
    <t>D2</t>
  </si>
  <si>
    <t>Reincidência de Grupo A sobre Aviso Prévio Trabalhado 
e Reincidência do FGTS sobre Aviso Prévio Indenizado</t>
  </si>
  <si>
    <t>D</t>
  </si>
  <si>
    <t>TOTAL GERAL (A+B+C+D)</t>
  </si>
  <si>
    <t>CÓD.</t>
  </si>
  <si>
    <t>FONTE DE REFERENCIA</t>
  </si>
  <si>
    <t>PLANILHA ORÇAMENTÁRIA RESUMO</t>
  </si>
  <si>
    <t>COMPOSIÇÃO</t>
  </si>
  <si>
    <t>UN</t>
  </si>
  <si>
    <t>PREÇO ESTIMADO TOTAL</t>
  </si>
  <si>
    <t>VALOR 
TOTAL (R$)</t>
  </si>
  <si>
    <t>VALOR 
UNITÁRIO (R$)</t>
  </si>
  <si>
    <t>MENSALISTA (%)</t>
  </si>
  <si>
    <t>Não incide</t>
  </si>
  <si>
    <t>Estimado obra</t>
  </si>
  <si>
    <t>(Conforme SINAPI-PE SETEMBRO/2025)</t>
  </si>
  <si>
    <t>MÃO DE OBRA</t>
  </si>
  <si>
    <t>EQUIPE - NÍVEL SUPERIOR</t>
  </si>
  <si>
    <t>HOMEMxMÊS</t>
  </si>
  <si>
    <t>EQUIPE - NÍVEL TÉCNICO</t>
  </si>
  <si>
    <t>2.1</t>
  </si>
  <si>
    <t>2.2</t>
  </si>
  <si>
    <t>2.3</t>
  </si>
  <si>
    <t>Subtotal  2</t>
  </si>
  <si>
    <t>Subtotal 1 +
Subtotal 2</t>
  </si>
  <si>
    <t>(ONERADO)</t>
  </si>
  <si>
    <t>ENCARGOS SOCIAIS (MENSALISTA)</t>
  </si>
  <si>
    <t>Subtotal 1 +
Subtotal 2 +
Encargos sociais</t>
  </si>
  <si>
    <t>TOTAL A (Subtotal 1 + Subtotal 2  + 3.0 + 4.0)</t>
  </si>
  <si>
    <t>5.0</t>
  </si>
  <si>
    <t>SERVIÇOS DE APOIO</t>
  </si>
  <si>
    <t>5.1</t>
  </si>
  <si>
    <t>E8889</t>
  </si>
  <si>
    <t xml:space="preserve">Veículo leve - 53 kW (sem motorista) </t>
  </si>
  <si>
    <t>CHP</t>
  </si>
  <si>
    <t>CHI</t>
  </si>
  <si>
    <t>5.3</t>
  </si>
  <si>
    <t>B8958</t>
  </si>
  <si>
    <t>EQUIP x MÊS</t>
  </si>
  <si>
    <t>Subtotal  3</t>
  </si>
  <si>
    <t>TOTAL B  (TOTAL A + Subtotal 3) - CUSTO DIRETO TOTAL</t>
  </si>
  <si>
    <t>Total B</t>
  </si>
  <si>
    <t>6.0</t>
  </si>
  <si>
    <t>Total B + 6.0</t>
  </si>
  <si>
    <t>7.0</t>
  </si>
  <si>
    <t>TOTAL GERAL (TOTAL B + 6.0 +7.0) - PREÇO ESTIMADO TOTAL</t>
  </si>
  <si>
    <t>SINAPI-PE SET/2025</t>
  </si>
  <si>
    <t>SICRO CONSULTORIAS
JULHO/2025</t>
  </si>
  <si>
    <t>REFERÊNCIAS: SINAPI SETEMBRO/2025 / SICRO-DNIT CONSULTORIAS JULHO/2025</t>
  </si>
  <si>
    <t>P8067</t>
  </si>
  <si>
    <t xml:space="preserve">Engenheiro de projetos sênior  </t>
  </si>
  <si>
    <t xml:space="preserve">Engenheiro de projetos pleno </t>
  </si>
  <si>
    <t>P8066</t>
  </si>
  <si>
    <t>P8065</t>
  </si>
  <si>
    <t xml:space="preserve">Engenheiro de projetos júnior </t>
  </si>
  <si>
    <t>1.4</t>
  </si>
  <si>
    <t>P8013</t>
  </si>
  <si>
    <t xml:space="preserve">Arquiteto júnior </t>
  </si>
  <si>
    <t xml:space="preserve">Técnico de obras    </t>
  </si>
  <si>
    <t>P8147</t>
  </si>
  <si>
    <t xml:space="preserve">Topógrafo      </t>
  </si>
  <si>
    <t>P8163</t>
  </si>
  <si>
    <t xml:space="preserve">Auxiliar de topografia </t>
  </si>
  <si>
    <t>P8028</t>
  </si>
  <si>
    <t>TOPÓGRAFO: 
1 profissional x 15 dias por mês x 1 mês</t>
  </si>
  <si>
    <t>AUXILIAR DE TOPOGRAFIA: 
2 profissionais x 15 dias por mês x 1 mês)</t>
  </si>
  <si>
    <t>2.4</t>
  </si>
  <si>
    <t xml:space="preserve">Sondador          </t>
  </si>
  <si>
    <t>P8139</t>
  </si>
  <si>
    <t>EQUIPE DE SONDAGEM: 
3 profissionais x 10 dias por mês x 1 mês)</t>
  </si>
  <si>
    <t>5.2</t>
  </si>
  <si>
    <t>INSTRUMENTAL DE TOPOGRAFIA: 
1 equipamento x 15 dias por mês x 1 mês</t>
  </si>
  <si>
    <t>Cesta das Instalações - Topografia</t>
  </si>
  <si>
    <t>EQUIPAMENTOS E MATERIAIS</t>
  </si>
  <si>
    <t>5.4</t>
  </si>
  <si>
    <t>SUDECAP
JULHO/2025</t>
  </si>
  <si>
    <t>94.15.04</t>
  </si>
  <si>
    <t>64.07.01</t>
  </si>
  <si>
    <t>PLOTAGEM COLORIDA SULFITE FORMATO A1 MÍNIMO 90G/M2</t>
  </si>
  <si>
    <t>PLOTAGEM COLORIDA FORMATO A4</t>
  </si>
  <si>
    <t>DETALHAMENTO DOS PROJETOS DE ARQUITETURA: 
1 profissional x 30 dias por mês x 1 mês</t>
  </si>
  <si>
    <t>COMPOSIÇÃO DE CUSTO DE REFERENCIA - COMPOSIÇÃO 003</t>
  </si>
  <si>
    <t>(2 vias dos projetos = 2 x aprox.500 = 1000 unidades)</t>
  </si>
  <si>
    <t>(1 equipe em campo x 10 dias úteis = 10 dias x veículo)
10 dias x 4 horas em deslocamento (CHP) = 40 horas</t>
  </si>
  <si>
    <t>(1 equipe em campo x 10 dias úteis = 10 dias x veículo)
10 dias x 8 horas parado (CHI) = 80 horas</t>
  </si>
  <si>
    <t>DETALHAMENTO DOS PROJETOS DE ENGENHARIA: 
1 profissional x 30 dias por mês x 3 meses</t>
  </si>
  <si>
    <t>(2 vias das plantas = 2 x aprox.25 = 50 unidades)</t>
  </si>
  <si>
    <t>VALOR DA ETAPA</t>
  </si>
  <si>
    <t>CRONOGRAMA FÍSICO-FINANCEIRO</t>
  </si>
  <si>
    <t>MÊS 1</t>
  </si>
  <si>
    <t>MÊS 2</t>
  </si>
  <si>
    <t>MÊS 3</t>
  </si>
  <si>
    <t>PERÍODO</t>
  </si>
  <si>
    <t>ACUMULADO</t>
  </si>
  <si>
    <t>DATA-BASE: JANEIRO/2026</t>
  </si>
  <si>
    <t>ENGENHEIRO COORDENADOR E COMPATIBILIZADOR: 
1 profissional x 10 dias por mês x 3 meses</t>
  </si>
  <si>
    <t>AUXILIAR TÉCNICO/ DESENHISTA: 
2 profissionais x 30 dias por mês x 3 meses</t>
  </si>
  <si>
    <t>PROJETOS ESPECIALIZADOS: 
1 profissional x 30 dias por mês x 3 meses</t>
  </si>
  <si>
    <r>
      <t xml:space="preserve">Elaboração dos Estudos Preliminares, Projetos Básicos e Executivos de Arquitetura e Engenharia para </t>
    </r>
    <r>
      <rPr>
        <b/>
        <sz val="8"/>
        <rFont val="Arial"/>
        <family val="2"/>
      </rPr>
      <t>Construção do Anel Viário da Itagiba, Bom Jardim/PE</t>
    </r>
    <r>
      <rPr>
        <sz val="8"/>
        <rFont val="Arial"/>
        <family val="2"/>
      </rPr>
      <t xml:space="preserve"> (2km de pavimentação, urbanização e drenagem) e para </t>
    </r>
    <r>
      <rPr>
        <b/>
        <sz val="8"/>
        <rFont val="Arial"/>
        <family val="2"/>
      </rPr>
      <t xml:space="preserve">Construção do Anel Viário da Noelândia, Bom Jardim/PE </t>
    </r>
    <r>
      <rPr>
        <sz val="8"/>
        <rFont val="Arial"/>
        <family val="2"/>
      </rPr>
      <t>(600m de pavimentação, urbanização e drenagem)</t>
    </r>
  </si>
  <si>
    <r>
      <t xml:space="preserve">Elaboração dos Estudos Preliminares, Projetos Básicos e Executivos de Arquitetura e Engenharia para </t>
    </r>
    <r>
      <rPr>
        <b/>
        <sz val="8"/>
        <rFont val="Arial"/>
        <family val="2"/>
      </rPr>
      <t>Construção do Anel Viário da Itagiba, Bom Jardim/PE</t>
    </r>
    <r>
      <rPr>
        <sz val="8"/>
        <rFont val="Arial"/>
        <family val="2"/>
      </rPr>
      <t xml:space="preserve"> (2km de pavimentação, urbanização e drenagem) e para </t>
    </r>
    <r>
      <rPr>
        <b/>
        <sz val="8"/>
        <rFont val="Arial"/>
        <family val="2"/>
      </rPr>
      <t>Construção do Anel Viário da Noelândia, Bom Jardim/PE</t>
    </r>
    <r>
      <rPr>
        <sz val="8"/>
        <rFont val="Arial"/>
        <family val="2"/>
      </rPr>
      <t xml:space="preserve"> (600m de pavimentação, urbanização e drenagem)</t>
    </r>
  </si>
  <si>
    <r>
      <t xml:space="preserve">OBJETO: </t>
    </r>
    <r>
      <rPr>
        <b/>
        <sz val="8"/>
        <rFont val="Arial"/>
        <family val="2"/>
      </rPr>
      <t>ELABORAÇÃO DOS ESTUDOS PRELIMINARES, PROJETO BÁSICO E EXECUTIVO DE ARQUITETURA E ENGENHARIA PARA "CONSTRUÇÃO DO ANEL VIÁRIO DA ITAGIBA, BOM JARDIM/PE" E PARA "CONSTRUÇÃO DO ANEL VIÁRIO DA NOELÂNDIA, BOM JARDIM/PE"</t>
    </r>
  </si>
  <si>
    <r>
      <t xml:space="preserve">PRAZO DO OBJETO: </t>
    </r>
    <r>
      <rPr>
        <b/>
        <sz val="8"/>
        <rFont val="Arial"/>
        <family val="2"/>
      </rPr>
      <t>03 MESES</t>
    </r>
  </si>
  <si>
    <r>
      <t xml:space="preserve">OBJETO: </t>
    </r>
    <r>
      <rPr>
        <b/>
        <sz val="8"/>
        <rFont val="Arial"/>
        <family val="2"/>
      </rPr>
      <t>CONTRATAÇÃO DE EMPRESA PARA PRESTAÇÃO DE SERVIÇOS TÉCNICOS ESPECIALIZADOS DE ENGENHARIA PARA ELABORAÇÃO INTEGRADA DE PROJETOS DE ARQUITETURA E ENGENHARIA, BÁSICO E EXECUTIVO, COM COMPATIBILIZAÇÃO ENTRE DISCIPLINAS E OBSERVÂNCIA RIGOROSA ÀS NORMAS TÉCNICAS E REGULATÓRIAS APLICÁVEIS, DA CONSTRUÇÃO DO ANEL VIÁRIO DA ITAGIBA E DA CONSTRUÇÃO DO ANEL VIÁRIO DA NOELÂNDIA, BOM JARDIM/PE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</si>
</sst>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0.000%"/>
    <numFmt numFmtId="165" formatCode="000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FF0000"/>
      <name val="Arial"/>
      <family val="2"/>
    </font>
    <font>
      <sz val="6"/>
      <color rgb="FFFF0000"/>
      <name val="Arial"/>
      <family val="2"/>
    </font>
    <font>
      <b/>
      <u/>
      <sz val="10"/>
      <name val="Arial"/>
      <family val="2"/>
    </font>
    <font>
      <sz val="11"/>
      <name val="Arial"/>
      <family val="2"/>
    </font>
    <font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sz val="1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i/>
      <sz val="10"/>
      <name val="Arial"/>
      <family val="2"/>
    </font>
    <font>
      <b/>
      <sz val="8"/>
      <name val="Arial"/>
      <family val="2"/>
    </font>
    <font>
      <i/>
      <sz val="8"/>
      <name val="Arial"/>
      <family val="2"/>
    </font>
    <font>
      <sz val="8"/>
      <color rgb="FFFF0000"/>
      <name val="Arial"/>
      <family val="2"/>
    </font>
    <font>
      <i/>
      <sz val="6"/>
      <color rgb="FFFF0000"/>
      <name val="Arial"/>
      <family val="2"/>
    </font>
    <font>
      <i/>
      <sz val="6"/>
      <name val="Arial"/>
      <family val="2"/>
    </font>
    <font>
      <i/>
      <sz val="8"/>
      <color rgb="FFFF0000"/>
      <name val="Arial"/>
      <family val="2"/>
    </font>
    <font>
      <b/>
      <i/>
      <sz val="8"/>
      <color rgb="FFFF0000"/>
      <name val="Arial"/>
      <family val="2"/>
    </font>
    <font>
      <b/>
      <i/>
      <sz val="8"/>
      <color rgb="FF7030A0"/>
      <name val="Arial"/>
      <family val="2"/>
    </font>
    <font>
      <sz val="8"/>
      <color rgb="FF7030A0"/>
      <name val="Arial"/>
      <family val="2"/>
    </font>
    <font>
      <sz val="11"/>
      <color rgb="FF7030A0"/>
      <name val="Arial"/>
      <family val="2"/>
    </font>
    <font>
      <sz val="6.5"/>
      <name val="Arial"/>
      <family val="2"/>
    </font>
    <font>
      <b/>
      <sz val="6.5"/>
      <name val="Arial"/>
      <family val="2"/>
    </font>
    <font>
      <i/>
      <sz val="8"/>
      <color theme="0" tint="-0.249977111117893"/>
      <name val="Arial"/>
      <family val="2"/>
    </font>
    <font>
      <sz val="8"/>
      <color theme="0" tint="-0.249977111117893"/>
      <name val="Arial"/>
      <family val="2"/>
    </font>
    <font>
      <b/>
      <i/>
      <sz val="8"/>
      <color theme="0" tint="-0.249977111117893"/>
      <name val="Arial"/>
      <family val="2"/>
    </font>
    <font>
      <sz val="8"/>
      <name val="Calibri"/>
      <family val="2"/>
      <scheme val="minor"/>
    </font>
    <font>
      <sz val="7"/>
      <name val="Arial"/>
      <family val="2"/>
    </font>
    <font>
      <b/>
      <sz val="7"/>
      <name val="Arial"/>
      <family val="2"/>
    </font>
    <font>
      <b/>
      <i/>
      <sz val="7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0" tint="-0.14999847407452621"/>
      <name val="Calibri"/>
      <family val="2"/>
      <scheme val="minor"/>
    </font>
    <font>
      <b/>
      <u/>
      <sz val="6"/>
      <color rgb="FFFF0000"/>
      <name val="Arial"/>
      <family val="2"/>
    </font>
    <font>
      <b/>
      <u/>
      <sz val="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3" fillId="0" borderId="0"/>
    <xf numFmtId="43" fontId="1" fillId="0" borderId="0" applyFont="0" applyFill="0" applyBorder="0" applyAlignment="0" applyProtection="0"/>
    <xf numFmtId="0" fontId="1" fillId="0" borderId="0"/>
    <xf numFmtId="0" fontId="35" fillId="0" borderId="0" applyNumberFormat="0" applyFill="0" applyBorder="0" applyAlignment="0" applyProtection="0"/>
  </cellStyleXfs>
  <cellXfs count="174">
    <xf numFmtId="0" fontId="0" fillId="0" borderId="0" xfId="0"/>
    <xf numFmtId="0" fontId="3" fillId="0" borderId="0" xfId="2" applyFont="1"/>
    <xf numFmtId="44" fontId="3" fillId="0" borderId="0" xfId="3" applyFont="1"/>
    <xf numFmtId="0" fontId="4" fillId="0" borderId="0" xfId="2" applyFont="1" applyAlignment="1">
      <alignment vertical="top"/>
    </xf>
    <xf numFmtId="0" fontId="6" fillId="0" borderId="0" xfId="2" applyFont="1"/>
    <xf numFmtId="0" fontId="5" fillId="0" borderId="0" xfId="2" applyFont="1" applyAlignment="1">
      <alignment horizontal="center" vertical="top"/>
    </xf>
    <xf numFmtId="0" fontId="7" fillId="0" borderId="0" xfId="2" applyFont="1" applyAlignment="1">
      <alignment horizontal="left" vertical="top"/>
    </xf>
    <xf numFmtId="0" fontId="8" fillId="0" borderId="2" xfId="2" applyFont="1" applyBorder="1" applyAlignment="1">
      <alignment horizontal="center" vertical="top"/>
    </xf>
    <xf numFmtId="0" fontId="8" fillId="0" borderId="2" xfId="2" applyFont="1" applyBorder="1" applyAlignment="1">
      <alignment horizontal="left" vertical="top"/>
    </xf>
    <xf numFmtId="0" fontId="8" fillId="0" borderId="3" xfId="2" applyFont="1" applyBorder="1" applyAlignment="1">
      <alignment horizontal="center" vertical="top"/>
    </xf>
    <xf numFmtId="0" fontId="8" fillId="0" borderId="6" xfId="2" applyFont="1" applyBorder="1" applyAlignment="1">
      <alignment horizontal="left" vertical="top"/>
    </xf>
    <xf numFmtId="0" fontId="4" fillId="0" borderId="0" xfId="2" applyFont="1" applyAlignment="1">
      <alignment horizontal="right" vertical="top"/>
    </xf>
    <xf numFmtId="0" fontId="3" fillId="0" borderId="0" xfId="2" applyFont="1" applyAlignment="1">
      <alignment horizontal="right"/>
    </xf>
    <xf numFmtId="0" fontId="9" fillId="0" borderId="2" xfId="2" applyFont="1" applyBorder="1" applyAlignment="1">
      <alignment horizontal="left" vertical="top" wrapText="1"/>
    </xf>
    <xf numFmtId="44" fontId="3" fillId="0" borderId="0" xfId="2" applyNumberFormat="1" applyFont="1"/>
    <xf numFmtId="0" fontId="14" fillId="0" borderId="0" xfId="7" applyFont="1"/>
    <xf numFmtId="10" fontId="11" fillId="0" borderId="1" xfId="6" applyNumberFormat="1" applyFont="1" applyBorder="1" applyAlignment="1">
      <alignment horizontal="center" vertical="center"/>
    </xf>
    <xf numFmtId="0" fontId="12" fillId="6" borderId="1" xfId="5" applyFont="1" applyFill="1" applyBorder="1" applyAlignment="1">
      <alignment horizontal="center" vertical="center"/>
    </xf>
    <xf numFmtId="164" fontId="12" fillId="5" borderId="1" xfId="6" applyNumberFormat="1" applyFont="1" applyFill="1" applyBorder="1" applyAlignment="1">
      <alignment horizontal="center" vertical="center"/>
    </xf>
    <xf numFmtId="0" fontId="10" fillId="0" borderId="0" xfId="0" applyFont="1"/>
    <xf numFmtId="0" fontId="16" fillId="0" borderId="1" xfId="0" applyFont="1" applyBorder="1" applyAlignment="1">
      <alignment horizontal="center"/>
    </xf>
    <xf numFmtId="0" fontId="16" fillId="0" borderId="1" xfId="0" applyFont="1" applyBorder="1"/>
    <xf numFmtId="0" fontId="16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7" fillId="0" borderId="0" xfId="0" applyFont="1"/>
    <xf numFmtId="0" fontId="16" fillId="6" borderId="1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wrapText="1"/>
    </xf>
    <xf numFmtId="0" fontId="16" fillId="4" borderId="1" xfId="0" applyFont="1" applyFill="1" applyBorder="1" applyAlignment="1">
      <alignment horizontal="center"/>
    </xf>
    <xf numFmtId="0" fontId="7" fillId="0" borderId="1" xfId="0" applyFont="1" applyBorder="1" applyAlignment="1">
      <alignment wrapText="1"/>
    </xf>
    <xf numFmtId="0" fontId="7" fillId="0" borderId="0" xfId="2" applyFont="1" applyAlignment="1">
      <alignment vertical="top" wrapText="1"/>
    </xf>
    <xf numFmtId="0" fontId="3" fillId="0" borderId="0" xfId="2" applyFont="1" applyAlignment="1">
      <alignment wrapText="1"/>
    </xf>
    <xf numFmtId="0" fontId="4" fillId="0" borderId="3" xfId="2" applyFont="1" applyBorder="1" applyAlignment="1">
      <alignment horizontal="center" vertical="top"/>
    </xf>
    <xf numFmtId="0" fontId="4" fillId="0" borderId="6" xfId="2" applyFont="1" applyBorder="1" applyAlignment="1">
      <alignment horizontal="left" vertical="top"/>
    </xf>
    <xf numFmtId="0" fontId="4" fillId="0" borderId="3" xfId="2" applyFont="1" applyBorder="1" applyAlignment="1">
      <alignment horizontal="left" vertical="top"/>
    </xf>
    <xf numFmtId="0" fontId="19" fillId="0" borderId="3" xfId="2" applyFont="1" applyBorder="1" applyAlignment="1">
      <alignment horizontal="left" vertical="top" wrapText="1"/>
    </xf>
    <xf numFmtId="0" fontId="4" fillId="0" borderId="6" xfId="2" applyFont="1" applyBorder="1" applyAlignment="1">
      <alignment horizontal="right" vertical="top"/>
    </xf>
    <xf numFmtId="44" fontId="4" fillId="0" borderId="3" xfId="3" applyFont="1" applyBorder="1" applyAlignment="1">
      <alignment horizontal="left" vertical="top"/>
    </xf>
    <xf numFmtId="0" fontId="8" fillId="0" borderId="0" xfId="2" applyFont="1" applyAlignment="1">
      <alignment vertical="top"/>
    </xf>
    <xf numFmtId="0" fontId="8" fillId="0" borderId="0" xfId="2" applyFont="1" applyAlignment="1">
      <alignment horizontal="right" vertical="top"/>
    </xf>
    <xf numFmtId="0" fontId="6" fillId="0" borderId="0" xfId="2" applyFont="1" applyAlignment="1">
      <alignment horizontal="right"/>
    </xf>
    <xf numFmtId="43" fontId="7" fillId="0" borderId="0" xfId="8" applyFont="1"/>
    <xf numFmtId="43" fontId="18" fillId="0" borderId="0" xfId="8" applyFont="1"/>
    <xf numFmtId="0" fontId="16" fillId="4" borderId="8" xfId="0" applyFont="1" applyFill="1" applyBorder="1"/>
    <xf numFmtId="2" fontId="7" fillId="0" borderId="1" xfId="0" applyNumberFormat="1" applyFont="1" applyBorder="1" applyAlignment="1">
      <alignment horizontal="center"/>
    </xf>
    <xf numFmtId="2" fontId="16" fillId="4" borderId="1" xfId="0" applyNumberFormat="1" applyFont="1" applyFill="1" applyBorder="1" applyAlignment="1">
      <alignment horizontal="center"/>
    </xf>
    <xf numFmtId="2" fontId="16" fillId="7" borderId="1" xfId="0" applyNumberFormat="1" applyFont="1" applyFill="1" applyBorder="1" applyAlignment="1">
      <alignment horizontal="center"/>
    </xf>
    <xf numFmtId="44" fontId="8" fillId="0" borderId="2" xfId="3" applyFont="1" applyBorder="1" applyAlignment="1">
      <alignment horizontal="left" vertical="top"/>
    </xf>
    <xf numFmtId="2" fontId="8" fillId="0" borderId="2" xfId="2" applyNumberFormat="1" applyFont="1" applyBorder="1" applyAlignment="1">
      <alignment horizontal="right" vertical="top"/>
    </xf>
    <xf numFmtId="44" fontId="9" fillId="0" borderId="2" xfId="3" applyFont="1" applyBorder="1" applyAlignment="1">
      <alignment horizontal="left" vertical="top"/>
    </xf>
    <xf numFmtId="0" fontId="8" fillId="0" borderId="3" xfId="2" applyFont="1" applyBorder="1" applyAlignment="1">
      <alignment horizontal="left" vertical="top"/>
    </xf>
    <xf numFmtId="0" fontId="20" fillId="0" borderId="3" xfId="2" applyFont="1" applyBorder="1" applyAlignment="1">
      <alignment horizontal="left" vertical="top" wrapText="1"/>
    </xf>
    <xf numFmtId="0" fontId="8" fillId="0" borderId="6" xfId="2" applyFont="1" applyBorder="1" applyAlignment="1">
      <alignment horizontal="right" vertical="top"/>
    </xf>
    <xf numFmtId="44" fontId="8" fillId="0" borderId="3" xfId="3" applyFont="1" applyBorder="1" applyAlignment="1">
      <alignment horizontal="left" vertical="top"/>
    </xf>
    <xf numFmtId="44" fontId="9" fillId="3" borderId="1" xfId="3" applyFont="1" applyFill="1" applyBorder="1" applyAlignment="1">
      <alignment horizontal="center" vertical="top" wrapText="1"/>
    </xf>
    <xf numFmtId="10" fontId="16" fillId="0" borderId="0" xfId="1" applyNumberFormat="1" applyFont="1"/>
    <xf numFmtId="0" fontId="7" fillId="0" borderId="0" xfId="2" applyFont="1" applyAlignment="1">
      <alignment horizontal="center"/>
    </xf>
    <xf numFmtId="0" fontId="6" fillId="0" borderId="0" xfId="2" applyFont="1" applyAlignment="1">
      <alignment horizontal="center"/>
    </xf>
    <xf numFmtId="43" fontId="18" fillId="0" borderId="0" xfId="8" applyFont="1" applyAlignment="1">
      <alignment horizontal="left" wrapText="1"/>
    </xf>
    <xf numFmtId="0" fontId="7" fillId="0" borderId="2" xfId="2" applyFont="1" applyBorder="1" applyAlignment="1">
      <alignment horizontal="left" vertical="top" wrapText="1"/>
    </xf>
    <xf numFmtId="43" fontId="22" fillId="0" borderId="0" xfId="8" applyFont="1" applyAlignment="1">
      <alignment horizontal="right"/>
    </xf>
    <xf numFmtId="10" fontId="21" fillId="0" borderId="0" xfId="1" applyNumberFormat="1" applyFont="1"/>
    <xf numFmtId="43" fontId="23" fillId="0" borderId="0" xfId="8" applyFont="1" applyAlignment="1">
      <alignment horizontal="right"/>
    </xf>
    <xf numFmtId="43" fontId="24" fillId="0" borderId="0" xfId="8" applyFont="1"/>
    <xf numFmtId="0" fontId="25" fillId="0" borderId="0" xfId="2" applyFont="1"/>
    <xf numFmtId="10" fontId="22" fillId="0" borderId="0" xfId="1" applyNumberFormat="1" applyFont="1"/>
    <xf numFmtId="165" fontId="8" fillId="0" borderId="2" xfId="2" quotePrefix="1" applyNumberFormat="1" applyFont="1" applyBorder="1" applyAlignment="1">
      <alignment horizontal="center" vertical="top"/>
    </xf>
    <xf numFmtId="0" fontId="4" fillId="0" borderId="0" xfId="2" applyFont="1"/>
    <xf numFmtId="0" fontId="8" fillId="0" borderId="0" xfId="2" applyFont="1"/>
    <xf numFmtId="0" fontId="26" fillId="0" borderId="0" xfId="2" applyFont="1"/>
    <xf numFmtId="0" fontId="27" fillId="3" borderId="1" xfId="2" applyFont="1" applyFill="1" applyBorder="1" applyAlignment="1">
      <alignment horizontal="center" vertical="top" wrapText="1"/>
    </xf>
    <xf numFmtId="44" fontId="27" fillId="3" borderId="1" xfId="3" applyFont="1" applyFill="1" applyBorder="1" applyAlignment="1">
      <alignment horizontal="center" vertical="top" wrapText="1"/>
    </xf>
    <xf numFmtId="44" fontId="8" fillId="0" borderId="3" xfId="3" applyFont="1" applyBorder="1" applyAlignment="1">
      <alignment horizontal="center" wrapText="1"/>
    </xf>
    <xf numFmtId="0" fontId="8" fillId="0" borderId="1" xfId="2" applyFont="1" applyBorder="1" applyAlignment="1">
      <alignment horizontal="center" vertical="top"/>
    </xf>
    <xf numFmtId="0" fontId="8" fillId="0" borderId="1" xfId="2" applyFont="1" applyBorder="1" applyAlignment="1">
      <alignment horizontal="left" vertical="top"/>
    </xf>
    <xf numFmtId="10" fontId="8" fillId="0" borderId="1" xfId="4" applyNumberFormat="1" applyFont="1" applyBorder="1" applyAlignment="1">
      <alignment horizontal="right" vertical="top"/>
    </xf>
    <xf numFmtId="44" fontId="8" fillId="0" borderId="1" xfId="3" applyFont="1" applyBorder="1" applyAlignment="1">
      <alignment horizontal="left" vertical="top"/>
    </xf>
    <xf numFmtId="0" fontId="7" fillId="0" borderId="0" xfId="2" applyFont="1"/>
    <xf numFmtId="164" fontId="8" fillId="0" borderId="1" xfId="4" applyNumberFormat="1" applyFont="1" applyBorder="1" applyAlignment="1">
      <alignment horizontal="right" vertical="top"/>
    </xf>
    <xf numFmtId="0" fontId="9" fillId="0" borderId="1" xfId="2" applyFont="1" applyBorder="1" applyAlignment="1">
      <alignment horizontal="left" vertical="top"/>
    </xf>
    <xf numFmtId="9" fontId="8" fillId="0" borderId="1" xfId="4" applyFont="1" applyBorder="1" applyAlignment="1">
      <alignment horizontal="right" vertical="top"/>
    </xf>
    <xf numFmtId="0" fontId="8" fillId="0" borderId="2" xfId="2" applyFont="1" applyBorder="1" applyAlignment="1">
      <alignment horizontal="left" vertical="top" wrapText="1"/>
    </xf>
    <xf numFmtId="0" fontId="9" fillId="0" borderId="1" xfId="2" applyFont="1" applyBorder="1" applyAlignment="1">
      <alignment horizontal="center" vertical="top"/>
    </xf>
    <xf numFmtId="0" fontId="8" fillId="0" borderId="4" xfId="2" applyFont="1" applyBorder="1" applyAlignment="1">
      <alignment horizontal="center" vertical="top"/>
    </xf>
    <xf numFmtId="0" fontId="8" fillId="0" borderId="5" xfId="2" applyFont="1" applyBorder="1" applyAlignment="1">
      <alignment horizontal="left" vertical="top"/>
    </xf>
    <xf numFmtId="0" fontId="8" fillId="0" borderId="4" xfId="2" applyFont="1" applyBorder="1" applyAlignment="1">
      <alignment horizontal="left" vertical="top"/>
    </xf>
    <xf numFmtId="0" fontId="20" fillId="0" borderId="4" xfId="2" applyFont="1" applyBorder="1" applyAlignment="1">
      <alignment horizontal="left" vertical="top" wrapText="1"/>
    </xf>
    <xf numFmtId="0" fontId="8" fillId="0" borderId="5" xfId="2" applyFont="1" applyBorder="1" applyAlignment="1">
      <alignment horizontal="right" vertical="top"/>
    </xf>
    <xf numFmtId="44" fontId="8" fillId="0" borderId="4" xfId="3" applyFont="1" applyBorder="1" applyAlignment="1">
      <alignment horizontal="left" vertical="top"/>
    </xf>
    <xf numFmtId="44" fontId="9" fillId="4" borderId="1" xfId="3" applyFont="1" applyFill="1" applyBorder="1" applyAlignment="1">
      <alignment horizontal="left" vertical="top"/>
    </xf>
    <xf numFmtId="0" fontId="9" fillId="2" borderId="1" xfId="2" applyFont="1" applyFill="1" applyBorder="1" applyAlignment="1">
      <alignment horizontal="left" vertical="top"/>
    </xf>
    <xf numFmtId="2" fontId="8" fillId="0" borderId="5" xfId="2" applyNumberFormat="1" applyFont="1" applyBorder="1" applyAlignment="1">
      <alignment horizontal="right" vertical="top"/>
    </xf>
    <xf numFmtId="2" fontId="8" fillId="0" borderId="6" xfId="2" applyNumberFormat="1" applyFont="1" applyBorder="1" applyAlignment="1">
      <alignment horizontal="right" vertical="top"/>
    </xf>
    <xf numFmtId="44" fontId="9" fillId="4" borderId="1" xfId="2" applyNumberFormat="1" applyFont="1" applyFill="1" applyBorder="1" applyAlignment="1">
      <alignment horizontal="left" vertical="top"/>
    </xf>
    <xf numFmtId="44" fontId="8" fillId="0" borderId="3" xfId="3" applyFont="1" applyBorder="1" applyAlignment="1">
      <alignment horizontal="center" vertical="top" wrapText="1"/>
    </xf>
    <xf numFmtId="44" fontId="9" fillId="3" borderId="1" xfId="2" applyNumberFormat="1" applyFont="1" applyFill="1" applyBorder="1" applyAlignment="1">
      <alignment horizontal="left" vertical="top"/>
    </xf>
    <xf numFmtId="44" fontId="8" fillId="0" borderId="2" xfId="3" applyFont="1" applyBorder="1" applyAlignment="1">
      <alignment horizontal="left" vertical="top" wrapText="1"/>
    </xf>
    <xf numFmtId="0" fontId="8" fillId="0" borderId="2" xfId="2" applyFont="1" applyBorder="1" applyAlignment="1">
      <alignment horizontal="right" vertical="top"/>
    </xf>
    <xf numFmtId="0" fontId="8" fillId="0" borderId="4" xfId="2" applyFont="1" applyBorder="1" applyAlignment="1">
      <alignment horizontal="right" vertical="top"/>
    </xf>
    <xf numFmtId="44" fontId="16" fillId="3" borderId="1" xfId="2" applyNumberFormat="1" applyFont="1" applyFill="1" applyBorder="1" applyAlignment="1">
      <alignment horizontal="left" vertical="top"/>
    </xf>
    <xf numFmtId="0" fontId="8" fillId="2" borderId="1" xfId="2" applyFont="1" applyFill="1" applyBorder="1" applyAlignment="1">
      <alignment horizontal="left" vertical="top"/>
    </xf>
    <xf numFmtId="0" fontId="8" fillId="2" borderId="1" xfId="2" applyFont="1" applyFill="1" applyBorder="1" applyAlignment="1">
      <alignment horizontal="right" vertical="top"/>
    </xf>
    <xf numFmtId="44" fontId="8" fillId="2" borderId="1" xfId="3" applyFont="1" applyFill="1" applyBorder="1" applyAlignment="1">
      <alignment horizontal="left" vertical="top"/>
    </xf>
    <xf numFmtId="0" fontId="8" fillId="0" borderId="1" xfId="2" applyFont="1" applyBorder="1" applyAlignment="1">
      <alignment horizontal="right" vertical="top"/>
    </xf>
    <xf numFmtId="44" fontId="8" fillId="0" borderId="0" xfId="2" applyNumberFormat="1" applyFont="1"/>
    <xf numFmtId="0" fontId="20" fillId="0" borderId="0" xfId="2" applyFont="1"/>
    <xf numFmtId="44" fontId="8" fillId="0" borderId="2" xfId="3" applyFont="1" applyFill="1" applyBorder="1" applyAlignment="1">
      <alignment horizontal="left" vertical="top"/>
    </xf>
    <xf numFmtId="43" fontId="28" fillId="0" borderId="0" xfId="8" applyFont="1" applyAlignment="1">
      <alignment horizontal="right"/>
    </xf>
    <xf numFmtId="43" fontId="29" fillId="0" borderId="0" xfId="8" applyFont="1"/>
    <xf numFmtId="43" fontId="30" fillId="0" borderId="0" xfId="8" applyFont="1" applyAlignment="1">
      <alignment horizontal="right"/>
    </xf>
    <xf numFmtId="44" fontId="33" fillId="3" borderId="1" xfId="2" applyNumberFormat="1" applyFont="1" applyFill="1" applyBorder="1" applyAlignment="1">
      <alignment horizontal="center" vertical="top"/>
    </xf>
    <xf numFmtId="0" fontId="9" fillId="0" borderId="1" xfId="2" applyFont="1" applyBorder="1" applyAlignment="1">
      <alignment horizontal="left" vertical="top" wrapText="1"/>
    </xf>
    <xf numFmtId="44" fontId="9" fillId="0" borderId="1" xfId="3" applyFont="1" applyBorder="1" applyAlignment="1">
      <alignment horizontal="left" vertical="top"/>
    </xf>
    <xf numFmtId="0" fontId="7" fillId="0" borderId="1" xfId="2" applyFont="1" applyBorder="1" applyAlignment="1">
      <alignment horizontal="left" vertical="top" wrapText="1"/>
    </xf>
    <xf numFmtId="44" fontId="33" fillId="0" borderId="1" xfId="3" applyFont="1" applyFill="1" applyBorder="1" applyAlignment="1">
      <alignment horizontal="left" vertical="top"/>
    </xf>
    <xf numFmtId="44" fontId="32" fillId="0" borderId="1" xfId="3" applyFont="1" applyBorder="1" applyAlignment="1">
      <alignment horizontal="left" vertical="top"/>
    </xf>
    <xf numFmtId="0" fontId="20" fillId="0" borderId="1" xfId="2" applyFont="1" applyBorder="1" applyAlignment="1">
      <alignment horizontal="left" vertical="top" wrapText="1"/>
    </xf>
    <xf numFmtId="44" fontId="33" fillId="3" borderId="1" xfId="2" applyNumberFormat="1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43" fontId="30" fillId="0" borderId="0" xfId="8" applyFont="1" applyAlignment="1">
      <alignment horizontal="center" vertical="center"/>
    </xf>
    <xf numFmtId="43" fontId="23" fillId="0" borderId="0" xfId="8" applyFont="1" applyAlignment="1">
      <alignment horizontal="center" vertical="center"/>
    </xf>
    <xf numFmtId="10" fontId="22" fillId="0" borderId="0" xfId="1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10" fontId="34" fillId="0" borderId="1" xfId="1" applyNumberFormat="1" applyFont="1" applyFill="1" applyBorder="1" applyAlignment="1">
      <alignment horizontal="right" vertical="center"/>
    </xf>
    <xf numFmtId="0" fontId="8" fillId="4" borderId="1" xfId="2" applyFont="1" applyFill="1" applyBorder="1" applyAlignment="1">
      <alignment horizontal="center" vertical="top"/>
    </xf>
    <xf numFmtId="0" fontId="7" fillId="4" borderId="1" xfId="2" applyFont="1" applyFill="1" applyBorder="1" applyAlignment="1">
      <alignment horizontal="left" vertical="top" wrapText="1"/>
    </xf>
    <xf numFmtId="44" fontId="33" fillId="4" borderId="1" xfId="3" applyFont="1" applyFill="1" applyBorder="1" applyAlignment="1">
      <alignment horizontal="left" vertical="top"/>
    </xf>
    <xf numFmtId="44" fontId="32" fillId="4" borderId="1" xfId="3" applyFont="1" applyFill="1" applyBorder="1" applyAlignment="1">
      <alignment horizontal="left" vertical="top"/>
    </xf>
    <xf numFmtId="0" fontId="6" fillId="4" borderId="0" xfId="2" applyFont="1" applyFill="1"/>
    <xf numFmtId="43" fontId="29" fillId="4" borderId="0" xfId="8" applyFont="1" applyFill="1"/>
    <xf numFmtId="43" fontId="24" fillId="4" borderId="0" xfId="8" applyFont="1" applyFill="1"/>
    <xf numFmtId="10" fontId="21" fillId="4" borderId="0" xfId="1" applyNumberFormat="1" applyFont="1" applyFill="1"/>
    <xf numFmtId="10" fontId="16" fillId="4" borderId="0" xfId="1" applyNumberFormat="1" applyFont="1" applyFill="1"/>
    <xf numFmtId="9" fontId="33" fillId="4" borderId="1" xfId="3" applyNumberFormat="1" applyFont="1" applyFill="1" applyBorder="1" applyAlignment="1">
      <alignment horizontal="right" vertical="top"/>
    </xf>
    <xf numFmtId="43" fontId="7" fillId="0" borderId="0" xfId="8" applyFont="1" applyAlignment="1">
      <alignment horizontal="center" vertical="center"/>
    </xf>
    <xf numFmtId="0" fontId="9" fillId="3" borderId="1" xfId="2" applyFont="1" applyFill="1" applyBorder="1" applyAlignment="1">
      <alignment horizontal="left" vertical="center" wrapText="1"/>
    </xf>
    <xf numFmtId="44" fontId="9" fillId="3" borderId="1" xfId="3" applyFont="1" applyFill="1" applyBorder="1" applyAlignment="1">
      <alignment horizontal="center" vertical="center" wrapText="1"/>
    </xf>
    <xf numFmtId="0" fontId="6" fillId="0" borderId="0" xfId="2" applyFont="1" applyAlignment="1">
      <alignment vertical="center"/>
    </xf>
    <xf numFmtId="43" fontId="7" fillId="0" borderId="0" xfId="8" applyFont="1" applyAlignment="1">
      <alignment vertical="center"/>
    </xf>
    <xf numFmtId="43" fontId="36" fillId="0" borderId="0" xfId="10" applyNumberFormat="1" applyFont="1"/>
    <xf numFmtId="0" fontId="37" fillId="0" borderId="0" xfId="2" applyFont="1" applyAlignment="1">
      <alignment horizontal="center" vertical="top"/>
    </xf>
    <xf numFmtId="0" fontId="37" fillId="0" borderId="0" xfId="2" applyFont="1" applyAlignment="1">
      <alignment horizontal="right" vertical="top"/>
    </xf>
    <xf numFmtId="0" fontId="8" fillId="0" borderId="0" xfId="2" applyFont="1" applyAlignment="1">
      <alignment horizontal="left" vertical="top"/>
    </xf>
    <xf numFmtId="0" fontId="38" fillId="0" borderId="0" xfId="2" applyFont="1" applyAlignment="1">
      <alignment horizontal="center" vertical="top"/>
    </xf>
    <xf numFmtId="0" fontId="38" fillId="0" borderId="0" xfId="2" applyFont="1" applyAlignment="1">
      <alignment horizontal="right" vertical="top"/>
    </xf>
    <xf numFmtId="43" fontId="8" fillId="0" borderId="0" xfId="8" applyFont="1"/>
    <xf numFmtId="43" fontId="4" fillId="0" borderId="0" xfId="8" applyFont="1"/>
    <xf numFmtId="0" fontId="9" fillId="3" borderId="1" xfId="2" applyFont="1" applyFill="1" applyBorder="1" applyAlignment="1">
      <alignment horizontal="center" vertical="center" wrapText="1"/>
    </xf>
    <xf numFmtId="44" fontId="16" fillId="3" borderId="1" xfId="2" applyNumberFormat="1" applyFont="1" applyFill="1" applyBorder="1" applyAlignment="1">
      <alignment horizontal="center" vertical="center"/>
    </xf>
    <xf numFmtId="0" fontId="33" fillId="0" borderId="1" xfId="2" applyFont="1" applyBorder="1" applyAlignment="1">
      <alignment horizontal="center" vertical="center"/>
    </xf>
    <xf numFmtId="0" fontId="5" fillId="0" borderId="0" xfId="2" applyFont="1" applyAlignment="1">
      <alignment horizontal="center" vertical="top"/>
    </xf>
    <xf numFmtId="0" fontId="7" fillId="0" borderId="0" xfId="2" applyFont="1" applyAlignment="1">
      <alignment horizontal="left" vertical="top" wrapText="1"/>
    </xf>
    <xf numFmtId="0" fontId="3" fillId="0" borderId="0" xfId="2" applyFont="1" applyAlignment="1">
      <alignment horizontal="left" vertical="top"/>
    </xf>
    <xf numFmtId="0" fontId="9" fillId="3" borderId="1" xfId="2" applyFont="1" applyFill="1" applyBorder="1" applyAlignment="1">
      <alignment horizontal="center" vertical="center"/>
    </xf>
    <xf numFmtId="0" fontId="4" fillId="0" borderId="0" xfId="2" applyFont="1" applyAlignment="1">
      <alignment horizontal="left" vertical="top"/>
    </xf>
    <xf numFmtId="0" fontId="9" fillId="0" borderId="1" xfId="2" applyFont="1" applyBorder="1" applyAlignment="1">
      <alignment horizontal="right" vertical="top"/>
    </xf>
    <xf numFmtId="0" fontId="9" fillId="2" borderId="1" xfId="2" applyFont="1" applyFill="1" applyBorder="1" applyAlignment="1">
      <alignment horizontal="center" vertical="top"/>
    </xf>
    <xf numFmtId="0" fontId="27" fillId="3" borderId="1" xfId="2" applyFont="1" applyFill="1" applyBorder="1" applyAlignment="1">
      <alignment horizontal="center" vertical="top" wrapText="1"/>
    </xf>
    <xf numFmtId="0" fontId="27" fillId="3" borderId="1" xfId="2" applyFont="1" applyFill="1" applyBorder="1" applyAlignment="1">
      <alignment horizontal="left" vertical="top" wrapText="1"/>
    </xf>
    <xf numFmtId="0" fontId="27" fillId="3" borderId="1" xfId="2" applyFont="1" applyFill="1" applyBorder="1" applyAlignment="1">
      <alignment horizontal="center" vertical="top"/>
    </xf>
    <xf numFmtId="0" fontId="9" fillId="3" borderId="1" xfId="2" applyFont="1" applyFill="1" applyBorder="1" applyAlignment="1">
      <alignment horizontal="right" vertical="top"/>
    </xf>
    <xf numFmtId="0" fontId="8" fillId="0" borderId="2" xfId="2" applyFont="1" applyBorder="1" applyAlignment="1">
      <alignment horizontal="left" vertical="top" wrapText="1"/>
    </xf>
    <xf numFmtId="0" fontId="8" fillId="0" borderId="4" xfId="2" applyFont="1" applyBorder="1" applyAlignment="1">
      <alignment horizontal="left" vertical="top" wrapText="1"/>
    </xf>
    <xf numFmtId="0" fontId="11" fillId="0" borderId="1" xfId="5" applyFont="1" applyBorder="1" applyAlignment="1">
      <alignment horizontal="center" vertical="center"/>
    </xf>
    <xf numFmtId="0" fontId="15" fillId="0" borderId="0" xfId="5" applyFont="1" applyAlignment="1">
      <alignment horizontal="left" vertical="center" wrapText="1"/>
    </xf>
    <xf numFmtId="0" fontId="11" fillId="0" borderId="1" xfId="5" applyFont="1" applyBorder="1" applyAlignment="1">
      <alignment horizontal="center"/>
    </xf>
    <xf numFmtId="0" fontId="12" fillId="5" borderId="1" xfId="5" applyFont="1" applyFill="1" applyBorder="1" applyAlignment="1">
      <alignment horizontal="center" vertical="center"/>
    </xf>
    <xf numFmtId="0" fontId="12" fillId="6" borderId="1" xfId="5" applyFont="1" applyFill="1" applyBorder="1" applyAlignment="1">
      <alignment horizontal="center" vertical="center"/>
    </xf>
    <xf numFmtId="0" fontId="17" fillId="0" borderId="0" xfId="5" applyFont="1" applyAlignment="1">
      <alignment horizontal="left" vertical="center" wrapText="1"/>
    </xf>
    <xf numFmtId="0" fontId="16" fillId="4" borderId="7" xfId="0" applyFont="1" applyFill="1" applyBorder="1" applyAlignment="1">
      <alignment horizontal="center"/>
    </xf>
    <xf numFmtId="0" fontId="16" fillId="4" borderId="9" xfId="0" applyFont="1" applyFill="1" applyBorder="1" applyAlignment="1">
      <alignment horizontal="center"/>
    </xf>
    <xf numFmtId="0" fontId="16" fillId="7" borderId="7" xfId="0" applyFont="1" applyFill="1" applyBorder="1" applyAlignment="1">
      <alignment horizontal="center"/>
    </xf>
    <xf numFmtId="0" fontId="16" fillId="7" borderId="8" xfId="0" applyFont="1" applyFill="1" applyBorder="1" applyAlignment="1">
      <alignment horizontal="center"/>
    </xf>
  </cellXfs>
  <cellStyles count="11">
    <cellStyle name="Hiperlink" xfId="10" builtinId="8"/>
    <cellStyle name="Moeda 2" xfId="3" xr:uid="{411B536C-F8F7-47AF-9802-400E5518F8F2}"/>
    <cellStyle name="Normal" xfId="0" builtinId="0"/>
    <cellStyle name="Normal 184" xfId="9" xr:uid="{76461CE6-BEF6-4672-B4AE-59CAB6AA9A0B}"/>
    <cellStyle name="Normal 2" xfId="2" xr:uid="{158B84B9-9D3A-4318-AC00-1C2767DBF503}"/>
    <cellStyle name="Normal 20 2" xfId="7" xr:uid="{12329B0D-D54C-4ED8-B732-433B98D1878E}"/>
    <cellStyle name="Normal 3 2 4" xfId="5" xr:uid="{048735C9-D73F-47CC-B67D-174A37FDD9B3}"/>
    <cellStyle name="Porcentagem" xfId="1" builtinId="5"/>
    <cellStyle name="Porcentagem 2" xfId="4" xr:uid="{AE42B169-CC60-4D25-BE49-9D0B50F31FBD}"/>
    <cellStyle name="Porcentagem 3 2 2" xfId="6" xr:uid="{55A65F9D-8C69-4E46-924A-4F07DD7C45A9}"/>
    <cellStyle name="Vírgula" xfId="8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B6C95-8E60-4044-B6E4-3CEED1F51ADC}">
  <sheetPr>
    <tabColor rgb="FF92D050"/>
  </sheetPr>
  <dimension ref="A1:L18"/>
  <sheetViews>
    <sheetView view="pageBreakPreview" zoomScale="115" zoomScaleNormal="100" zoomScaleSheetLayoutView="115" workbookViewId="0">
      <selection sqref="A1:F1"/>
    </sheetView>
  </sheetViews>
  <sheetFormatPr defaultRowHeight="14" x14ac:dyDescent="0.3"/>
  <cols>
    <col min="1" max="1" width="3.453125" style="1" customWidth="1"/>
    <col min="2" max="2" width="38.26953125" style="1" customWidth="1"/>
    <col min="3" max="3" width="10.6328125" style="2" customWidth="1"/>
    <col min="4" max="5" width="9.7265625" style="1" customWidth="1"/>
    <col min="6" max="6" width="10.6328125" style="1" customWidth="1"/>
    <col min="7" max="7" width="3.81640625" style="1" bestFit="1" customWidth="1"/>
    <col min="8" max="8" width="12.90625" style="43" bestFit="1" customWidth="1"/>
    <col min="9" max="9" width="11.54296875" style="1" bestFit="1" customWidth="1"/>
    <col min="10" max="10" width="6.26953125" style="1" customWidth="1"/>
    <col min="11" max="11" width="4.1796875" style="1" bestFit="1" customWidth="1"/>
    <col min="12" max="12" width="5.08984375" style="1" bestFit="1" customWidth="1"/>
    <col min="13" max="13" width="23.6328125" style="1" bestFit="1" customWidth="1"/>
    <col min="14" max="14" width="2.90625" style="1" bestFit="1" customWidth="1"/>
    <col min="15" max="15" width="12.453125" style="1" customWidth="1"/>
    <col min="16" max="16384" width="8.7265625" style="1"/>
  </cols>
  <sheetData>
    <row r="1" spans="1:12" s="4" customFormat="1" x14ac:dyDescent="0.3">
      <c r="A1" s="151" t="s">
        <v>179</v>
      </c>
      <c r="B1" s="151"/>
      <c r="C1" s="151"/>
      <c r="D1" s="151"/>
      <c r="E1" s="151"/>
      <c r="F1" s="151"/>
      <c r="H1" s="42"/>
    </row>
    <row r="2" spans="1:12" s="4" customFormat="1" x14ac:dyDescent="0.3">
      <c r="A2" s="5"/>
      <c r="B2" s="5"/>
      <c r="C2" s="5"/>
      <c r="D2" s="5"/>
      <c r="E2" s="5"/>
      <c r="F2" s="5"/>
      <c r="H2" s="42"/>
    </row>
    <row r="3" spans="1:12" s="4" customFormat="1" ht="56" customHeight="1" x14ac:dyDescent="0.3">
      <c r="A3" s="152" t="s">
        <v>193</v>
      </c>
      <c r="B3" s="152"/>
      <c r="C3" s="152"/>
      <c r="D3" s="152"/>
      <c r="E3" s="152"/>
      <c r="F3" s="152"/>
      <c r="H3" s="59"/>
    </row>
    <row r="4" spans="1:12" s="4" customFormat="1" x14ac:dyDescent="0.3">
      <c r="A4" s="6" t="s">
        <v>139</v>
      </c>
      <c r="B4" s="39"/>
      <c r="C4" s="3"/>
      <c r="D4" s="3"/>
      <c r="E4" s="3"/>
      <c r="F4" s="3"/>
      <c r="H4" s="42"/>
    </row>
    <row r="5" spans="1:12" x14ac:dyDescent="0.3">
      <c r="A5" s="6" t="s">
        <v>185</v>
      </c>
      <c r="B5" s="3"/>
      <c r="C5" s="3"/>
      <c r="D5" s="3"/>
      <c r="E5" s="3"/>
      <c r="F5" s="3"/>
    </row>
    <row r="6" spans="1:12" x14ac:dyDescent="0.3">
      <c r="A6" s="153"/>
      <c r="B6" s="153"/>
      <c r="C6" s="153"/>
      <c r="D6" s="153"/>
      <c r="E6" s="153"/>
      <c r="F6" s="153"/>
    </row>
    <row r="7" spans="1:12" s="138" customFormat="1" x14ac:dyDescent="0.35">
      <c r="A7" s="136" t="s">
        <v>10</v>
      </c>
      <c r="B7" s="136" t="s">
        <v>13</v>
      </c>
      <c r="C7" s="137" t="s">
        <v>178</v>
      </c>
      <c r="D7" s="137" t="s">
        <v>180</v>
      </c>
      <c r="E7" s="137" t="s">
        <v>181</v>
      </c>
      <c r="F7" s="137" t="s">
        <v>182</v>
      </c>
      <c r="H7" s="139"/>
    </row>
    <row r="8" spans="1:12" s="4" customFormat="1" x14ac:dyDescent="0.3">
      <c r="A8" s="74"/>
      <c r="B8" s="112"/>
      <c r="C8" s="113"/>
      <c r="D8" s="113"/>
      <c r="E8" s="113"/>
      <c r="F8" s="113"/>
      <c r="H8" s="108"/>
      <c r="I8" s="63"/>
      <c r="J8" s="61"/>
    </row>
    <row r="9" spans="1:12" s="129" customFormat="1" ht="72" x14ac:dyDescent="0.3">
      <c r="A9" s="125">
        <v>3</v>
      </c>
      <c r="B9" s="126" t="s">
        <v>190</v>
      </c>
      <c r="C9" s="127">
        <f>'COMPOSIÇÃO 003'!$H$72</f>
        <v>346737.95999999996</v>
      </c>
      <c r="D9" s="128">
        <f>ROUND($C9*D10,2)</f>
        <v>104021.39</v>
      </c>
      <c r="E9" s="128">
        <f t="shared" ref="E9:F9" si="0">ROUND($C9*E10,2)</f>
        <v>138695.18</v>
      </c>
      <c r="F9" s="128">
        <f t="shared" si="0"/>
        <v>104021.39</v>
      </c>
      <c r="H9" s="130"/>
      <c r="I9" s="131"/>
      <c r="J9" s="132"/>
      <c r="L9" s="133"/>
    </row>
    <row r="10" spans="1:12" s="4" customFormat="1" x14ac:dyDescent="0.3">
      <c r="A10" s="74"/>
      <c r="B10" s="114"/>
      <c r="C10" s="115"/>
      <c r="D10" s="134">
        <v>0.3</v>
      </c>
      <c r="E10" s="134">
        <v>0.4</v>
      </c>
      <c r="F10" s="134">
        <v>0.3</v>
      </c>
      <c r="H10" s="109"/>
      <c r="I10" s="64"/>
      <c r="J10" s="62"/>
      <c r="L10" s="56"/>
    </row>
    <row r="11" spans="1:12" s="4" customFormat="1" x14ac:dyDescent="0.3">
      <c r="A11" s="74"/>
      <c r="B11" s="117"/>
      <c r="C11" s="111">
        <f>SUM(C8:C10)</f>
        <v>346737.95999999996</v>
      </c>
      <c r="D11" s="116"/>
      <c r="E11" s="116"/>
      <c r="F11" s="116"/>
      <c r="H11" s="109"/>
      <c r="I11" s="65"/>
      <c r="J11" s="62"/>
    </row>
    <row r="12" spans="1:12" s="123" customFormat="1" x14ac:dyDescent="0.35">
      <c r="A12" s="150" t="s">
        <v>183</v>
      </c>
      <c r="B12" s="150"/>
      <c r="C12" s="150"/>
      <c r="D12" s="118">
        <f>D9</f>
        <v>104021.39</v>
      </c>
      <c r="E12" s="118">
        <f t="shared" ref="E12:F12" si="1">E9</f>
        <v>138695.18</v>
      </c>
      <c r="F12" s="118">
        <f t="shared" si="1"/>
        <v>104021.39</v>
      </c>
      <c r="G12" s="119"/>
      <c r="H12" s="120"/>
      <c r="I12" s="121"/>
      <c r="J12" s="122"/>
    </row>
    <row r="13" spans="1:12" x14ac:dyDescent="0.3">
      <c r="A13" s="150"/>
      <c r="B13" s="150"/>
      <c r="C13" s="150"/>
      <c r="D13" s="124">
        <f>D12/$C$11</f>
        <v>0.30000000576804459</v>
      </c>
      <c r="E13" s="124">
        <f>E12/$C$11</f>
        <v>0.39999998846391094</v>
      </c>
      <c r="F13" s="124">
        <f>F12/$C$11</f>
        <v>0.30000000576804459</v>
      </c>
    </row>
    <row r="14" spans="1:12" s="123" customFormat="1" x14ac:dyDescent="0.35">
      <c r="A14" s="150" t="s">
        <v>184</v>
      </c>
      <c r="B14" s="150"/>
      <c r="C14" s="150"/>
      <c r="D14" s="118">
        <f>D12</f>
        <v>104021.39</v>
      </c>
      <c r="E14" s="118">
        <f>D14+E12</f>
        <v>242716.57</v>
      </c>
      <c r="F14" s="118">
        <f>E14+F12</f>
        <v>346737.96</v>
      </c>
      <c r="G14" s="135">
        <f>C11-F14</f>
        <v>0</v>
      </c>
      <c r="H14" s="120"/>
      <c r="I14" s="121"/>
      <c r="J14" s="122"/>
    </row>
    <row r="15" spans="1:12" x14ac:dyDescent="0.3">
      <c r="A15" s="150"/>
      <c r="B15" s="150"/>
      <c r="C15" s="150"/>
      <c r="D15" s="124">
        <f>D13</f>
        <v>0.30000000576804459</v>
      </c>
      <c r="E15" s="124">
        <f>D15+E13</f>
        <v>0.69999999423195547</v>
      </c>
      <c r="F15" s="124">
        <f>E15+F13</f>
        <v>1</v>
      </c>
    </row>
    <row r="18" spans="1:12" s="43" customFormat="1" x14ac:dyDescent="0.3">
      <c r="A18" s="1"/>
      <c r="B18" s="1"/>
      <c r="C18" s="2"/>
      <c r="D18" s="1"/>
      <c r="E18" s="1"/>
      <c r="F18" s="1"/>
      <c r="G18" s="14"/>
      <c r="I18" s="1"/>
      <c r="J18" s="1"/>
      <c r="K18" s="1"/>
      <c r="L18" s="1"/>
    </row>
  </sheetData>
  <mergeCells count="5">
    <mergeCell ref="A14:C15"/>
    <mergeCell ref="A1:F1"/>
    <mergeCell ref="A3:F3"/>
    <mergeCell ref="A6:F6"/>
    <mergeCell ref="A12:C13"/>
  </mergeCells>
  <phoneticPr fontId="31" type="noConversion"/>
  <printOptions horizontalCentered="1"/>
  <pageMargins left="0.47244094488188981" right="0.47244094488188981" top="0.59055118110236227" bottom="0.47244094488188981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9AADE-046E-4811-9474-9FE2493B434A}">
  <sheetPr>
    <tabColor rgb="FF7030A0"/>
  </sheetPr>
  <dimension ref="A1:N15"/>
  <sheetViews>
    <sheetView tabSelected="1" view="pageBreakPreview" zoomScale="115" zoomScaleNormal="100" zoomScaleSheetLayoutView="115" workbookViewId="0">
      <selection sqref="A1:H1"/>
    </sheetView>
  </sheetViews>
  <sheetFormatPr defaultRowHeight="14" x14ac:dyDescent="0.3"/>
  <cols>
    <col min="1" max="1" width="3.453125" style="1" customWidth="1"/>
    <col min="2" max="2" width="8" style="1" bestFit="1" customWidth="1"/>
    <col min="3" max="3" width="5.08984375" style="1" bestFit="1" customWidth="1"/>
    <col min="4" max="4" width="44.90625" style="1" customWidth="1"/>
    <col min="5" max="5" width="3.54296875" style="4" bestFit="1" customWidth="1"/>
    <col min="6" max="6" width="4.6328125" style="41" bestFit="1" customWidth="1"/>
    <col min="7" max="7" width="9.6328125" style="2" customWidth="1"/>
    <col min="8" max="8" width="13.08984375" style="1" customWidth="1"/>
    <col min="9" max="9" width="2.54296875" style="1" customWidth="1"/>
    <col min="10" max="10" width="12.90625" style="43" bestFit="1" customWidth="1"/>
    <col min="11" max="11" width="11.54296875" style="1" bestFit="1" customWidth="1"/>
    <col min="12" max="12" width="6.26953125" style="1" customWidth="1"/>
    <col min="13" max="13" width="4.1796875" style="1" bestFit="1" customWidth="1"/>
    <col min="14" max="14" width="5.08984375" style="1" bestFit="1" customWidth="1"/>
    <col min="15" max="15" width="23.6328125" style="1" bestFit="1" customWidth="1"/>
    <col min="16" max="16" width="2.90625" style="1" bestFit="1" customWidth="1"/>
    <col min="17" max="17" width="12.453125" style="1" customWidth="1"/>
    <col min="18" max="16384" width="8.7265625" style="1"/>
  </cols>
  <sheetData>
    <row r="1" spans="1:14" s="4" customFormat="1" x14ac:dyDescent="0.3">
      <c r="A1" s="151" t="s">
        <v>97</v>
      </c>
      <c r="B1" s="151"/>
      <c r="C1" s="151"/>
      <c r="D1" s="151"/>
      <c r="E1" s="151"/>
      <c r="F1" s="151"/>
      <c r="G1" s="151"/>
      <c r="H1" s="151"/>
      <c r="J1" s="42"/>
    </row>
    <row r="2" spans="1:14" s="69" customFormat="1" ht="8" x14ac:dyDescent="0.2">
      <c r="A2" s="144"/>
      <c r="B2" s="144"/>
      <c r="C2" s="144"/>
      <c r="D2" s="144"/>
      <c r="E2" s="144"/>
      <c r="F2" s="145"/>
      <c r="G2" s="144"/>
      <c r="H2" s="144"/>
      <c r="J2" s="146"/>
    </row>
    <row r="3" spans="1:14" s="4" customFormat="1" ht="45.5" customHeight="1" x14ac:dyDescent="0.3">
      <c r="A3" s="152" t="s">
        <v>193</v>
      </c>
      <c r="B3" s="152"/>
      <c r="C3" s="152"/>
      <c r="D3" s="152"/>
      <c r="E3" s="152"/>
      <c r="F3" s="152"/>
      <c r="G3" s="152"/>
      <c r="H3" s="152"/>
      <c r="J3" s="59"/>
    </row>
    <row r="4" spans="1:14" s="4" customFormat="1" x14ac:dyDescent="0.3">
      <c r="A4" s="6" t="s">
        <v>139</v>
      </c>
      <c r="B4" s="39"/>
      <c r="C4" s="39"/>
      <c r="D4" s="39"/>
      <c r="E4" s="3"/>
      <c r="F4" s="11"/>
      <c r="G4" s="3"/>
      <c r="H4" s="3"/>
      <c r="J4" s="140"/>
    </row>
    <row r="5" spans="1:14" x14ac:dyDescent="0.3">
      <c r="A5" s="6" t="s">
        <v>185</v>
      </c>
      <c r="B5" s="3"/>
      <c r="C5" s="3"/>
      <c r="D5" s="3"/>
      <c r="E5" s="3"/>
      <c r="F5" s="11"/>
      <c r="G5" s="3"/>
      <c r="H5" s="3"/>
    </row>
    <row r="6" spans="1:14" s="68" customFormat="1" ht="8" x14ac:dyDescent="0.2">
      <c r="A6" s="155"/>
      <c r="B6" s="155"/>
      <c r="C6" s="155"/>
      <c r="D6" s="155"/>
      <c r="E6" s="155"/>
      <c r="F6" s="155"/>
      <c r="G6" s="155"/>
      <c r="H6" s="155"/>
      <c r="J6" s="147"/>
    </row>
    <row r="7" spans="1:14" s="4" customFormat="1" ht="16" x14ac:dyDescent="0.3">
      <c r="A7" s="148" t="s">
        <v>10</v>
      </c>
      <c r="B7" s="148" t="s">
        <v>11</v>
      </c>
      <c r="C7" s="148" t="s">
        <v>12</v>
      </c>
      <c r="D7" s="148" t="s">
        <v>13</v>
      </c>
      <c r="E7" s="148" t="s">
        <v>14</v>
      </c>
      <c r="F7" s="148" t="s">
        <v>15</v>
      </c>
      <c r="G7" s="55" t="s">
        <v>102</v>
      </c>
      <c r="H7" s="55" t="s">
        <v>101</v>
      </c>
      <c r="J7" s="42"/>
    </row>
    <row r="8" spans="1:14" s="4" customFormat="1" x14ac:dyDescent="0.3">
      <c r="A8" s="7"/>
      <c r="B8" s="8"/>
      <c r="C8" s="7"/>
      <c r="D8" s="13"/>
      <c r="E8" s="7"/>
      <c r="F8" s="49"/>
      <c r="G8" s="48"/>
      <c r="H8" s="50"/>
      <c r="J8" s="108"/>
      <c r="K8" s="63" t="s">
        <v>105</v>
      </c>
      <c r="L8" s="61" t="s">
        <v>6</v>
      </c>
    </row>
    <row r="9" spans="1:14" s="4" customFormat="1" ht="55.5" customHeight="1" x14ac:dyDescent="0.3">
      <c r="A9" s="7">
        <v>1</v>
      </c>
      <c r="B9" s="8" t="s">
        <v>98</v>
      </c>
      <c r="C9" s="67">
        <v>3</v>
      </c>
      <c r="D9" s="60" t="s">
        <v>189</v>
      </c>
      <c r="E9" s="7" t="s">
        <v>99</v>
      </c>
      <c r="F9" s="49">
        <v>1</v>
      </c>
      <c r="G9" s="107">
        <f>'COMPOSIÇÃO 003'!$H$72</f>
        <v>346737.95999999996</v>
      </c>
      <c r="H9" s="50">
        <f>F9*G9</f>
        <v>346737.95999999996</v>
      </c>
      <c r="J9" s="109"/>
      <c r="K9" s="64">
        <f>10000000+5000000</f>
        <v>15000000</v>
      </c>
      <c r="L9" s="62">
        <f t="shared" ref="L9" si="0">G9/K9</f>
        <v>2.3115863999999996E-2</v>
      </c>
      <c r="N9" s="56"/>
    </row>
    <row r="10" spans="1:14" s="4" customFormat="1" x14ac:dyDescent="0.3">
      <c r="A10" s="9"/>
      <c r="B10" s="10"/>
      <c r="C10" s="51"/>
      <c r="D10" s="52"/>
      <c r="E10" s="51"/>
      <c r="F10" s="53"/>
      <c r="G10" s="54"/>
      <c r="H10" s="54"/>
      <c r="J10" s="109"/>
      <c r="K10" s="65"/>
      <c r="L10" s="62"/>
    </row>
    <row r="11" spans="1:14" s="58" customFormat="1" x14ac:dyDescent="0.3">
      <c r="A11" s="154" t="s">
        <v>100</v>
      </c>
      <c r="B11" s="154"/>
      <c r="C11" s="154"/>
      <c r="D11" s="154"/>
      <c r="E11" s="154"/>
      <c r="F11" s="154"/>
      <c r="G11" s="154"/>
      <c r="H11" s="149">
        <f>SUM(H8:H10)</f>
        <v>346737.95999999996</v>
      </c>
      <c r="I11" s="57"/>
      <c r="J11" s="110"/>
      <c r="K11" s="63">
        <f>SUM(K9:K10)</f>
        <v>15000000</v>
      </c>
      <c r="L11" s="66">
        <f>H11/K11</f>
        <v>2.3115863999999996E-2</v>
      </c>
    </row>
    <row r="12" spans="1:14" x14ac:dyDescent="0.3">
      <c r="H12" s="14"/>
    </row>
    <row r="15" spans="1:14" x14ac:dyDescent="0.3">
      <c r="I15" s="14"/>
    </row>
  </sheetData>
  <mergeCells count="4">
    <mergeCell ref="A11:G11"/>
    <mergeCell ref="A1:H1"/>
    <mergeCell ref="A6:H6"/>
    <mergeCell ref="A3:H3"/>
  </mergeCells>
  <printOptions horizontalCentered="1"/>
  <pageMargins left="0.47244094488188981" right="0.47244094488188981" top="0.59055118110236227" bottom="0.47244094488188981" header="0.31496062992125984" footer="0.31496062992125984"/>
  <pageSetup paperSize="9" scale="9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1628D-BC4C-4F53-95F0-9897E467101E}">
  <sheetPr>
    <tabColor theme="6" tint="0.79998168889431442"/>
  </sheetPr>
  <dimension ref="A1:J72"/>
  <sheetViews>
    <sheetView view="pageBreakPreview" zoomScale="115" zoomScaleNormal="100" zoomScaleSheetLayoutView="115" workbookViewId="0">
      <selection sqref="A1:H1"/>
    </sheetView>
  </sheetViews>
  <sheetFormatPr defaultRowHeight="14" x14ac:dyDescent="0.3"/>
  <cols>
    <col min="1" max="1" width="5.453125" style="1" customWidth="1"/>
    <col min="2" max="2" width="13.26953125" style="1" customWidth="1"/>
    <col min="3" max="3" width="6.90625" style="1" customWidth="1"/>
    <col min="4" max="4" width="34.54296875" style="1" customWidth="1"/>
    <col min="5" max="5" width="7.36328125" style="1" customWidth="1"/>
    <col min="6" max="6" width="5.08984375" style="12" bestFit="1" customWidth="1"/>
    <col min="7" max="7" width="9.6328125" style="2" customWidth="1"/>
    <col min="8" max="8" width="13.08984375" style="1" customWidth="1"/>
    <col min="9" max="9" width="2.54296875" style="1" customWidth="1"/>
    <col min="10" max="10" width="12.90625" style="1" bestFit="1" customWidth="1"/>
    <col min="11" max="11" width="10.54296875" style="1" customWidth="1"/>
    <col min="12" max="12" width="2.6328125" style="1" customWidth="1"/>
    <col min="13" max="13" width="4.1796875" style="1" bestFit="1" customWidth="1"/>
    <col min="14" max="14" width="3.81640625" style="1" bestFit="1" customWidth="1"/>
    <col min="15" max="15" width="23.6328125" style="1" bestFit="1" customWidth="1"/>
    <col min="16" max="16" width="2.90625" style="1" bestFit="1" customWidth="1"/>
    <col min="17" max="17" width="12.453125" style="1" customWidth="1"/>
    <col min="18" max="16384" width="8.7265625" style="1"/>
  </cols>
  <sheetData>
    <row r="1" spans="1:10" x14ac:dyDescent="0.3">
      <c r="A1" s="151" t="s">
        <v>172</v>
      </c>
      <c r="B1" s="151"/>
      <c r="C1" s="151"/>
      <c r="D1" s="151"/>
      <c r="E1" s="151"/>
      <c r="F1" s="151"/>
      <c r="G1" s="151"/>
      <c r="H1" s="151"/>
    </row>
    <row r="2" spans="1:10" s="68" customFormat="1" ht="8" x14ac:dyDescent="0.2">
      <c r="A2" s="141"/>
      <c r="B2" s="141"/>
      <c r="C2" s="141"/>
      <c r="D2" s="141"/>
      <c r="E2" s="141"/>
      <c r="F2" s="142"/>
      <c r="G2" s="141"/>
      <c r="H2" s="141"/>
    </row>
    <row r="3" spans="1:10" ht="33" customHeight="1" x14ac:dyDescent="0.3">
      <c r="A3" s="152" t="s">
        <v>191</v>
      </c>
      <c r="B3" s="152"/>
      <c r="C3" s="152"/>
      <c r="D3" s="152"/>
      <c r="E3" s="152"/>
      <c r="F3" s="152"/>
      <c r="G3" s="152"/>
      <c r="H3" s="152"/>
      <c r="J3" s="32"/>
    </row>
    <row r="4" spans="1:10" x14ac:dyDescent="0.3">
      <c r="A4" s="152" t="s">
        <v>192</v>
      </c>
      <c r="B4" s="152"/>
      <c r="C4" s="152"/>
      <c r="D4" s="152"/>
      <c r="E4" s="152"/>
      <c r="F4" s="152"/>
      <c r="G4" s="152"/>
      <c r="H4" s="152"/>
      <c r="J4" s="32"/>
    </row>
    <row r="5" spans="1:10" s="4" customFormat="1" x14ac:dyDescent="0.3">
      <c r="A5" s="6" t="str">
        <f>ORÇAMENTO!A4</f>
        <v>REFERÊNCIAS: SINAPI SETEMBRO/2025 / SICRO-DNIT CONSULTORIAS JULHO/2025</v>
      </c>
      <c r="B5" s="39"/>
      <c r="C5" s="39"/>
      <c r="D5" s="39"/>
      <c r="E5" s="39"/>
      <c r="F5" s="40"/>
      <c r="G5" s="39"/>
      <c r="H5" s="39"/>
    </row>
    <row r="6" spans="1:10" s="4" customFormat="1" x14ac:dyDescent="0.3">
      <c r="A6" s="6" t="str">
        <f>ORÇAMENTO!A5</f>
        <v>DATA-BASE: JANEIRO/2026</v>
      </c>
      <c r="B6" s="39"/>
      <c r="C6" s="39"/>
      <c r="D6" s="39"/>
      <c r="E6" s="39"/>
      <c r="F6" s="40"/>
      <c r="G6" s="39"/>
      <c r="H6" s="39"/>
    </row>
    <row r="7" spans="1:10" s="69" customFormat="1" ht="8" x14ac:dyDescent="0.2">
      <c r="A7" s="143"/>
      <c r="B7" s="39"/>
      <c r="C7" s="39"/>
      <c r="D7" s="39"/>
      <c r="E7" s="39"/>
      <c r="F7" s="40"/>
      <c r="G7" s="39"/>
      <c r="H7" s="39"/>
    </row>
    <row r="8" spans="1:10" s="70" customFormat="1" ht="8.5" x14ac:dyDescent="0.2">
      <c r="A8" s="158" t="s">
        <v>10</v>
      </c>
      <c r="B8" s="159" t="s">
        <v>96</v>
      </c>
      <c r="C8" s="159" t="s">
        <v>12</v>
      </c>
      <c r="D8" s="159" t="s">
        <v>18</v>
      </c>
      <c r="E8" s="158" t="s">
        <v>19</v>
      </c>
      <c r="F8" s="158" t="s">
        <v>15</v>
      </c>
      <c r="G8" s="160" t="s">
        <v>1</v>
      </c>
      <c r="H8" s="160"/>
    </row>
    <row r="9" spans="1:10" s="70" customFormat="1" ht="8.5" x14ac:dyDescent="0.2">
      <c r="A9" s="158" t="s">
        <v>10</v>
      </c>
      <c r="B9" s="159" t="s">
        <v>11</v>
      </c>
      <c r="C9" s="159" t="s">
        <v>12</v>
      </c>
      <c r="D9" s="159" t="s">
        <v>13</v>
      </c>
      <c r="E9" s="158" t="s">
        <v>14</v>
      </c>
      <c r="F9" s="158" t="s">
        <v>15</v>
      </c>
      <c r="G9" s="72" t="s">
        <v>16</v>
      </c>
      <c r="H9" s="71" t="s">
        <v>17</v>
      </c>
    </row>
    <row r="10" spans="1:10" s="69" customFormat="1" ht="8" x14ac:dyDescent="0.2">
      <c r="A10" s="9"/>
      <c r="B10" s="10"/>
      <c r="C10" s="51"/>
      <c r="D10" s="52"/>
      <c r="E10" s="51"/>
      <c r="F10" s="53"/>
      <c r="G10" s="54"/>
      <c r="H10" s="54"/>
    </row>
    <row r="11" spans="1:10" s="69" customFormat="1" ht="8" x14ac:dyDescent="0.2">
      <c r="A11" s="157" t="s">
        <v>2</v>
      </c>
      <c r="B11" s="157"/>
      <c r="C11" s="157"/>
      <c r="D11" s="91" t="s">
        <v>107</v>
      </c>
      <c r="E11" s="101"/>
      <c r="F11" s="102"/>
      <c r="G11" s="103"/>
      <c r="H11" s="101"/>
    </row>
    <row r="12" spans="1:10" s="69" customFormat="1" ht="8" x14ac:dyDescent="0.2">
      <c r="A12" s="9"/>
      <c r="B12" s="10"/>
      <c r="C12" s="51"/>
      <c r="D12" s="52"/>
      <c r="E12" s="51"/>
      <c r="F12" s="53"/>
      <c r="G12" s="54"/>
      <c r="H12" s="54"/>
    </row>
    <row r="13" spans="1:10" s="69" customFormat="1" ht="8" x14ac:dyDescent="0.2">
      <c r="A13" s="74" t="s">
        <v>23</v>
      </c>
      <c r="B13" s="75"/>
      <c r="C13" s="75"/>
      <c r="D13" s="80" t="s">
        <v>108</v>
      </c>
      <c r="E13" s="75"/>
      <c r="F13" s="104"/>
      <c r="G13" s="77"/>
      <c r="H13" s="77"/>
      <c r="J13" s="105"/>
    </row>
    <row r="14" spans="1:10" s="69" customFormat="1" ht="16" customHeight="1" x14ac:dyDescent="0.2">
      <c r="A14" s="7" t="s">
        <v>0</v>
      </c>
      <c r="B14" s="82" t="s">
        <v>138</v>
      </c>
      <c r="C14" s="8" t="s">
        <v>140</v>
      </c>
      <c r="D14" s="13" t="s">
        <v>141</v>
      </c>
      <c r="E14" s="8" t="s">
        <v>109</v>
      </c>
      <c r="F14" s="49">
        <f>1*(3/30)*10</f>
        <v>1</v>
      </c>
      <c r="G14" s="48">
        <v>16952.509999999998</v>
      </c>
      <c r="H14" s="50">
        <f>TRUNC(G14*F14,2)</f>
        <v>16952.509999999998</v>
      </c>
    </row>
    <row r="15" spans="1:10" s="69" customFormat="1" ht="16" x14ac:dyDescent="0.2">
      <c r="A15" s="84"/>
      <c r="B15" s="85"/>
      <c r="C15" s="86"/>
      <c r="D15" s="87" t="s">
        <v>186</v>
      </c>
      <c r="E15" s="86"/>
      <c r="F15" s="88"/>
      <c r="G15" s="89"/>
      <c r="H15" s="89"/>
    </row>
    <row r="16" spans="1:10" s="69" customFormat="1" ht="8" x14ac:dyDescent="0.2">
      <c r="A16" s="9"/>
      <c r="B16" s="10"/>
      <c r="C16" s="51"/>
      <c r="D16" s="36"/>
      <c r="E16" s="35"/>
      <c r="F16" s="37"/>
      <c r="G16" s="38"/>
      <c r="H16" s="54"/>
    </row>
    <row r="17" spans="1:8" s="69" customFormat="1" ht="16" x14ac:dyDescent="0.2">
      <c r="A17" s="7" t="s">
        <v>3</v>
      </c>
      <c r="B17" s="82" t="s">
        <v>138</v>
      </c>
      <c r="C17" s="8" t="s">
        <v>143</v>
      </c>
      <c r="D17" s="13" t="s">
        <v>142</v>
      </c>
      <c r="E17" s="8" t="s">
        <v>109</v>
      </c>
      <c r="F17" s="49">
        <f>1*(30/30)*3</f>
        <v>3</v>
      </c>
      <c r="G17" s="48">
        <v>14698.04</v>
      </c>
      <c r="H17" s="50">
        <f>TRUNC(G17*F17,2)</f>
        <v>44094.12</v>
      </c>
    </row>
    <row r="18" spans="1:8" s="69" customFormat="1" ht="16" x14ac:dyDescent="0.2">
      <c r="A18" s="84"/>
      <c r="B18" s="85"/>
      <c r="C18" s="86"/>
      <c r="D18" s="87" t="s">
        <v>188</v>
      </c>
      <c r="E18" s="86"/>
      <c r="F18" s="88"/>
      <c r="G18" s="89"/>
      <c r="H18" s="89"/>
    </row>
    <row r="19" spans="1:8" s="69" customFormat="1" ht="8" x14ac:dyDescent="0.2">
      <c r="A19" s="9"/>
      <c r="B19" s="10"/>
      <c r="C19" s="51"/>
      <c r="D19" s="52"/>
      <c r="E19" s="51"/>
      <c r="F19" s="53"/>
      <c r="G19" s="54"/>
      <c r="H19" s="54"/>
    </row>
    <row r="20" spans="1:8" s="69" customFormat="1" ht="16" x14ac:dyDescent="0.2">
      <c r="A20" s="7" t="s">
        <v>4</v>
      </c>
      <c r="B20" s="82" t="s">
        <v>138</v>
      </c>
      <c r="C20" s="8" t="s">
        <v>144</v>
      </c>
      <c r="D20" s="13" t="s">
        <v>145</v>
      </c>
      <c r="E20" s="8" t="s">
        <v>109</v>
      </c>
      <c r="F20" s="49">
        <f>1*(30/30)*3</f>
        <v>3</v>
      </c>
      <c r="G20" s="48">
        <v>12443.57</v>
      </c>
      <c r="H20" s="50">
        <f>TRUNC(G20*F20,2)</f>
        <v>37330.71</v>
      </c>
    </row>
    <row r="21" spans="1:8" s="69" customFormat="1" ht="16" x14ac:dyDescent="0.2">
      <c r="A21" s="84"/>
      <c r="B21" s="85"/>
      <c r="C21" s="86"/>
      <c r="D21" s="87" t="s">
        <v>176</v>
      </c>
      <c r="E21" s="86"/>
      <c r="F21" s="88"/>
      <c r="G21" s="89"/>
      <c r="H21" s="89"/>
    </row>
    <row r="22" spans="1:8" s="69" customFormat="1" ht="8" x14ac:dyDescent="0.2">
      <c r="A22" s="9"/>
      <c r="B22" s="10"/>
      <c r="C22" s="51"/>
      <c r="D22" s="52"/>
      <c r="E22" s="51"/>
      <c r="F22" s="53"/>
      <c r="G22" s="54"/>
      <c r="H22" s="54"/>
    </row>
    <row r="23" spans="1:8" s="69" customFormat="1" ht="16" x14ac:dyDescent="0.2">
      <c r="A23" s="7" t="s">
        <v>146</v>
      </c>
      <c r="B23" s="82" t="s">
        <v>138</v>
      </c>
      <c r="C23" s="8" t="s">
        <v>147</v>
      </c>
      <c r="D23" s="13" t="s">
        <v>148</v>
      </c>
      <c r="E23" s="8" t="s">
        <v>109</v>
      </c>
      <c r="F23" s="49">
        <f>1*(30/30)*1</f>
        <v>1</v>
      </c>
      <c r="G23" s="48">
        <v>12443.57</v>
      </c>
      <c r="H23" s="50">
        <f>TRUNC(G23*F23,2)</f>
        <v>12443.57</v>
      </c>
    </row>
    <row r="24" spans="1:8" s="69" customFormat="1" ht="16" x14ac:dyDescent="0.2">
      <c r="A24" s="84"/>
      <c r="B24" s="85"/>
      <c r="C24" s="86"/>
      <c r="D24" s="87" t="s">
        <v>171</v>
      </c>
      <c r="E24" s="86"/>
      <c r="F24" s="88"/>
      <c r="G24" s="89"/>
      <c r="H24" s="89"/>
    </row>
    <row r="25" spans="1:8" s="69" customFormat="1" ht="8" x14ac:dyDescent="0.2">
      <c r="A25" s="9"/>
      <c r="B25" s="10"/>
      <c r="C25" s="51"/>
      <c r="D25" s="52"/>
      <c r="E25" s="51"/>
      <c r="F25" s="53"/>
      <c r="G25" s="54"/>
      <c r="H25" s="54"/>
    </row>
    <row r="26" spans="1:8" s="69" customFormat="1" ht="8" x14ac:dyDescent="0.2">
      <c r="A26" s="156" t="s">
        <v>5</v>
      </c>
      <c r="B26" s="156"/>
      <c r="C26" s="156"/>
      <c r="D26" s="156"/>
      <c r="E26" s="156"/>
      <c r="F26" s="156"/>
      <c r="G26" s="156"/>
      <c r="H26" s="90">
        <f>SUM(H14:H25)</f>
        <v>110820.91</v>
      </c>
    </row>
    <row r="27" spans="1:8" s="69" customFormat="1" ht="8" x14ac:dyDescent="0.2">
      <c r="A27" s="9"/>
      <c r="B27" s="10"/>
      <c r="C27" s="51"/>
      <c r="D27" s="52"/>
      <c r="E27" s="51"/>
      <c r="F27" s="53"/>
      <c r="G27" s="54"/>
      <c r="H27" s="54"/>
    </row>
    <row r="28" spans="1:8" s="69" customFormat="1" ht="8" x14ac:dyDescent="0.2">
      <c r="A28" s="83" t="s">
        <v>24</v>
      </c>
      <c r="B28" s="75"/>
      <c r="C28" s="75"/>
      <c r="D28" s="80" t="s">
        <v>110</v>
      </c>
      <c r="E28" s="75"/>
      <c r="F28" s="104"/>
      <c r="G28" s="77"/>
      <c r="H28" s="77"/>
    </row>
    <row r="29" spans="1:8" s="69" customFormat="1" ht="16" x14ac:dyDescent="0.2">
      <c r="A29" s="7" t="s">
        <v>111</v>
      </c>
      <c r="B29" s="82" t="s">
        <v>138</v>
      </c>
      <c r="C29" s="8" t="s">
        <v>150</v>
      </c>
      <c r="D29" s="13" t="s">
        <v>149</v>
      </c>
      <c r="E29" s="8" t="s">
        <v>109</v>
      </c>
      <c r="F29" s="49">
        <f>2*(30/30)*3</f>
        <v>6</v>
      </c>
      <c r="G29" s="48">
        <v>3323.33</v>
      </c>
      <c r="H29" s="48">
        <f>TRUNC(G29*F29,2)</f>
        <v>19939.98</v>
      </c>
    </row>
    <row r="30" spans="1:8" s="69" customFormat="1" ht="16" x14ac:dyDescent="0.2">
      <c r="A30" s="84"/>
      <c r="B30" s="85"/>
      <c r="C30" s="86"/>
      <c r="D30" s="87" t="s">
        <v>187</v>
      </c>
      <c r="E30" s="86"/>
      <c r="F30" s="88"/>
      <c r="G30" s="89"/>
      <c r="H30" s="89"/>
    </row>
    <row r="31" spans="1:8" s="69" customFormat="1" ht="8" x14ac:dyDescent="0.2">
      <c r="A31" s="9"/>
      <c r="B31" s="10"/>
      <c r="C31" s="51"/>
      <c r="D31" s="52"/>
      <c r="E31" s="51"/>
      <c r="F31" s="53"/>
      <c r="G31" s="54"/>
      <c r="H31" s="54"/>
    </row>
    <row r="32" spans="1:8" s="69" customFormat="1" ht="16" x14ac:dyDescent="0.2">
      <c r="A32" s="7" t="s">
        <v>112</v>
      </c>
      <c r="B32" s="82" t="s">
        <v>138</v>
      </c>
      <c r="C32" s="8" t="s">
        <v>152</v>
      </c>
      <c r="D32" s="13" t="s">
        <v>151</v>
      </c>
      <c r="E32" s="8" t="s">
        <v>109</v>
      </c>
      <c r="F32" s="49">
        <f>1*(15/30)*1</f>
        <v>0.5</v>
      </c>
      <c r="G32" s="48">
        <v>2627.36</v>
      </c>
      <c r="H32" s="48">
        <f>TRUNC(G32*F32,2)</f>
        <v>1313.68</v>
      </c>
    </row>
    <row r="33" spans="1:8" s="69" customFormat="1" ht="16" x14ac:dyDescent="0.2">
      <c r="A33" s="84"/>
      <c r="B33" s="85"/>
      <c r="C33" s="86"/>
      <c r="D33" s="87" t="s">
        <v>155</v>
      </c>
      <c r="E33" s="86"/>
      <c r="F33" s="92"/>
      <c r="G33" s="89"/>
      <c r="H33" s="89"/>
    </row>
    <row r="34" spans="1:8" s="69" customFormat="1" ht="8" x14ac:dyDescent="0.2">
      <c r="A34" s="9"/>
      <c r="B34" s="10"/>
      <c r="C34" s="51"/>
      <c r="D34" s="52"/>
      <c r="E34" s="51"/>
      <c r="F34" s="93"/>
      <c r="G34" s="54"/>
      <c r="H34" s="54"/>
    </row>
    <row r="35" spans="1:8" s="69" customFormat="1" ht="16" x14ac:dyDescent="0.2">
      <c r="A35" s="7" t="s">
        <v>113</v>
      </c>
      <c r="B35" s="82" t="s">
        <v>138</v>
      </c>
      <c r="C35" s="8" t="s">
        <v>154</v>
      </c>
      <c r="D35" s="13" t="s">
        <v>153</v>
      </c>
      <c r="E35" s="8" t="s">
        <v>109</v>
      </c>
      <c r="F35" s="49">
        <f>2*(15/30)*1</f>
        <v>1</v>
      </c>
      <c r="G35" s="48">
        <v>1706.03</v>
      </c>
      <c r="H35" s="48">
        <f>TRUNC(G35*F35,2)</f>
        <v>1706.03</v>
      </c>
    </row>
    <row r="36" spans="1:8" s="69" customFormat="1" ht="16" x14ac:dyDescent="0.2">
      <c r="A36" s="84"/>
      <c r="B36" s="85"/>
      <c r="C36" s="86"/>
      <c r="D36" s="87" t="s">
        <v>156</v>
      </c>
      <c r="E36" s="86"/>
      <c r="F36" s="88"/>
      <c r="G36" s="89"/>
      <c r="H36" s="89"/>
    </row>
    <row r="37" spans="1:8" s="69" customFormat="1" ht="8" x14ac:dyDescent="0.2">
      <c r="A37" s="9"/>
      <c r="B37" s="10"/>
      <c r="C37" s="51"/>
      <c r="D37" s="52"/>
      <c r="E37" s="51"/>
      <c r="F37" s="53"/>
      <c r="G37" s="54"/>
      <c r="H37" s="54"/>
    </row>
    <row r="38" spans="1:8" s="69" customFormat="1" ht="16" x14ac:dyDescent="0.2">
      <c r="A38" s="7" t="s">
        <v>157</v>
      </c>
      <c r="B38" s="82" t="s">
        <v>138</v>
      </c>
      <c r="C38" s="8" t="s">
        <v>159</v>
      </c>
      <c r="D38" s="13" t="s">
        <v>158</v>
      </c>
      <c r="E38" s="8" t="s">
        <v>109</v>
      </c>
      <c r="F38" s="49">
        <f>3*(10/30)*1</f>
        <v>1</v>
      </c>
      <c r="G38" s="48">
        <v>2219.1799999999998</v>
      </c>
      <c r="H38" s="48">
        <f>TRUNC(G38*F38,2)</f>
        <v>2219.1799999999998</v>
      </c>
    </row>
    <row r="39" spans="1:8" s="69" customFormat="1" ht="16" x14ac:dyDescent="0.2">
      <c r="A39" s="84"/>
      <c r="B39" s="85"/>
      <c r="C39" s="86"/>
      <c r="D39" s="87" t="s">
        <v>160</v>
      </c>
      <c r="E39" s="86"/>
      <c r="F39" s="92"/>
      <c r="G39" s="89"/>
      <c r="H39" s="89"/>
    </row>
    <row r="40" spans="1:8" s="68" customFormat="1" ht="8" x14ac:dyDescent="0.2">
      <c r="A40" s="33"/>
      <c r="B40" s="34"/>
      <c r="C40" s="35"/>
      <c r="D40" s="36"/>
      <c r="E40" s="35"/>
      <c r="F40" s="37"/>
      <c r="G40" s="38"/>
      <c r="H40" s="38"/>
    </row>
    <row r="41" spans="1:8" s="69" customFormat="1" ht="8" x14ac:dyDescent="0.2">
      <c r="A41" s="156" t="s">
        <v>114</v>
      </c>
      <c r="B41" s="156"/>
      <c r="C41" s="156"/>
      <c r="D41" s="156"/>
      <c r="E41" s="156"/>
      <c r="F41" s="156"/>
      <c r="G41" s="156"/>
      <c r="H41" s="94">
        <f>SUM(H29:H40)</f>
        <v>25178.87</v>
      </c>
    </row>
    <row r="42" spans="1:8" s="69" customFormat="1" ht="16" x14ac:dyDescent="0.2">
      <c r="A42" s="9"/>
      <c r="B42" s="10"/>
      <c r="C42" s="51"/>
      <c r="D42" s="52"/>
      <c r="E42" s="51"/>
      <c r="F42" s="53"/>
      <c r="G42" s="95" t="s">
        <v>115</v>
      </c>
      <c r="H42" s="54"/>
    </row>
    <row r="43" spans="1:8" s="69" customFormat="1" ht="8" x14ac:dyDescent="0.2">
      <c r="A43" s="83" t="s">
        <v>25</v>
      </c>
      <c r="B43" s="75" t="s">
        <v>137</v>
      </c>
      <c r="C43" s="75" t="s">
        <v>116</v>
      </c>
      <c r="D43" s="80" t="s">
        <v>117</v>
      </c>
      <c r="E43" s="74" t="s">
        <v>6</v>
      </c>
      <c r="F43" s="76">
        <v>0.70109999999999995</v>
      </c>
      <c r="G43" s="77">
        <f>H26+H41</f>
        <v>135999.78</v>
      </c>
      <c r="H43" s="77">
        <f>TRUNC(G43*F43,2)</f>
        <v>95349.440000000002</v>
      </c>
    </row>
    <row r="44" spans="1:8" s="69" customFormat="1" ht="24" x14ac:dyDescent="0.2">
      <c r="A44" s="9"/>
      <c r="B44" s="10"/>
      <c r="C44" s="51"/>
      <c r="D44" s="52"/>
      <c r="E44" s="51"/>
      <c r="F44" s="53"/>
      <c r="G44" s="95" t="s">
        <v>118</v>
      </c>
      <c r="H44" s="54"/>
    </row>
    <row r="45" spans="1:8" s="69" customFormat="1" ht="8" x14ac:dyDescent="0.2">
      <c r="A45" s="83" t="s">
        <v>26</v>
      </c>
      <c r="B45" s="75" t="s">
        <v>21</v>
      </c>
      <c r="C45" s="75"/>
      <c r="D45" s="80" t="s">
        <v>20</v>
      </c>
      <c r="E45" s="74" t="s">
        <v>6</v>
      </c>
      <c r="F45" s="81">
        <v>0.2</v>
      </c>
      <c r="G45" s="77">
        <f>G43+H43</f>
        <v>231349.22</v>
      </c>
      <c r="H45" s="77">
        <f>TRUNC(G45*F45,2)</f>
        <v>46269.84</v>
      </c>
    </row>
    <row r="46" spans="1:8" s="69" customFormat="1" ht="8" x14ac:dyDescent="0.2">
      <c r="A46" s="161" t="s">
        <v>119</v>
      </c>
      <c r="B46" s="161"/>
      <c r="C46" s="161"/>
      <c r="D46" s="161"/>
      <c r="E46" s="161"/>
      <c r="F46" s="161"/>
      <c r="G46" s="161"/>
      <c r="H46" s="96">
        <f>SUM(H43:H45,H41,H26)</f>
        <v>277619.06</v>
      </c>
    </row>
    <row r="47" spans="1:8" s="68" customFormat="1" ht="8" x14ac:dyDescent="0.2">
      <c r="A47" s="33"/>
      <c r="B47" s="34"/>
      <c r="C47" s="35"/>
      <c r="D47" s="36"/>
      <c r="E47" s="35"/>
      <c r="F47" s="37"/>
      <c r="G47" s="38"/>
      <c r="H47" s="38"/>
    </row>
    <row r="48" spans="1:8" s="69" customFormat="1" ht="8" x14ac:dyDescent="0.2">
      <c r="A48" s="157" t="s">
        <v>7</v>
      </c>
      <c r="B48" s="157"/>
      <c r="C48" s="157"/>
      <c r="D48" s="91" t="s">
        <v>164</v>
      </c>
      <c r="E48" s="101"/>
      <c r="F48" s="102"/>
      <c r="G48" s="103"/>
      <c r="H48" s="101"/>
    </row>
    <row r="49" spans="1:8" s="69" customFormat="1" ht="8" x14ac:dyDescent="0.2">
      <c r="A49" s="83" t="s">
        <v>120</v>
      </c>
      <c r="B49" s="80"/>
      <c r="C49" s="80"/>
      <c r="D49" s="80" t="s">
        <v>121</v>
      </c>
      <c r="E49" s="75"/>
      <c r="F49" s="104"/>
      <c r="G49" s="77"/>
      <c r="H49" s="75"/>
    </row>
    <row r="50" spans="1:8" s="69" customFormat="1" ht="16" x14ac:dyDescent="0.2">
      <c r="A50" s="7" t="s">
        <v>122</v>
      </c>
      <c r="B50" s="82" t="s">
        <v>138</v>
      </c>
      <c r="C50" s="82" t="s">
        <v>123</v>
      </c>
      <c r="D50" s="13" t="s">
        <v>124</v>
      </c>
      <c r="E50" s="7"/>
      <c r="F50" s="98"/>
      <c r="G50" s="48"/>
      <c r="H50" s="48"/>
    </row>
    <row r="51" spans="1:8" s="69" customFormat="1" ht="16" x14ac:dyDescent="0.2">
      <c r="A51" s="84"/>
      <c r="B51" s="85"/>
      <c r="C51" s="86"/>
      <c r="D51" s="87" t="s">
        <v>174</v>
      </c>
      <c r="E51" s="84" t="s">
        <v>125</v>
      </c>
      <c r="F51" s="99">
        <f>10*4</f>
        <v>40</v>
      </c>
      <c r="G51" s="89">
        <v>36.65</v>
      </c>
      <c r="H51" s="89">
        <f>TRUNC(G51*F51,2)</f>
        <v>1466</v>
      </c>
    </row>
    <row r="52" spans="1:8" s="69" customFormat="1" ht="16" x14ac:dyDescent="0.2">
      <c r="A52" s="84"/>
      <c r="B52" s="85"/>
      <c r="C52" s="86"/>
      <c r="D52" s="87" t="s">
        <v>175</v>
      </c>
      <c r="E52" s="84" t="s">
        <v>126</v>
      </c>
      <c r="F52" s="99">
        <f>10*8</f>
        <v>80</v>
      </c>
      <c r="G52" s="89">
        <v>6.69</v>
      </c>
      <c r="H52" s="89">
        <f>TRUNC(G52*F52,2)</f>
        <v>535.20000000000005</v>
      </c>
    </row>
    <row r="53" spans="1:8" s="69" customFormat="1" ht="8" x14ac:dyDescent="0.2">
      <c r="A53" s="9"/>
      <c r="B53" s="10"/>
      <c r="C53" s="51"/>
      <c r="D53" s="52"/>
      <c r="E53" s="51"/>
      <c r="F53" s="53"/>
      <c r="G53" s="54"/>
      <c r="H53" s="54"/>
    </row>
    <row r="54" spans="1:8" s="69" customFormat="1" ht="16" x14ac:dyDescent="0.2">
      <c r="A54" s="7" t="s">
        <v>161</v>
      </c>
      <c r="B54" s="82" t="s">
        <v>138</v>
      </c>
      <c r="C54" s="8" t="s">
        <v>128</v>
      </c>
      <c r="D54" s="13" t="s">
        <v>163</v>
      </c>
      <c r="E54" s="8" t="s">
        <v>129</v>
      </c>
      <c r="F54" s="49">
        <f>F32</f>
        <v>0.5</v>
      </c>
      <c r="G54" s="97">
        <v>5426.19</v>
      </c>
      <c r="H54" s="48">
        <f>TRUNC(G54*F54,2)</f>
        <v>2713.09</v>
      </c>
    </row>
    <row r="55" spans="1:8" s="69" customFormat="1" ht="16" x14ac:dyDescent="0.2">
      <c r="A55" s="84"/>
      <c r="B55" s="85"/>
      <c r="C55" s="86"/>
      <c r="D55" s="87" t="s">
        <v>162</v>
      </c>
      <c r="E55" s="86"/>
      <c r="F55" s="88"/>
      <c r="G55" s="89"/>
      <c r="H55" s="89"/>
    </row>
    <row r="56" spans="1:8" s="69" customFormat="1" ht="8" x14ac:dyDescent="0.2">
      <c r="A56" s="9"/>
      <c r="B56" s="10"/>
      <c r="C56" s="51"/>
      <c r="D56" s="52"/>
      <c r="E56" s="51"/>
      <c r="F56" s="53"/>
      <c r="G56" s="54"/>
      <c r="H56" s="54"/>
    </row>
    <row r="57" spans="1:8" s="69" customFormat="1" ht="8" x14ac:dyDescent="0.2">
      <c r="A57" s="7" t="s">
        <v>127</v>
      </c>
      <c r="B57" s="162" t="s">
        <v>166</v>
      </c>
      <c r="C57" s="8" t="s">
        <v>167</v>
      </c>
      <c r="D57" s="82" t="s">
        <v>169</v>
      </c>
      <c r="E57" s="7" t="s">
        <v>99</v>
      </c>
      <c r="F57" s="49">
        <v>50</v>
      </c>
      <c r="G57" s="97">
        <v>7.5</v>
      </c>
      <c r="H57" s="48">
        <f>TRUNC(G57*F57,2)</f>
        <v>375</v>
      </c>
    </row>
    <row r="58" spans="1:8" s="69" customFormat="1" ht="8" x14ac:dyDescent="0.2">
      <c r="A58" s="84"/>
      <c r="B58" s="163"/>
      <c r="C58" s="86"/>
      <c r="D58" s="87" t="s">
        <v>177</v>
      </c>
      <c r="E58" s="86"/>
      <c r="F58" s="88"/>
      <c r="G58" s="89"/>
      <c r="H58" s="89"/>
    </row>
    <row r="59" spans="1:8" s="69" customFormat="1" ht="8" x14ac:dyDescent="0.2">
      <c r="A59" s="9"/>
      <c r="B59" s="10"/>
      <c r="C59" s="51"/>
      <c r="D59" s="52"/>
      <c r="E59" s="51"/>
      <c r="F59" s="53"/>
      <c r="G59" s="54"/>
      <c r="H59" s="54"/>
    </row>
    <row r="60" spans="1:8" s="69" customFormat="1" ht="8" x14ac:dyDescent="0.2">
      <c r="A60" s="7" t="s">
        <v>165</v>
      </c>
      <c r="B60" s="162" t="s">
        <v>166</v>
      </c>
      <c r="C60" s="8" t="s">
        <v>168</v>
      </c>
      <c r="D60" s="82" t="s">
        <v>170</v>
      </c>
      <c r="E60" s="7" t="s">
        <v>99</v>
      </c>
      <c r="F60" s="49">
        <v>1000</v>
      </c>
      <c r="G60" s="97">
        <v>0.1</v>
      </c>
      <c r="H60" s="48">
        <f>TRUNC(G60*F60,2)</f>
        <v>100</v>
      </c>
    </row>
    <row r="61" spans="1:8" s="69" customFormat="1" ht="8" x14ac:dyDescent="0.2">
      <c r="A61" s="84"/>
      <c r="B61" s="163"/>
      <c r="C61" s="86"/>
      <c r="D61" s="87" t="s">
        <v>173</v>
      </c>
      <c r="E61" s="86"/>
      <c r="F61" s="88"/>
      <c r="G61" s="89"/>
      <c r="H61" s="89"/>
    </row>
    <row r="62" spans="1:8" s="69" customFormat="1" ht="8" x14ac:dyDescent="0.2">
      <c r="A62" s="9"/>
      <c r="B62" s="10"/>
      <c r="C62" s="51"/>
      <c r="D62" s="52"/>
      <c r="E62" s="51"/>
      <c r="F62" s="53"/>
      <c r="G62" s="54"/>
      <c r="H62" s="54"/>
    </row>
    <row r="63" spans="1:8" s="69" customFormat="1" ht="8" x14ac:dyDescent="0.2">
      <c r="A63" s="156" t="s">
        <v>130</v>
      </c>
      <c r="B63" s="156"/>
      <c r="C63" s="156"/>
      <c r="D63" s="156"/>
      <c r="E63" s="156"/>
      <c r="F63" s="156"/>
      <c r="G63" s="156"/>
      <c r="H63" s="94">
        <f>SUM(H50:H62)</f>
        <v>5189.29</v>
      </c>
    </row>
    <row r="64" spans="1:8" s="69" customFormat="1" ht="8" x14ac:dyDescent="0.2">
      <c r="A64" s="9"/>
      <c r="B64" s="10"/>
      <c r="C64" s="51"/>
      <c r="D64" s="52"/>
      <c r="E64" s="51"/>
      <c r="F64" s="53"/>
      <c r="G64" s="54"/>
      <c r="H64" s="54"/>
    </row>
    <row r="65" spans="1:9" s="69" customFormat="1" ht="8" x14ac:dyDescent="0.2">
      <c r="A65" s="161" t="s">
        <v>131</v>
      </c>
      <c r="B65" s="161"/>
      <c r="C65" s="161"/>
      <c r="D65" s="161"/>
      <c r="E65" s="161"/>
      <c r="F65" s="161"/>
      <c r="G65" s="161"/>
      <c r="H65" s="96">
        <f>SUM(H46,H63)</f>
        <v>282808.34999999998</v>
      </c>
      <c r="I65" s="69" t="s">
        <v>8</v>
      </c>
    </row>
    <row r="66" spans="1:9" s="69" customFormat="1" ht="8" x14ac:dyDescent="0.2">
      <c r="A66" s="9"/>
      <c r="B66" s="10"/>
      <c r="C66" s="51"/>
      <c r="D66" s="52"/>
      <c r="E66" s="51"/>
      <c r="F66" s="53"/>
      <c r="G66" s="54"/>
      <c r="H66" s="54"/>
    </row>
    <row r="67" spans="1:9" s="69" customFormat="1" ht="8" x14ac:dyDescent="0.2">
      <c r="A67" s="9"/>
      <c r="B67" s="10"/>
      <c r="C67" s="51"/>
      <c r="D67" s="52"/>
      <c r="E67" s="51"/>
      <c r="F67" s="53"/>
      <c r="G67" s="73" t="s">
        <v>132</v>
      </c>
      <c r="H67" s="54"/>
    </row>
    <row r="68" spans="1:9" s="69" customFormat="1" ht="8" x14ac:dyDescent="0.2">
      <c r="A68" s="74" t="s">
        <v>133</v>
      </c>
      <c r="B68" s="75" t="s">
        <v>21</v>
      </c>
      <c r="C68" s="75"/>
      <c r="D68" s="75" t="s">
        <v>22</v>
      </c>
      <c r="E68" s="74" t="s">
        <v>6</v>
      </c>
      <c r="F68" s="76">
        <v>0.12</v>
      </c>
      <c r="G68" s="77">
        <f>H65</f>
        <v>282808.34999999998</v>
      </c>
      <c r="H68" s="77">
        <f>TRUNC(G68*F68,2)</f>
        <v>33937</v>
      </c>
    </row>
    <row r="69" spans="1:9" s="69" customFormat="1" ht="8" x14ac:dyDescent="0.2">
      <c r="A69" s="9"/>
      <c r="B69" s="10"/>
      <c r="C69" s="51"/>
      <c r="D69" s="52"/>
      <c r="E69" s="51"/>
      <c r="F69" s="53"/>
      <c r="G69" s="73" t="s">
        <v>134</v>
      </c>
      <c r="H69" s="54"/>
    </row>
    <row r="70" spans="1:9" s="69" customFormat="1" ht="8" x14ac:dyDescent="0.2">
      <c r="A70" s="74" t="s">
        <v>135</v>
      </c>
      <c r="B70" s="75" t="s">
        <v>21</v>
      </c>
      <c r="C70" s="75"/>
      <c r="D70" s="75" t="s">
        <v>27</v>
      </c>
      <c r="E70" s="74" t="s">
        <v>6</v>
      </c>
      <c r="F70" s="79">
        <v>9.4689999999999996E-2</v>
      </c>
      <c r="G70" s="77">
        <f>G68+H68</f>
        <v>316745.34999999998</v>
      </c>
      <c r="H70" s="77">
        <f>TRUNC(G70*F70,2)</f>
        <v>29992.61</v>
      </c>
      <c r="I70" s="106"/>
    </row>
    <row r="71" spans="1:9" s="69" customFormat="1" ht="8" x14ac:dyDescent="0.2">
      <c r="A71" s="9"/>
      <c r="B71" s="10"/>
      <c r="C71" s="51"/>
      <c r="D71" s="52"/>
      <c r="E71" s="51"/>
      <c r="F71" s="53"/>
      <c r="G71" s="54"/>
      <c r="H71" s="54"/>
    </row>
    <row r="72" spans="1:9" s="4" customFormat="1" x14ac:dyDescent="0.3">
      <c r="A72" s="161" t="s">
        <v>136</v>
      </c>
      <c r="B72" s="161"/>
      <c r="C72" s="161"/>
      <c r="D72" s="161"/>
      <c r="E72" s="161"/>
      <c r="F72" s="161"/>
      <c r="G72" s="161"/>
      <c r="H72" s="100">
        <f>SUM(H70,H68,H65)</f>
        <v>346737.95999999996</v>
      </c>
      <c r="I72" s="78" t="s">
        <v>9</v>
      </c>
    </row>
  </sheetData>
  <mergeCells count="20">
    <mergeCell ref="A1:H1"/>
    <mergeCell ref="A3:H3"/>
    <mergeCell ref="A4:H4"/>
    <mergeCell ref="A8:A9"/>
    <mergeCell ref="B8:B9"/>
    <mergeCell ref="C8:C9"/>
    <mergeCell ref="D8:D9"/>
    <mergeCell ref="E8:E9"/>
    <mergeCell ref="F8:F9"/>
    <mergeCell ref="G8:H8"/>
    <mergeCell ref="B60:B61"/>
    <mergeCell ref="A63:G63"/>
    <mergeCell ref="A65:G65"/>
    <mergeCell ref="A72:G72"/>
    <mergeCell ref="A11:C11"/>
    <mergeCell ref="A26:G26"/>
    <mergeCell ref="A41:G41"/>
    <mergeCell ref="A46:G46"/>
    <mergeCell ref="A48:C48"/>
    <mergeCell ref="B57:B58"/>
  </mergeCells>
  <printOptions horizontalCentered="1"/>
  <pageMargins left="0.47244094488188981" right="0.47244094488188981" top="0.59055118110236227" bottom="0.47244094488188981" header="0.31496062992125984" footer="0.31496062992125984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10A95-ADA0-47A6-AB75-8E9B90D70A3E}">
  <dimension ref="A1:I17"/>
  <sheetViews>
    <sheetView view="pageBreakPreview" zoomScale="115" zoomScaleNormal="100" zoomScaleSheetLayoutView="115" workbookViewId="0">
      <selection sqref="A1:F1"/>
    </sheetView>
  </sheetViews>
  <sheetFormatPr defaultRowHeight="14" x14ac:dyDescent="0.3"/>
  <cols>
    <col min="1" max="1" width="5.453125" style="1" customWidth="1"/>
    <col min="2" max="2" width="4.81640625" style="1" customWidth="1"/>
    <col min="3" max="3" width="8.08984375" style="1" customWidth="1"/>
    <col min="4" max="4" width="6.7265625" style="1" customWidth="1"/>
    <col min="5" max="5" width="60.36328125" style="1" customWidth="1"/>
    <col min="6" max="6" width="9.1796875" style="1" customWidth="1"/>
    <col min="7" max="7" width="2.54296875" style="1" customWidth="1"/>
    <col min="8" max="8" width="12.90625" style="1" bestFit="1" customWidth="1"/>
    <col min="9" max="9" width="10.54296875" style="1" customWidth="1"/>
    <col min="10" max="10" width="2.6328125" style="1" customWidth="1"/>
    <col min="11" max="11" width="4.1796875" style="1" bestFit="1" customWidth="1"/>
    <col min="12" max="12" width="3.81640625" style="1" bestFit="1" customWidth="1"/>
    <col min="13" max="13" width="23.6328125" style="1" bestFit="1" customWidth="1"/>
    <col min="14" max="14" width="2.90625" style="1" bestFit="1" customWidth="1"/>
    <col min="15" max="15" width="12.453125" style="1" customWidth="1"/>
    <col min="16" max="16384" width="8.7265625" style="1"/>
  </cols>
  <sheetData>
    <row r="1" spans="1:9" s="4" customFormat="1" ht="14.5" customHeight="1" x14ac:dyDescent="0.3">
      <c r="A1" s="151" t="s">
        <v>28</v>
      </c>
      <c r="B1" s="151"/>
      <c r="C1" s="151"/>
      <c r="D1" s="151"/>
      <c r="E1" s="151"/>
      <c r="F1" s="151"/>
    </row>
    <row r="2" spans="1:9" s="4" customFormat="1" ht="14.5" customHeight="1" x14ac:dyDescent="0.3">
      <c r="A2" s="5"/>
      <c r="B2" s="5"/>
      <c r="C2" s="5"/>
      <c r="D2" s="5"/>
      <c r="E2" s="5"/>
      <c r="F2" s="5"/>
    </row>
    <row r="3" spans="1:9" s="4" customFormat="1" ht="52" customHeight="1" x14ac:dyDescent="0.3">
      <c r="A3" s="152" t="str">
        <f>ORÇAMENTO!A3</f>
        <v>OBJETO: CONTRATAÇÃO DE EMPRESA PARA PRESTAÇÃO DE SERVIÇOS TÉCNICOS ESPECIALIZADOS DE ENGENHARIA PARA ELABORAÇÃO INTEGRADA DE PROJETOS DE ARQUITETURA E ENGENHARIA, BÁSICO E EXECUTIVO, COM COMPATIBILIZAÇÃO ENTRE DISCIPLINAS E OBSERVÂNCIA RIGOROSA ÀS NORMAS TÉCNICAS E REGULATÓRIAS APLICÁVEIS, DA CONSTRUÇÃO DO ANEL VIÁRIO DA ITAGIBA E DA CONSTRUÇÃO DO ANEL VIÁRIO DA NOELÂNDIA, BOM JARDIM/PE</v>
      </c>
      <c r="B3" s="152"/>
      <c r="C3" s="152"/>
      <c r="D3" s="152"/>
      <c r="E3" s="152"/>
      <c r="F3" s="152"/>
      <c r="G3" s="31"/>
      <c r="H3" s="31"/>
      <c r="I3" s="31"/>
    </row>
    <row r="4" spans="1:9" s="4" customFormat="1" x14ac:dyDescent="0.3">
      <c r="A4" s="6" t="str">
        <f>ORÇAMENTO!A4</f>
        <v>REFERÊNCIAS: SINAPI SETEMBRO/2025 / SICRO-DNIT CONSULTORIAS JULHO/2025</v>
      </c>
      <c r="B4" s="39"/>
      <c r="C4" s="39"/>
      <c r="D4" s="39"/>
      <c r="E4" s="39"/>
      <c r="F4" s="39"/>
      <c r="G4" s="40"/>
      <c r="H4" s="39"/>
      <c r="I4" s="39"/>
    </row>
    <row r="5" spans="1:9" s="4" customFormat="1" x14ac:dyDescent="0.3">
      <c r="A5" s="6" t="str">
        <f>ORÇAMENTO!A5</f>
        <v>DATA-BASE: JANEIRO/2026</v>
      </c>
      <c r="B5" s="39"/>
      <c r="C5" s="39"/>
      <c r="D5" s="39"/>
      <c r="E5" s="39"/>
      <c r="F5" s="39"/>
      <c r="G5" s="40"/>
      <c r="H5" s="39"/>
      <c r="I5" s="39"/>
    </row>
    <row r="6" spans="1:9" x14ac:dyDescent="0.3">
      <c r="A6" s="153"/>
      <c r="B6" s="153"/>
      <c r="C6" s="153"/>
      <c r="D6" s="153"/>
      <c r="E6" s="153"/>
      <c r="F6" s="153"/>
    </row>
    <row r="7" spans="1:9" x14ac:dyDescent="0.3">
      <c r="A7" s="168" t="s">
        <v>13</v>
      </c>
      <c r="B7" s="168"/>
      <c r="C7" s="168"/>
      <c r="D7" s="168"/>
      <c r="E7" s="168"/>
      <c r="F7" s="17" t="s">
        <v>6</v>
      </c>
      <c r="I7" s="6"/>
    </row>
    <row r="8" spans="1:9" x14ac:dyDescent="0.3">
      <c r="A8" s="166"/>
      <c r="B8" s="166"/>
      <c r="C8" s="166"/>
      <c r="D8" s="166"/>
      <c r="E8" s="166"/>
      <c r="F8" s="166"/>
    </row>
    <row r="9" spans="1:9" x14ac:dyDescent="0.3">
      <c r="A9" s="164" t="s">
        <v>29</v>
      </c>
      <c r="B9" s="164"/>
      <c r="C9" s="164"/>
      <c r="D9" s="164"/>
      <c r="E9" s="164"/>
      <c r="F9" s="16">
        <v>0.05</v>
      </c>
    </row>
    <row r="10" spans="1:9" x14ac:dyDescent="0.3">
      <c r="A10" s="164" t="s">
        <v>30</v>
      </c>
      <c r="B10" s="164"/>
      <c r="C10" s="164"/>
      <c r="D10" s="164"/>
      <c r="E10" s="164"/>
      <c r="F10" s="16">
        <v>6.4999999999999997E-3</v>
      </c>
    </row>
    <row r="11" spans="1:9" x14ac:dyDescent="0.3">
      <c r="A11" s="164" t="s">
        <v>31</v>
      </c>
      <c r="B11" s="164"/>
      <c r="C11" s="164"/>
      <c r="D11" s="164"/>
      <c r="E11" s="164"/>
      <c r="F11" s="16">
        <v>0.03</v>
      </c>
    </row>
    <row r="12" spans="1:9" x14ac:dyDescent="0.3">
      <c r="A12" s="166"/>
      <c r="B12" s="166"/>
      <c r="C12" s="166"/>
      <c r="D12" s="166"/>
      <c r="E12" s="166"/>
      <c r="F12" s="166"/>
    </row>
    <row r="13" spans="1:9" x14ac:dyDescent="0.3">
      <c r="A13" s="164" t="s">
        <v>32</v>
      </c>
      <c r="B13" s="164"/>
      <c r="C13" s="164"/>
      <c r="D13" s="164"/>
      <c r="E13" s="164"/>
      <c r="F13" s="16">
        <f>SUM(F9:F12)</f>
        <v>8.6499999999999994E-2</v>
      </c>
    </row>
    <row r="14" spans="1:9" x14ac:dyDescent="0.3">
      <c r="A14" s="166"/>
      <c r="B14" s="166"/>
      <c r="C14" s="166"/>
      <c r="D14" s="166"/>
      <c r="E14" s="166"/>
      <c r="F14" s="166"/>
    </row>
    <row r="15" spans="1:9" x14ac:dyDescent="0.3">
      <c r="A15" s="167" t="s">
        <v>33</v>
      </c>
      <c r="B15" s="167"/>
      <c r="C15" s="167"/>
      <c r="D15" s="167"/>
      <c r="E15" s="167"/>
      <c r="F15" s="18">
        <f>(1/(1-F13)-1)</f>
        <v>9.4690749863163726E-2</v>
      </c>
    </row>
    <row r="16" spans="1:9" x14ac:dyDescent="0.3">
      <c r="A16" s="15"/>
      <c r="B16" s="15"/>
      <c r="C16" s="15"/>
      <c r="D16" s="15"/>
      <c r="E16" s="15"/>
      <c r="F16" s="15"/>
    </row>
    <row r="17" spans="1:6" x14ac:dyDescent="0.3">
      <c r="A17" s="165" t="s">
        <v>34</v>
      </c>
      <c r="B17" s="165"/>
      <c r="C17" s="165"/>
      <c r="D17" s="165"/>
      <c r="E17" s="165"/>
      <c r="F17" s="165"/>
    </row>
  </sheetData>
  <mergeCells count="13">
    <mergeCell ref="A1:F1"/>
    <mergeCell ref="A6:F6"/>
    <mergeCell ref="A7:E7"/>
    <mergeCell ref="A8:F8"/>
    <mergeCell ref="A9:E9"/>
    <mergeCell ref="A3:F3"/>
    <mergeCell ref="A10:E10"/>
    <mergeCell ref="A11:E11"/>
    <mergeCell ref="A17:F17"/>
    <mergeCell ref="A14:F14"/>
    <mergeCell ref="A12:F12"/>
    <mergeCell ref="A13:E13"/>
    <mergeCell ref="A15:E15"/>
  </mergeCells>
  <printOptions horizontalCentered="1"/>
  <pageMargins left="0.47244094488188981" right="0.47244094488188981" top="0.59055118110236227" bottom="0.47244094488188981" header="0.31496062992125984" footer="0.31496062992125984"/>
  <pageSetup paperSize="9" scale="9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EFF64-949A-4BC0-BD96-96EC1E09B5BE}">
  <dimension ref="A1:C49"/>
  <sheetViews>
    <sheetView view="pageBreakPreview" zoomScale="115" zoomScaleNormal="100" zoomScaleSheetLayoutView="115" workbookViewId="0">
      <selection sqref="A1:C1"/>
    </sheetView>
  </sheetViews>
  <sheetFormatPr defaultRowHeight="14" x14ac:dyDescent="0.3"/>
  <cols>
    <col min="1" max="1" width="5.453125" style="1" customWidth="1"/>
    <col min="2" max="2" width="70.453125" style="1" customWidth="1"/>
    <col min="3" max="3" width="18.453125" style="1" customWidth="1"/>
    <col min="4" max="16384" width="8.7265625" style="1"/>
  </cols>
  <sheetData>
    <row r="1" spans="1:3" s="4" customFormat="1" x14ac:dyDescent="0.3">
      <c r="A1" s="151" t="s">
        <v>35</v>
      </c>
      <c r="B1" s="151"/>
      <c r="C1" s="151"/>
    </row>
    <row r="2" spans="1:3" s="4" customFormat="1" x14ac:dyDescent="0.3">
      <c r="A2" s="5"/>
      <c r="B2" s="5"/>
      <c r="C2" s="1"/>
    </row>
    <row r="3" spans="1:3" s="4" customFormat="1" ht="53.5" customHeight="1" x14ac:dyDescent="0.3">
      <c r="A3" s="152" t="str">
        <f>ORÇAMENTO!A3</f>
        <v>OBJETO: CONTRATAÇÃO DE EMPRESA PARA PRESTAÇÃO DE SERVIÇOS TÉCNICOS ESPECIALIZADOS DE ENGENHARIA PARA ELABORAÇÃO INTEGRADA DE PROJETOS DE ARQUITETURA E ENGENHARIA, BÁSICO E EXECUTIVO, COM COMPATIBILIZAÇÃO ENTRE DISCIPLINAS E OBSERVÂNCIA RIGOROSA ÀS NORMAS TÉCNICAS E REGULATÓRIAS APLICÁVEIS, DA CONSTRUÇÃO DO ANEL VIÁRIO DA ITAGIBA E DA CONSTRUÇÃO DO ANEL VIÁRIO DA NOELÂNDIA, BOM JARDIM/PE</v>
      </c>
      <c r="B3" s="152"/>
      <c r="C3" s="152"/>
    </row>
    <row r="4" spans="1:3" s="4" customFormat="1" x14ac:dyDescent="0.3">
      <c r="A4" s="6" t="str">
        <f>ORÇAMENTO!A4</f>
        <v>REFERÊNCIAS: SINAPI SETEMBRO/2025 / SICRO-DNIT CONSULTORIAS JULHO/2025</v>
      </c>
      <c r="B4" s="39"/>
      <c r="C4" s="39"/>
    </row>
    <row r="5" spans="1:3" s="4" customFormat="1" x14ac:dyDescent="0.3">
      <c r="A5" s="6" t="str">
        <f>ORÇAMENTO!A5</f>
        <v>DATA-BASE: JANEIRO/2026</v>
      </c>
      <c r="B5" s="39"/>
      <c r="C5" s="39"/>
    </row>
    <row r="6" spans="1:3" x14ac:dyDescent="0.3">
      <c r="A6" s="153"/>
      <c r="B6" s="153"/>
    </row>
    <row r="7" spans="1:3" s="19" customFormat="1" x14ac:dyDescent="0.3">
      <c r="A7" s="27" t="s">
        <v>95</v>
      </c>
      <c r="B7" s="27" t="s">
        <v>18</v>
      </c>
      <c r="C7" s="28" t="s">
        <v>103</v>
      </c>
    </row>
    <row r="8" spans="1:3" s="22" customFormat="1" ht="10.5" x14ac:dyDescent="0.25">
      <c r="A8" s="20"/>
      <c r="B8" s="21"/>
      <c r="C8" s="21"/>
    </row>
    <row r="9" spans="1:3" s="19" customFormat="1" x14ac:dyDescent="0.3">
      <c r="A9" s="170" t="s">
        <v>36</v>
      </c>
      <c r="B9" s="171"/>
      <c r="C9" s="44"/>
    </row>
    <row r="10" spans="1:3" s="23" customFormat="1" x14ac:dyDescent="0.3">
      <c r="A10" s="24" t="s">
        <v>37</v>
      </c>
      <c r="B10" s="25" t="s">
        <v>38</v>
      </c>
      <c r="C10" s="45">
        <v>20</v>
      </c>
    </row>
    <row r="11" spans="1:3" s="23" customFormat="1" x14ac:dyDescent="0.3">
      <c r="A11" s="24" t="s">
        <v>39</v>
      </c>
      <c r="B11" s="25" t="s">
        <v>40</v>
      </c>
      <c r="C11" s="45">
        <v>1.5</v>
      </c>
    </row>
    <row r="12" spans="1:3" s="23" customFormat="1" x14ac:dyDescent="0.3">
      <c r="A12" s="24" t="s">
        <v>41</v>
      </c>
      <c r="B12" s="25" t="s">
        <v>42</v>
      </c>
      <c r="C12" s="45">
        <v>1</v>
      </c>
    </row>
    <row r="13" spans="1:3" s="23" customFormat="1" x14ac:dyDescent="0.3">
      <c r="A13" s="24" t="s">
        <v>43</v>
      </c>
      <c r="B13" s="25" t="s">
        <v>44</v>
      </c>
      <c r="C13" s="45">
        <v>0.2</v>
      </c>
    </row>
    <row r="14" spans="1:3" s="23" customFormat="1" x14ac:dyDescent="0.3">
      <c r="A14" s="24" t="s">
        <v>45</v>
      </c>
      <c r="B14" s="25" t="s">
        <v>46</v>
      </c>
      <c r="C14" s="45">
        <v>0.6</v>
      </c>
    </row>
    <row r="15" spans="1:3" s="23" customFormat="1" x14ac:dyDescent="0.3">
      <c r="A15" s="24" t="s">
        <v>47</v>
      </c>
      <c r="B15" s="25" t="s">
        <v>48</v>
      </c>
      <c r="C15" s="45">
        <v>2.5</v>
      </c>
    </row>
    <row r="16" spans="1:3" s="23" customFormat="1" x14ac:dyDescent="0.3">
      <c r="A16" s="24" t="s">
        <v>49</v>
      </c>
      <c r="B16" s="25" t="s">
        <v>50</v>
      </c>
      <c r="C16" s="45">
        <v>3</v>
      </c>
    </row>
    <row r="17" spans="1:3" s="23" customFormat="1" x14ac:dyDescent="0.3">
      <c r="A17" s="24" t="s">
        <v>51</v>
      </c>
      <c r="B17" s="25" t="s">
        <v>52</v>
      </c>
      <c r="C17" s="45">
        <v>8</v>
      </c>
    </row>
    <row r="18" spans="1:3" s="23" customFormat="1" x14ac:dyDescent="0.3">
      <c r="A18" s="24" t="s">
        <v>53</v>
      </c>
      <c r="B18" s="25" t="s">
        <v>54</v>
      </c>
      <c r="C18" s="45">
        <v>0</v>
      </c>
    </row>
    <row r="19" spans="1:3" s="19" customFormat="1" x14ac:dyDescent="0.3">
      <c r="A19" s="29" t="s">
        <v>2</v>
      </c>
      <c r="B19" s="29" t="s">
        <v>32</v>
      </c>
      <c r="C19" s="46">
        <f>SUM(C10:C18)</f>
        <v>36.799999999999997</v>
      </c>
    </row>
    <row r="20" spans="1:3" s="26" customFormat="1" ht="10" x14ac:dyDescent="0.2">
      <c r="A20" s="24"/>
      <c r="B20" s="25"/>
      <c r="C20" s="45"/>
    </row>
    <row r="21" spans="1:3" s="23" customFormat="1" x14ac:dyDescent="0.3">
      <c r="A21" s="170" t="s">
        <v>55</v>
      </c>
      <c r="B21" s="171"/>
      <c r="C21" s="44"/>
    </row>
    <row r="22" spans="1:3" s="23" customFormat="1" x14ac:dyDescent="0.3">
      <c r="A22" s="24" t="s">
        <v>56</v>
      </c>
      <c r="B22" s="25" t="s">
        <v>57</v>
      </c>
      <c r="C22" s="45" t="s">
        <v>104</v>
      </c>
    </row>
    <row r="23" spans="1:3" s="23" customFormat="1" x14ac:dyDescent="0.3">
      <c r="A23" s="24" t="s">
        <v>58</v>
      </c>
      <c r="B23" s="25" t="s">
        <v>59</v>
      </c>
      <c r="C23" s="45" t="s">
        <v>104</v>
      </c>
    </row>
    <row r="24" spans="1:3" s="23" customFormat="1" x14ac:dyDescent="0.3">
      <c r="A24" s="24" t="s">
        <v>60</v>
      </c>
      <c r="B24" s="25" t="s">
        <v>61</v>
      </c>
      <c r="C24" s="45">
        <v>0.65</v>
      </c>
    </row>
    <row r="25" spans="1:3" s="23" customFormat="1" x14ac:dyDescent="0.3">
      <c r="A25" s="24" t="s">
        <v>62</v>
      </c>
      <c r="B25" s="25" t="s">
        <v>63</v>
      </c>
      <c r="C25" s="45">
        <v>8.33</v>
      </c>
    </row>
    <row r="26" spans="1:3" s="23" customFormat="1" x14ac:dyDescent="0.3">
      <c r="A26" s="24" t="s">
        <v>64</v>
      </c>
      <c r="B26" s="25" t="s">
        <v>65</v>
      </c>
      <c r="C26" s="45">
        <v>0.05</v>
      </c>
    </row>
    <row r="27" spans="1:3" s="23" customFormat="1" x14ac:dyDescent="0.3">
      <c r="A27" s="24" t="s">
        <v>66</v>
      </c>
      <c r="B27" s="25" t="s">
        <v>67</v>
      </c>
      <c r="C27" s="45">
        <v>0.56000000000000005</v>
      </c>
    </row>
    <row r="28" spans="1:3" s="23" customFormat="1" x14ac:dyDescent="0.3">
      <c r="A28" s="24" t="s">
        <v>68</v>
      </c>
      <c r="B28" s="25" t="s">
        <v>69</v>
      </c>
      <c r="C28" s="45" t="s">
        <v>104</v>
      </c>
    </row>
    <row r="29" spans="1:3" s="23" customFormat="1" x14ac:dyDescent="0.3">
      <c r="A29" s="24" t="s">
        <v>70</v>
      </c>
      <c r="B29" s="25" t="s">
        <v>71</v>
      </c>
      <c r="C29" s="45">
        <v>7.0000000000000007E-2</v>
      </c>
    </row>
    <row r="30" spans="1:3" s="23" customFormat="1" x14ac:dyDescent="0.3">
      <c r="A30" s="24" t="s">
        <v>72</v>
      </c>
      <c r="B30" s="25" t="s">
        <v>73</v>
      </c>
      <c r="C30" s="45">
        <v>7.56</v>
      </c>
    </row>
    <row r="31" spans="1:3" s="23" customFormat="1" x14ac:dyDescent="0.3">
      <c r="A31" s="24" t="s">
        <v>74</v>
      </c>
      <c r="B31" s="25" t="s">
        <v>75</v>
      </c>
      <c r="C31" s="45">
        <v>0.03</v>
      </c>
    </row>
    <row r="32" spans="1:3" s="23" customFormat="1" x14ac:dyDescent="0.3">
      <c r="A32" s="29" t="s">
        <v>7</v>
      </c>
      <c r="B32" s="29" t="s">
        <v>32</v>
      </c>
      <c r="C32" s="46">
        <f>SUM(C22:C31)</f>
        <v>17.250000000000004</v>
      </c>
    </row>
    <row r="33" spans="1:3" s="26" customFormat="1" ht="10" x14ac:dyDescent="0.2">
      <c r="A33" s="24"/>
      <c r="B33" s="25"/>
      <c r="C33" s="45"/>
    </row>
    <row r="34" spans="1:3" s="23" customFormat="1" x14ac:dyDescent="0.3">
      <c r="A34" s="170" t="s">
        <v>76</v>
      </c>
      <c r="B34" s="171"/>
      <c r="C34" s="44"/>
    </row>
    <row r="35" spans="1:3" s="23" customFormat="1" x14ac:dyDescent="0.3">
      <c r="A35" s="24" t="s">
        <v>77</v>
      </c>
      <c r="B35" s="25" t="s">
        <v>78</v>
      </c>
      <c r="C35" s="45">
        <v>3.63</v>
      </c>
    </row>
    <row r="36" spans="1:3" s="23" customFormat="1" x14ac:dyDescent="0.3">
      <c r="A36" s="24" t="s">
        <v>79</v>
      </c>
      <c r="B36" s="25" t="s">
        <v>80</v>
      </c>
      <c r="C36" s="45">
        <v>0.09</v>
      </c>
    </row>
    <row r="37" spans="1:3" s="23" customFormat="1" x14ac:dyDescent="0.3">
      <c r="A37" s="24" t="s">
        <v>81</v>
      </c>
      <c r="B37" s="25" t="s">
        <v>82</v>
      </c>
      <c r="C37" s="45">
        <v>3.03</v>
      </c>
    </row>
    <row r="38" spans="1:3" s="23" customFormat="1" x14ac:dyDescent="0.3">
      <c r="A38" s="24" t="s">
        <v>83</v>
      </c>
      <c r="B38" s="25" t="s">
        <v>84</v>
      </c>
      <c r="C38" s="45">
        <v>2.33</v>
      </c>
    </row>
    <row r="39" spans="1:3" s="23" customFormat="1" x14ac:dyDescent="0.3">
      <c r="A39" s="24" t="s">
        <v>85</v>
      </c>
      <c r="B39" s="25" t="s">
        <v>86</v>
      </c>
      <c r="C39" s="45">
        <v>0.31</v>
      </c>
    </row>
    <row r="40" spans="1:3" s="23" customFormat="1" x14ac:dyDescent="0.3">
      <c r="A40" s="29" t="s">
        <v>87</v>
      </c>
      <c r="B40" s="29" t="s">
        <v>32</v>
      </c>
      <c r="C40" s="46">
        <f>SUM(C35:C39)</f>
        <v>9.39</v>
      </c>
    </row>
    <row r="41" spans="1:3" s="26" customFormat="1" ht="10" x14ac:dyDescent="0.2">
      <c r="A41" s="24"/>
      <c r="B41" s="25"/>
      <c r="C41" s="45"/>
    </row>
    <row r="42" spans="1:3" s="23" customFormat="1" x14ac:dyDescent="0.3">
      <c r="A42" s="170" t="s">
        <v>88</v>
      </c>
      <c r="B42" s="171"/>
      <c r="C42" s="44"/>
    </row>
    <row r="43" spans="1:3" s="23" customFormat="1" x14ac:dyDescent="0.3">
      <c r="A43" s="24" t="s">
        <v>89</v>
      </c>
      <c r="B43" s="25" t="s">
        <v>90</v>
      </c>
      <c r="C43" s="45">
        <f>ROUND((C19*C32)/100,2)</f>
        <v>6.35</v>
      </c>
    </row>
    <row r="44" spans="1:3" s="23" customFormat="1" ht="21" x14ac:dyDescent="0.3">
      <c r="A44" s="24" t="s">
        <v>91</v>
      </c>
      <c r="B44" s="30" t="s">
        <v>92</v>
      </c>
      <c r="C44" s="45">
        <f>ROUND(((C19*C36)/100)+((C17*C35)/100),2)</f>
        <v>0.32</v>
      </c>
    </row>
    <row r="45" spans="1:3" s="23" customFormat="1" x14ac:dyDescent="0.3">
      <c r="A45" s="29" t="s">
        <v>93</v>
      </c>
      <c r="B45" s="29" t="s">
        <v>32</v>
      </c>
      <c r="C45" s="46">
        <f>SUM(C43:C44)</f>
        <v>6.67</v>
      </c>
    </row>
    <row r="46" spans="1:3" s="26" customFormat="1" ht="10" x14ac:dyDescent="0.2">
      <c r="A46" s="24"/>
      <c r="B46" s="25"/>
      <c r="C46" s="45"/>
    </row>
    <row r="47" spans="1:3" s="23" customFormat="1" x14ac:dyDescent="0.3">
      <c r="A47" s="172" t="s">
        <v>94</v>
      </c>
      <c r="B47" s="173"/>
      <c r="C47" s="47">
        <f>C19+C32+C40+C45</f>
        <v>70.11</v>
      </c>
    </row>
    <row r="48" spans="1:3" x14ac:dyDescent="0.3">
      <c r="A48" s="15"/>
      <c r="B48" s="15"/>
    </row>
    <row r="49" spans="1:3" ht="14" customHeight="1" x14ac:dyDescent="0.3">
      <c r="A49" s="169" t="s">
        <v>106</v>
      </c>
      <c r="B49" s="169"/>
      <c r="C49" s="169"/>
    </row>
  </sheetData>
  <mergeCells count="9">
    <mergeCell ref="A49:C49"/>
    <mergeCell ref="A1:C1"/>
    <mergeCell ref="A9:B9"/>
    <mergeCell ref="A21:B21"/>
    <mergeCell ref="A34:B34"/>
    <mergeCell ref="A42:B42"/>
    <mergeCell ref="A47:B47"/>
    <mergeCell ref="A6:B6"/>
    <mergeCell ref="A3:C3"/>
  </mergeCells>
  <printOptions horizontalCentered="1"/>
  <pageMargins left="0.47244094488188981" right="0.47244094488188981" top="0.59055118110236227" bottom="0.47244094488188981" header="0.31496062992125984" footer="0.31496062992125984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5</vt:i4>
      </vt:variant>
    </vt:vector>
  </HeadingPairs>
  <TitlesOfParts>
    <vt:vector size="10" baseType="lpstr">
      <vt:lpstr>CRONOGRAMA</vt:lpstr>
      <vt:lpstr>ORÇAMENTO</vt:lpstr>
      <vt:lpstr>COMPOSIÇÃO 003</vt:lpstr>
      <vt:lpstr>DESPESAS FISCAIS</vt:lpstr>
      <vt:lpstr>ENCARGOS SOCIAIS</vt:lpstr>
      <vt:lpstr>'COMPOSIÇÃO 003'!Area_de_impressao</vt:lpstr>
      <vt:lpstr>CRONOGRAMA!Area_de_impressao</vt:lpstr>
      <vt:lpstr>'DESPESAS FISCAIS'!Area_de_impressao</vt:lpstr>
      <vt:lpstr>'ENCARGOS SOCIAIS'!Area_de_impressao</vt:lpstr>
      <vt:lpstr>ORÇAMENTO!Area_de_impressao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2026-01-08T19:21:04Z</dcterms:modified>
</cp:coreProperties>
</file>