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PROCESSOS 2025\CE 2025\CE 004-2025 - OBRAS VIARIAS\PARA O AGENTE DE CONTRATAÇÃO\REMESSA\"/>
    </mc:Choice>
  </mc:AlternateContent>
  <bookViews>
    <workbookView xWindow="0" yWindow="0" windowWidth="20490" windowHeight="7650" tabRatio="953" firstSheet="5" activeTab="6"/>
  </bookViews>
  <sheets>
    <sheet name="RESUMO" sheetId="24" r:id="rId1"/>
    <sheet name="BDI" sheetId="34" r:id="rId2"/>
    <sheet name="ABC-consolidada" sheetId="33" r:id="rId3"/>
    <sheet name="ABC-detalhada" sheetId="22" r:id="rId4"/>
    <sheet name="PLANILHA CONSOLIDADA" sheetId="21" r:id="rId5"/>
    <sheet name="CRONOGRAMA CONSOLIDADO" sheetId="32" r:id="rId6"/>
    <sheet name="ATESTAÇÃO" sheetId="23" r:id="rId7"/>
    <sheet name="OBRA 01 - SINTÉTICA" sheetId="1" r:id="rId8"/>
    <sheet name="OBRA 01 - MEMÓRIA" sheetId="3" r:id="rId9"/>
    <sheet name="OBRA 01 - CRONOGRAMA" sheetId="31" r:id="rId10"/>
    <sheet name="PLANILHA UNIFICADA" sheetId="17" state="hidden" r:id="rId11"/>
    <sheet name="OBRA 01 - ANALÍTICA" sheetId="2" r:id="rId12"/>
    <sheet name="OBRA 02 - SINTÉTICA" sheetId="4" r:id="rId13"/>
    <sheet name="OBRA 02 - MEMÓRIA" sheetId="5" r:id="rId14"/>
    <sheet name="OBRA 02 - ANALÍTICA" sheetId="6" r:id="rId15"/>
    <sheet name="OBRA 02 - CRONOGRAMA" sheetId="26" r:id="rId16"/>
    <sheet name="OBRA 03 - SINTÉTICA" sheetId="7" r:id="rId17"/>
    <sheet name="OBRA 03 - MEMÓRIA" sheetId="8" r:id="rId18"/>
    <sheet name="OBRA 03 - ANALÍTICA" sheetId="9" r:id="rId19"/>
    <sheet name="OBRA 03 - CRONOGRAMA" sheetId="27" r:id="rId20"/>
    <sheet name="OBRA 04 - SINTÉTICA" sheetId="10" r:id="rId21"/>
    <sheet name="OBRA 04 - MEMÓRIA" sheetId="11" r:id="rId22"/>
    <sheet name="OBRA 04 - ANALÍTICA" sheetId="12" r:id="rId23"/>
    <sheet name="OBRA 04 - CRONOGRAMA" sheetId="28" r:id="rId24"/>
  </sheets>
  <externalReferences>
    <externalReference r:id="rId25"/>
    <externalReference r:id="rId26"/>
  </externalReferences>
  <definedNames>
    <definedName name="_xlnm._FilterDatabase" localSheetId="3" hidden="1">'ABC-detalhada'!#REF!</definedName>
    <definedName name="_xlnm._FilterDatabase" localSheetId="6" hidden="1">ATESTAÇÃO!$B$3:$E$249</definedName>
    <definedName name="_xlnm._FilterDatabase" localSheetId="8" hidden="1">'OBRA 01 - MEMÓRIA'!$A$6:$O$100</definedName>
    <definedName name="_xlnm._FilterDatabase" localSheetId="4" hidden="1">'PLANILHA CONSOLIDADA'!$B$9:$I$298</definedName>
    <definedName name="_xlnm._FilterDatabase" localSheetId="10" hidden="1">'PLANILHA UNIFICADA'!$B$6:$K$291</definedName>
    <definedName name="_xlnm.Print_Titles" localSheetId="8">'[1]repeated header'!$4:$4</definedName>
    <definedName name="_xlnm.Print_Titles" localSheetId="7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34" l="1"/>
  <c r="D16" i="34"/>
  <c r="AY14" i="32"/>
  <c r="J14" i="32" s="1"/>
  <c r="AY30" i="32"/>
  <c r="V29" i="32" s="1"/>
  <c r="AY23" i="32"/>
  <c r="V23" i="32" s="1"/>
  <c r="AY20" i="32"/>
  <c r="V20" i="32" s="1"/>
  <c r="AY16" i="32"/>
  <c r="J17" i="32" s="1"/>
  <c r="AY11" i="32"/>
  <c r="R11" i="32" s="1"/>
  <c r="AY8" i="32"/>
  <c r="AY26" i="32"/>
  <c r="P44" i="21"/>
  <c r="J44" i="21"/>
  <c r="K13" i="22"/>
  <c r="K14" i="22"/>
  <c r="K15" i="22"/>
  <c r="J170" i="12"/>
  <c r="J189" i="9"/>
  <c r="J128" i="6"/>
  <c r="J189" i="2"/>
  <c r="V6" i="21"/>
  <c r="AB6" i="21" s="1"/>
  <c r="AB7" i="21" s="1"/>
  <c r="V16" i="21"/>
  <c r="AB16" i="21" s="1"/>
  <c r="V22" i="21"/>
  <c r="AB22" i="21"/>
  <c r="Z57" i="21"/>
  <c r="AA57" i="21"/>
  <c r="AB57" i="21"/>
  <c r="AC57" i="21"/>
  <c r="E14" i="23"/>
  <c r="I14" i="22"/>
  <c r="G14" i="22"/>
  <c r="F14" i="22"/>
  <c r="BS10" i="32"/>
  <c r="AC10" i="32" s="1"/>
  <c r="BR10" i="32"/>
  <c r="AB10" i="32" s="1"/>
  <c r="BQ10" i="32"/>
  <c r="AA10" i="32" s="1"/>
  <c r="K28" i="32"/>
  <c r="L28" i="32"/>
  <c r="M28" i="32"/>
  <c r="N28" i="32"/>
  <c r="O28" i="32"/>
  <c r="P28" i="32"/>
  <c r="Q28" i="32"/>
  <c r="R28" i="32"/>
  <c r="S28" i="32"/>
  <c r="T28" i="32"/>
  <c r="U28" i="32"/>
  <c r="V28" i="32"/>
  <c r="W28" i="32"/>
  <c r="X28" i="32"/>
  <c r="Y28" i="32"/>
  <c r="Z28" i="32"/>
  <c r="AA28" i="32"/>
  <c r="AB28" i="32"/>
  <c r="AC28" i="32"/>
  <c r="AD28" i="32"/>
  <c r="AE28" i="32"/>
  <c r="AF28" i="32"/>
  <c r="AG28" i="32"/>
  <c r="AH28" i="32"/>
  <c r="AI28" i="32"/>
  <c r="AJ28" i="32"/>
  <c r="AK28" i="32"/>
  <c r="AL28" i="32"/>
  <c r="AM28" i="32"/>
  <c r="AN28" i="32"/>
  <c r="AO28" i="32"/>
  <c r="AP28" i="32"/>
  <c r="AQ28" i="32"/>
  <c r="AR28" i="32"/>
  <c r="AS28" i="32"/>
  <c r="AT28" i="32"/>
  <c r="AU28" i="32"/>
  <c r="AV28" i="32"/>
  <c r="AW28" i="32"/>
  <c r="J28" i="32"/>
  <c r="K25" i="32"/>
  <c r="L25" i="32"/>
  <c r="M25" i="32"/>
  <c r="N25" i="32"/>
  <c r="O25" i="32"/>
  <c r="P25" i="32"/>
  <c r="Q25" i="32"/>
  <c r="R25" i="32"/>
  <c r="S25" i="32"/>
  <c r="T25" i="32"/>
  <c r="U25" i="32"/>
  <c r="V25" i="32"/>
  <c r="W25" i="32"/>
  <c r="X25" i="32"/>
  <c r="Y25" i="32"/>
  <c r="Z25" i="32"/>
  <c r="AA25" i="32"/>
  <c r="AB25" i="32"/>
  <c r="AC25" i="32"/>
  <c r="AD25" i="32"/>
  <c r="AE25" i="32"/>
  <c r="AF25" i="32"/>
  <c r="AG25" i="32"/>
  <c r="AH25" i="32"/>
  <c r="AI25" i="32"/>
  <c r="AJ25" i="32"/>
  <c r="AK25" i="32"/>
  <c r="AL25" i="32"/>
  <c r="AM25" i="32"/>
  <c r="AN25" i="32"/>
  <c r="AO25" i="32"/>
  <c r="AP25" i="32"/>
  <c r="AQ25" i="32"/>
  <c r="AR25" i="32"/>
  <c r="AS25" i="32"/>
  <c r="AT25" i="32"/>
  <c r="AU25" i="32"/>
  <c r="AV25" i="32"/>
  <c r="AW25" i="32"/>
  <c r="J25" i="32"/>
  <c r="K22" i="32"/>
  <c r="L22" i="32"/>
  <c r="M22" i="32"/>
  <c r="N22" i="32"/>
  <c r="O22" i="32"/>
  <c r="P22" i="32"/>
  <c r="Q22" i="32"/>
  <c r="R22" i="32"/>
  <c r="S22" i="32"/>
  <c r="T22" i="32"/>
  <c r="U22" i="32"/>
  <c r="V22" i="32"/>
  <c r="W22" i="32"/>
  <c r="X22" i="32"/>
  <c r="Y22" i="32"/>
  <c r="Z22" i="32"/>
  <c r="AA22" i="32"/>
  <c r="AB22" i="32"/>
  <c r="AC22" i="32"/>
  <c r="AD22" i="32"/>
  <c r="AE22" i="32"/>
  <c r="AF22" i="32"/>
  <c r="AG22" i="32"/>
  <c r="AH22" i="32"/>
  <c r="AI22" i="32"/>
  <c r="AJ22" i="32"/>
  <c r="AK22" i="32"/>
  <c r="AL22" i="32"/>
  <c r="AM22" i="32"/>
  <c r="AN22" i="32"/>
  <c r="AO22" i="32"/>
  <c r="AP22" i="32"/>
  <c r="AQ22" i="32"/>
  <c r="AR22" i="32"/>
  <c r="AS22" i="32"/>
  <c r="AT22" i="32"/>
  <c r="AU22" i="32"/>
  <c r="AV22" i="32"/>
  <c r="AW22" i="32"/>
  <c r="J22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Y19" i="32"/>
  <c r="Z19" i="32"/>
  <c r="AA19" i="32"/>
  <c r="AB19" i="32"/>
  <c r="AC19" i="32"/>
  <c r="AD19" i="32"/>
  <c r="AE19" i="32"/>
  <c r="AF19" i="32"/>
  <c r="AG19" i="32"/>
  <c r="AH19" i="32"/>
  <c r="AI19" i="32"/>
  <c r="AJ19" i="32"/>
  <c r="AK19" i="32"/>
  <c r="AL19" i="32"/>
  <c r="AM19" i="32"/>
  <c r="AN19" i="32"/>
  <c r="AO19" i="32"/>
  <c r="AP19" i="32"/>
  <c r="AQ19" i="32"/>
  <c r="AP20" i="32" s="1"/>
  <c r="AR19" i="32"/>
  <c r="AS19" i="32"/>
  <c r="AT19" i="32"/>
  <c r="AU19" i="32"/>
  <c r="AV19" i="32"/>
  <c r="AW19" i="32"/>
  <c r="J19" i="32"/>
  <c r="K16" i="32"/>
  <c r="L16" i="32"/>
  <c r="M16" i="32"/>
  <c r="N16" i="32"/>
  <c r="O16" i="32"/>
  <c r="P16" i="32"/>
  <c r="Q16" i="32"/>
  <c r="R16" i="32"/>
  <c r="S16" i="32"/>
  <c r="T16" i="32"/>
  <c r="U16" i="32"/>
  <c r="V16" i="32"/>
  <c r="W16" i="32"/>
  <c r="X16" i="32"/>
  <c r="Y16" i="32"/>
  <c r="Z16" i="32"/>
  <c r="AA16" i="32"/>
  <c r="AB16" i="32"/>
  <c r="AC16" i="32"/>
  <c r="AD16" i="32"/>
  <c r="AE16" i="32"/>
  <c r="AF16" i="32"/>
  <c r="AG16" i="32"/>
  <c r="AH16" i="32"/>
  <c r="AI16" i="32"/>
  <c r="AJ16" i="32"/>
  <c r="AK16" i="32"/>
  <c r="AL16" i="32"/>
  <c r="AM16" i="32"/>
  <c r="AN16" i="32"/>
  <c r="AO16" i="32"/>
  <c r="AP16" i="32"/>
  <c r="AQ16" i="32"/>
  <c r="AR16" i="32"/>
  <c r="AS16" i="32"/>
  <c r="AT16" i="32"/>
  <c r="AU16" i="32"/>
  <c r="AV16" i="32"/>
  <c r="AW16" i="32"/>
  <c r="J16" i="32"/>
  <c r="K13" i="32"/>
  <c r="L13" i="32"/>
  <c r="M13" i="32"/>
  <c r="N13" i="32"/>
  <c r="O13" i="32"/>
  <c r="P13" i="32"/>
  <c r="Q13" i="32"/>
  <c r="R13" i="32"/>
  <c r="S13" i="32"/>
  <c r="T13" i="32"/>
  <c r="U13" i="32"/>
  <c r="V13" i="32"/>
  <c r="W13" i="32"/>
  <c r="X13" i="32"/>
  <c r="Y13" i="32"/>
  <c r="Z13" i="32"/>
  <c r="AA13" i="32"/>
  <c r="AB13" i="32"/>
  <c r="AC13" i="32"/>
  <c r="AD13" i="32"/>
  <c r="AE13" i="32"/>
  <c r="AF13" i="32"/>
  <c r="AG13" i="32"/>
  <c r="AH13" i="32"/>
  <c r="AI13" i="32"/>
  <c r="AJ13" i="32"/>
  <c r="AK13" i="32"/>
  <c r="AL13" i="32"/>
  <c r="AM13" i="32"/>
  <c r="AN13" i="32"/>
  <c r="AO13" i="32"/>
  <c r="AP13" i="32"/>
  <c r="AQ13" i="32"/>
  <c r="AR13" i="32"/>
  <c r="AS13" i="32"/>
  <c r="AT13" i="32"/>
  <c r="AU13" i="32"/>
  <c r="AV13" i="32"/>
  <c r="AW13" i="32"/>
  <c r="J13" i="32"/>
  <c r="K10" i="32"/>
  <c r="L10" i="32"/>
  <c r="M10" i="32"/>
  <c r="N10" i="32"/>
  <c r="O10" i="32"/>
  <c r="P10" i="32"/>
  <c r="Q10" i="32"/>
  <c r="R10" i="32"/>
  <c r="S10" i="32"/>
  <c r="T10" i="32"/>
  <c r="U10" i="32"/>
  <c r="V10" i="32"/>
  <c r="W10" i="32"/>
  <c r="X10" i="32"/>
  <c r="Y10" i="32"/>
  <c r="Z10" i="32"/>
  <c r="AD10" i="32"/>
  <c r="AE10" i="32"/>
  <c r="AF10" i="32"/>
  <c r="AG10" i="32"/>
  <c r="AH10" i="32"/>
  <c r="AI10" i="32"/>
  <c r="AJ10" i="32"/>
  <c r="AK10" i="32"/>
  <c r="AL10" i="32"/>
  <c r="AM10" i="32"/>
  <c r="AN10" i="32"/>
  <c r="AO10" i="32"/>
  <c r="AP10" i="32"/>
  <c r="AQ10" i="32"/>
  <c r="AR10" i="32"/>
  <c r="AS10" i="32"/>
  <c r="AT10" i="32"/>
  <c r="AU10" i="32"/>
  <c r="AV10" i="32"/>
  <c r="AW10" i="32"/>
  <c r="J10" i="32"/>
  <c r="K7" i="32"/>
  <c r="L7" i="32"/>
  <c r="M7" i="32"/>
  <c r="N7" i="32"/>
  <c r="O7" i="32"/>
  <c r="P7" i="32"/>
  <c r="Q7" i="32"/>
  <c r="R7" i="32"/>
  <c r="S7" i="32"/>
  <c r="T7" i="32"/>
  <c r="U7" i="32"/>
  <c r="V7" i="32"/>
  <c r="W7" i="32"/>
  <c r="X7" i="32"/>
  <c r="Y7" i="32"/>
  <c r="Z7" i="32"/>
  <c r="AA7" i="32"/>
  <c r="AB7" i="32"/>
  <c r="AC7" i="32"/>
  <c r="AD7" i="32"/>
  <c r="AE7" i="32"/>
  <c r="AF7" i="32"/>
  <c r="AG7" i="32"/>
  <c r="AH7" i="32"/>
  <c r="AI7" i="32"/>
  <c r="AJ7" i="32"/>
  <c r="AK7" i="32"/>
  <c r="AL7" i="32"/>
  <c r="AM7" i="32"/>
  <c r="AN7" i="32"/>
  <c r="AO7" i="32"/>
  <c r="AP7" i="32"/>
  <c r="AQ7" i="32"/>
  <c r="AR7" i="32"/>
  <c r="AS7" i="32"/>
  <c r="AT7" i="32"/>
  <c r="AU7" i="32"/>
  <c r="AV7" i="32"/>
  <c r="AW7" i="32"/>
  <c r="J7" i="32"/>
  <c r="AY13" i="32"/>
  <c r="AY15" i="32"/>
  <c r="AY19" i="32"/>
  <c r="AY22" i="32"/>
  <c r="AY25" i="32"/>
  <c r="AY29" i="32"/>
  <c r="AY7" i="32"/>
  <c r="G25" i="28"/>
  <c r="H25" i="28"/>
  <c r="I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G22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G19" i="28"/>
  <c r="H19" i="28"/>
  <c r="I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G16" i="28"/>
  <c r="H16" i="28"/>
  <c r="I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G13" i="28"/>
  <c r="H13" i="28"/>
  <c r="I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G7" i="28"/>
  <c r="H7" i="28"/>
  <c r="I7" i="28"/>
  <c r="J7" i="28"/>
  <c r="K7" i="28"/>
  <c r="L7" i="28"/>
  <c r="M7" i="28"/>
  <c r="N7" i="28"/>
  <c r="O7" i="28"/>
  <c r="P7" i="28"/>
  <c r="Q7" i="28"/>
  <c r="R7" i="28"/>
  <c r="S7" i="28"/>
  <c r="T7" i="28"/>
  <c r="U7" i="28"/>
  <c r="V29" i="27"/>
  <c r="S28" i="27"/>
  <c r="T28" i="27"/>
  <c r="U28" i="27"/>
  <c r="G28" i="27"/>
  <c r="H28" i="27"/>
  <c r="I28" i="27"/>
  <c r="J28" i="27"/>
  <c r="K28" i="27"/>
  <c r="L28" i="27"/>
  <c r="M28" i="27"/>
  <c r="N28" i="27"/>
  <c r="O28" i="27"/>
  <c r="P28" i="27"/>
  <c r="Q28" i="27"/>
  <c r="R28" i="27"/>
  <c r="V25" i="27"/>
  <c r="N26" i="27" s="1"/>
  <c r="G25" i="27"/>
  <c r="H25" i="27"/>
  <c r="I25" i="27"/>
  <c r="J25" i="27"/>
  <c r="K25" i="27"/>
  <c r="L25" i="27"/>
  <c r="M25" i="27"/>
  <c r="N25" i="27"/>
  <c r="O25" i="27"/>
  <c r="P25" i="27"/>
  <c r="Q25" i="27"/>
  <c r="R25" i="27"/>
  <c r="S25" i="27"/>
  <c r="T25" i="27"/>
  <c r="U25" i="27"/>
  <c r="F25" i="27"/>
  <c r="G22" i="27"/>
  <c r="H22" i="27"/>
  <c r="I22" i="27"/>
  <c r="J22" i="27"/>
  <c r="K22" i="27"/>
  <c r="L22" i="27"/>
  <c r="M22" i="27"/>
  <c r="N22" i="27"/>
  <c r="O22" i="27"/>
  <c r="P22" i="27"/>
  <c r="Q22" i="27"/>
  <c r="R22" i="27"/>
  <c r="S22" i="27"/>
  <c r="T22" i="27"/>
  <c r="U22" i="27"/>
  <c r="G19" i="27"/>
  <c r="H19" i="27"/>
  <c r="I19" i="27"/>
  <c r="J19" i="27"/>
  <c r="K19" i="27"/>
  <c r="L19" i="27"/>
  <c r="M19" i="27"/>
  <c r="N19" i="27"/>
  <c r="O19" i="27"/>
  <c r="P19" i="27"/>
  <c r="Q19" i="27"/>
  <c r="R19" i="27"/>
  <c r="S19" i="27"/>
  <c r="T19" i="27"/>
  <c r="U19" i="27"/>
  <c r="G16" i="27"/>
  <c r="H16" i="27"/>
  <c r="I16" i="27"/>
  <c r="J16" i="27"/>
  <c r="K16" i="27"/>
  <c r="L16" i="27"/>
  <c r="M16" i="27"/>
  <c r="N16" i="27"/>
  <c r="O16" i="27"/>
  <c r="P16" i="27"/>
  <c r="Q16" i="27"/>
  <c r="R16" i="27"/>
  <c r="S16" i="27"/>
  <c r="T16" i="27"/>
  <c r="U16" i="27"/>
  <c r="G13" i="27"/>
  <c r="H13" i="27"/>
  <c r="I13" i="27"/>
  <c r="J13" i="27"/>
  <c r="K13" i="27"/>
  <c r="L13" i="27"/>
  <c r="M13" i="27"/>
  <c r="N13" i="27"/>
  <c r="O13" i="27"/>
  <c r="P13" i="27"/>
  <c r="Q13" i="27"/>
  <c r="R13" i="27"/>
  <c r="S13" i="27"/>
  <c r="T13" i="27"/>
  <c r="U13" i="27"/>
  <c r="Z10" i="27"/>
  <c r="I10" i="27" s="1"/>
  <c r="Y10" i="27"/>
  <c r="H10" i="27" s="1"/>
  <c r="X10" i="27"/>
  <c r="G10" i="27" s="1"/>
  <c r="J10" i="27"/>
  <c r="K10" i="27"/>
  <c r="L10" i="27"/>
  <c r="M10" i="27"/>
  <c r="N10" i="27"/>
  <c r="O10" i="27"/>
  <c r="P10" i="27"/>
  <c r="Q10" i="27"/>
  <c r="R10" i="27"/>
  <c r="S10" i="27"/>
  <c r="T10" i="27"/>
  <c r="U10" i="27"/>
  <c r="G7" i="27"/>
  <c r="H7" i="27"/>
  <c r="I7" i="27"/>
  <c r="J7" i="27"/>
  <c r="K7" i="27"/>
  <c r="L7" i="27"/>
  <c r="M7" i="27"/>
  <c r="N7" i="27"/>
  <c r="O7" i="27"/>
  <c r="P7" i="27"/>
  <c r="Q7" i="27"/>
  <c r="R7" i="27"/>
  <c r="S7" i="27"/>
  <c r="T7" i="27"/>
  <c r="U7" i="27"/>
  <c r="S14" i="26"/>
  <c r="R14" i="26"/>
  <c r="I16" i="26" s="1"/>
  <c r="Q14" i="26"/>
  <c r="N14" i="26" s="1"/>
  <c r="S12" i="26"/>
  <c r="R12" i="26"/>
  <c r="I13" i="26" s="1"/>
  <c r="Q12" i="26"/>
  <c r="N12" i="26" s="1"/>
  <c r="N29" i="28"/>
  <c r="R27" i="28"/>
  <c r="R29" i="28" s="1"/>
  <c r="V26" i="28"/>
  <c r="F25" i="28"/>
  <c r="V22" i="28"/>
  <c r="F22" i="28"/>
  <c r="V19" i="28"/>
  <c r="F19" i="28"/>
  <c r="F16" i="28"/>
  <c r="V15" i="28"/>
  <c r="V13" i="28"/>
  <c r="F13" i="28"/>
  <c r="V10" i="28"/>
  <c r="F10" i="28"/>
  <c r="V7" i="28"/>
  <c r="F7" i="28"/>
  <c r="F28" i="27"/>
  <c r="V22" i="27"/>
  <c r="F22" i="27"/>
  <c r="V19" i="27"/>
  <c r="F19" i="27"/>
  <c r="F16" i="27"/>
  <c r="V15" i="27"/>
  <c r="V13" i="27"/>
  <c r="J14" i="27" s="1"/>
  <c r="F13" i="27"/>
  <c r="F10" i="27"/>
  <c r="V7" i="27"/>
  <c r="F7" i="27"/>
  <c r="N25" i="26"/>
  <c r="K25" i="26"/>
  <c r="J25" i="26"/>
  <c r="I25" i="26"/>
  <c r="H25" i="26"/>
  <c r="G25" i="26"/>
  <c r="F25" i="26"/>
  <c r="N21" i="26"/>
  <c r="M22" i="26"/>
  <c r="L22" i="26"/>
  <c r="K22" i="26"/>
  <c r="J22" i="26"/>
  <c r="I22" i="26"/>
  <c r="H22" i="26"/>
  <c r="G22" i="26"/>
  <c r="F22" i="26"/>
  <c r="N18" i="26"/>
  <c r="M19" i="26"/>
  <c r="L19" i="26"/>
  <c r="K19" i="26"/>
  <c r="J19" i="26"/>
  <c r="I19" i="26"/>
  <c r="H19" i="26"/>
  <c r="G19" i="26"/>
  <c r="F19" i="26"/>
  <c r="M16" i="26"/>
  <c r="L16" i="26"/>
  <c r="K16" i="26"/>
  <c r="J16" i="26"/>
  <c r="G16" i="26"/>
  <c r="F16" i="26"/>
  <c r="M13" i="26"/>
  <c r="L13" i="26"/>
  <c r="K13" i="26"/>
  <c r="J13" i="26"/>
  <c r="G13" i="26"/>
  <c r="F13" i="26"/>
  <c r="N9" i="26"/>
  <c r="I10" i="26"/>
  <c r="H10" i="26"/>
  <c r="G10" i="26"/>
  <c r="F10" i="26"/>
  <c r="N6" i="26"/>
  <c r="M7" i="26"/>
  <c r="L7" i="26"/>
  <c r="K7" i="26"/>
  <c r="J7" i="26"/>
  <c r="I7" i="26"/>
  <c r="H7" i="26"/>
  <c r="G7" i="26"/>
  <c r="F7" i="26"/>
  <c r="G25" i="31"/>
  <c r="H25" i="31"/>
  <c r="I25" i="31"/>
  <c r="J25" i="31"/>
  <c r="K25" i="31"/>
  <c r="F25" i="31"/>
  <c r="N26" i="31"/>
  <c r="G22" i="31"/>
  <c r="H22" i="31"/>
  <c r="I22" i="31"/>
  <c r="J22" i="31"/>
  <c r="K22" i="31"/>
  <c r="L22" i="31"/>
  <c r="M22" i="31"/>
  <c r="F22" i="31"/>
  <c r="N22" i="31"/>
  <c r="G19" i="31"/>
  <c r="H19" i="31"/>
  <c r="I19" i="31"/>
  <c r="J19" i="31"/>
  <c r="K19" i="31"/>
  <c r="L19" i="31"/>
  <c r="M19" i="31"/>
  <c r="F19" i="31"/>
  <c r="N19" i="31"/>
  <c r="J7" i="31"/>
  <c r="K7" i="31"/>
  <c r="L7" i="31"/>
  <c r="M7" i="31"/>
  <c r="G16" i="31"/>
  <c r="H16" i="31"/>
  <c r="I16" i="31"/>
  <c r="J16" i="31"/>
  <c r="K16" i="31"/>
  <c r="L16" i="31"/>
  <c r="M16" i="31"/>
  <c r="F16" i="31"/>
  <c r="N7" i="31"/>
  <c r="N10" i="31"/>
  <c r="N15" i="31"/>
  <c r="N13" i="31"/>
  <c r="J13" i="31"/>
  <c r="K13" i="31"/>
  <c r="L13" i="31"/>
  <c r="M13" i="31"/>
  <c r="G13" i="31"/>
  <c r="H13" i="31"/>
  <c r="I13" i="31"/>
  <c r="F13" i="31"/>
  <c r="G10" i="31"/>
  <c r="H10" i="31"/>
  <c r="I10" i="31"/>
  <c r="F10" i="31"/>
  <c r="G7" i="31"/>
  <c r="H7" i="31"/>
  <c r="I7" i="31"/>
  <c r="F7" i="31"/>
  <c r="O105" i="8"/>
  <c r="O104" i="8" s="1"/>
  <c r="H498" i="9" s="1"/>
  <c r="J14" i="22" l="1"/>
  <c r="AB17" i="21"/>
  <c r="J20" i="32"/>
  <c r="R14" i="32"/>
  <c r="J23" i="32"/>
  <c r="R17" i="32"/>
  <c r="J8" i="32"/>
  <c r="J29" i="32"/>
  <c r="R20" i="32"/>
  <c r="R26" i="32"/>
  <c r="N8" i="32"/>
  <c r="R23" i="32"/>
  <c r="J26" i="32"/>
  <c r="H13" i="26"/>
  <c r="F14" i="26" s="1"/>
  <c r="J23" i="28"/>
  <c r="N11" i="32"/>
  <c r="R29" i="32"/>
  <c r="N14" i="32"/>
  <c r="V8" i="32"/>
  <c r="N17" i="32"/>
  <c r="V11" i="32"/>
  <c r="N20" i="32"/>
  <c r="V14" i="32"/>
  <c r="N23" i="32"/>
  <c r="V17" i="32"/>
  <c r="J11" i="32"/>
  <c r="N29" i="32"/>
  <c r="R8" i="32"/>
  <c r="F26" i="26"/>
  <c r="J14" i="26"/>
  <c r="H16" i="26"/>
  <c r="AH20" i="32"/>
  <c r="Z23" i="32"/>
  <c r="V26" i="32"/>
  <c r="AT20" i="32"/>
  <c r="AL20" i="32"/>
  <c r="AD23" i="32"/>
  <c r="F14" i="28"/>
  <c r="J26" i="28"/>
  <c r="F23" i="28"/>
  <c r="F26" i="28"/>
  <c r="J14" i="28"/>
  <c r="J17" i="28"/>
  <c r="R20" i="27"/>
  <c r="J17" i="27"/>
  <c r="R17" i="27"/>
  <c r="V10" i="27"/>
  <c r="R11" i="27" s="1"/>
  <c r="N20" i="27"/>
  <c r="J29" i="27"/>
  <c r="N17" i="27"/>
  <c r="J26" i="31"/>
  <c r="F20" i="31"/>
  <c r="J14" i="31"/>
  <c r="J23" i="26"/>
  <c r="F8" i="26"/>
  <c r="F23" i="26"/>
  <c r="N8" i="27"/>
  <c r="R29" i="27"/>
  <c r="N29" i="27"/>
  <c r="F23" i="27"/>
  <c r="J20" i="27"/>
  <c r="F14" i="27"/>
  <c r="N14" i="27"/>
  <c r="F17" i="27"/>
  <c r="R14" i="27"/>
  <c r="F26" i="27"/>
  <c r="J26" i="27"/>
  <c r="R8" i="27"/>
  <c r="N23" i="27"/>
  <c r="R26" i="27"/>
  <c r="F8" i="27"/>
  <c r="R23" i="27"/>
  <c r="J8" i="27"/>
  <c r="F29" i="27"/>
  <c r="J23" i="27"/>
  <c r="J17" i="31"/>
  <c r="F14" i="31"/>
  <c r="F17" i="31"/>
  <c r="F26" i="31"/>
  <c r="J23" i="31"/>
  <c r="F23" i="31"/>
  <c r="J20" i="31"/>
  <c r="AD20" i="32"/>
  <c r="AH14" i="32"/>
  <c r="AP26" i="32"/>
  <c r="AD29" i="32"/>
  <c r="Z14" i="32"/>
  <c r="N26" i="32"/>
  <c r="AL29" i="32"/>
  <c r="AT14" i="32"/>
  <c r="AL26" i="32"/>
  <c r="Z29" i="32"/>
  <c r="AP17" i="32"/>
  <c r="AH29" i="32"/>
  <c r="AT23" i="32"/>
  <c r="AH26" i="32"/>
  <c r="AL14" i="32"/>
  <c r="AT29" i="32"/>
  <c r="AP29" i="32"/>
  <c r="AL17" i="32"/>
  <c r="AP14" i="32"/>
  <c r="AD14" i="32"/>
  <c r="AX14" i="32" s="1"/>
  <c r="AT17" i="32"/>
  <c r="AH17" i="32"/>
  <c r="AP23" i="32"/>
  <c r="AD26" i="32"/>
  <c r="Z20" i="32"/>
  <c r="Z17" i="32"/>
  <c r="AT26" i="32"/>
  <c r="AL23" i="32"/>
  <c r="Z26" i="32"/>
  <c r="AD17" i="32"/>
  <c r="AH23" i="32"/>
  <c r="AB23" i="21"/>
  <c r="AB46" i="21" s="1"/>
  <c r="AB49" i="21" s="1"/>
  <c r="AB55" i="21" s="1"/>
  <c r="AB58" i="21" s="1"/>
  <c r="AB65" i="21"/>
  <c r="AY10" i="32"/>
  <c r="AD11" i="32" s="1"/>
  <c r="AP8" i="32"/>
  <c r="Z8" i="32"/>
  <c r="AH8" i="32"/>
  <c r="AT8" i="32"/>
  <c r="AD8" i="32"/>
  <c r="AL8" i="32"/>
  <c r="F11" i="28"/>
  <c r="J20" i="28"/>
  <c r="F8" i="28"/>
  <c r="F20" i="27"/>
  <c r="F11" i="31"/>
  <c r="J17" i="26"/>
  <c r="J20" i="26"/>
  <c r="F20" i="26"/>
  <c r="J26" i="26"/>
  <c r="F11" i="26"/>
  <c r="F17" i="26"/>
  <c r="F17" i="28"/>
  <c r="F20" i="28"/>
  <c r="F8" i="31"/>
  <c r="AX20" i="32" l="1"/>
  <c r="N11" i="27"/>
  <c r="J11" i="27"/>
  <c r="F11" i="27"/>
  <c r="AX26" i="32"/>
  <c r="AX23" i="32"/>
  <c r="AX8" i="32"/>
  <c r="AX29" i="32"/>
  <c r="AX17" i="32"/>
  <c r="AH11" i="32"/>
  <c r="AP11" i="32"/>
  <c r="AT11" i="32"/>
  <c r="AL11" i="32"/>
  <c r="Z11" i="32"/>
  <c r="AX11" i="32" l="1"/>
  <c r="J238" i="12" l="1"/>
  <c r="J237" i="12"/>
  <c r="J232" i="12"/>
  <c r="J233" i="12"/>
  <c r="J234" i="12"/>
  <c r="J231" i="12"/>
  <c r="J222" i="12"/>
  <c r="J223" i="12" s="1"/>
  <c r="J213" i="12"/>
  <c r="J214" i="12"/>
  <c r="J215" i="12"/>
  <c r="J216" i="12"/>
  <c r="J217" i="12"/>
  <c r="J218" i="12"/>
  <c r="J219" i="12"/>
  <c r="J212" i="12"/>
  <c r="J53" i="2"/>
  <c r="J54" i="2"/>
  <c r="J55" i="2"/>
  <c r="J52" i="2"/>
  <c r="J190" i="6"/>
  <c r="J191" i="6"/>
  <c r="J192" i="6"/>
  <c r="J189" i="6"/>
  <c r="J196" i="6"/>
  <c r="J195" i="6"/>
  <c r="J180" i="6"/>
  <c r="J181" i="6" s="1"/>
  <c r="J171" i="6"/>
  <c r="J172" i="6"/>
  <c r="J173" i="6"/>
  <c r="J174" i="6"/>
  <c r="J175" i="6"/>
  <c r="J176" i="6"/>
  <c r="J177" i="6"/>
  <c r="J170" i="6"/>
  <c r="H438" i="6"/>
  <c r="Q49" i="22"/>
  <c r="R49" i="22"/>
  <c r="S49" i="22"/>
  <c r="Q52" i="22"/>
  <c r="R52" i="22"/>
  <c r="S52" i="22"/>
  <c r="Q53" i="22"/>
  <c r="R53" i="22"/>
  <c r="S53" i="22"/>
  <c r="P49" i="22"/>
  <c r="T49" i="22" s="1"/>
  <c r="P52" i="22"/>
  <c r="T52" i="22" s="1"/>
  <c r="P53" i="22"/>
  <c r="T53" i="22" s="1"/>
  <c r="J77" i="12"/>
  <c r="J76" i="12"/>
  <c r="J75" i="12"/>
  <c r="J74" i="12"/>
  <c r="J96" i="9"/>
  <c r="J95" i="9"/>
  <c r="J94" i="9"/>
  <c r="J93" i="9"/>
  <c r="J35" i="6"/>
  <c r="J34" i="6"/>
  <c r="J33" i="6"/>
  <c r="J32" i="6"/>
  <c r="J31" i="6" s="1"/>
  <c r="J37" i="6" s="1"/>
  <c r="J96" i="2"/>
  <c r="J95" i="2"/>
  <c r="J94" i="2"/>
  <c r="J93" i="2"/>
  <c r="F37" i="21"/>
  <c r="G37" i="21"/>
  <c r="G23" i="22" s="1"/>
  <c r="I37" i="21"/>
  <c r="I23" i="22" s="1"/>
  <c r="O27" i="3"/>
  <c r="O26" i="3" s="1"/>
  <c r="J31" i="3" s="1"/>
  <c r="J280" i="12"/>
  <c r="J281" i="12" s="1"/>
  <c r="J277" i="12"/>
  <c r="J276" i="12"/>
  <c r="I51" i="21"/>
  <c r="I50" i="22" s="1"/>
  <c r="J142" i="12"/>
  <c r="J141" i="12"/>
  <c r="J140" i="12"/>
  <c r="J139" i="12"/>
  <c r="J138" i="12"/>
  <c r="J137" i="12"/>
  <c r="J136" i="12"/>
  <c r="G22" i="10"/>
  <c r="H22" i="10" s="1"/>
  <c r="I28" i="5"/>
  <c r="I30" i="5" s="1"/>
  <c r="O48" i="11"/>
  <c r="O47" i="11" s="1"/>
  <c r="F27" i="10" s="1"/>
  <c r="I30" i="21" s="1"/>
  <c r="O42" i="5"/>
  <c r="O41" i="5"/>
  <c r="H205" i="6" s="1"/>
  <c r="G23" i="7"/>
  <c r="H23" i="7" s="1"/>
  <c r="H30" i="21"/>
  <c r="F30" i="21"/>
  <c r="J193" i="6" l="1"/>
  <c r="J37" i="21"/>
  <c r="J220" i="12"/>
  <c r="J235" i="12"/>
  <c r="J225" i="12"/>
  <c r="J229" i="12" s="1"/>
  <c r="J239" i="12"/>
  <c r="H247" i="12"/>
  <c r="J92" i="9"/>
  <c r="J178" i="6"/>
  <c r="J183" i="6" s="1"/>
  <c r="J187" i="6" s="1"/>
  <c r="J197" i="6"/>
  <c r="J51" i="2"/>
  <c r="J92" i="2"/>
  <c r="J98" i="2" s="1"/>
  <c r="K23" i="22"/>
  <c r="F23" i="22"/>
  <c r="J23" i="22" s="1"/>
  <c r="L23" i="22"/>
  <c r="J73" i="12"/>
  <c r="J135" i="12"/>
  <c r="J144" i="12" s="1"/>
  <c r="I46" i="22"/>
  <c r="H46" i="22"/>
  <c r="F46" i="22"/>
  <c r="J278" i="12"/>
  <c r="J283" i="12" s="1"/>
  <c r="J287" i="12" s="1"/>
  <c r="F37" i="6"/>
  <c r="O29" i="3"/>
  <c r="G23" i="1"/>
  <c r="H23" i="1" s="1"/>
  <c r="H50" i="21"/>
  <c r="J98" i="9" l="1"/>
  <c r="F98" i="9" s="1"/>
  <c r="J209" i="12"/>
  <c r="J246" i="12" s="1"/>
  <c r="J247" i="12" s="1"/>
  <c r="J79" i="12"/>
  <c r="F79" i="12" s="1"/>
  <c r="F144" i="12"/>
  <c r="J167" i="6"/>
  <c r="J204" i="6" s="1"/>
  <c r="G11" i="1"/>
  <c r="H11" i="1" s="1"/>
  <c r="Q9" i="21" s="1"/>
  <c r="K9" i="21" s="1"/>
  <c r="M31" i="22" s="1"/>
  <c r="J57" i="2"/>
  <c r="Q24" i="21"/>
  <c r="K24" i="21" s="1"/>
  <c r="M11" i="22" s="1"/>
  <c r="G13" i="1"/>
  <c r="H13" i="1" s="1"/>
  <c r="H42" i="22"/>
  <c r="J273" i="12"/>
  <c r="J292" i="12" s="1"/>
  <c r="G51" i="21"/>
  <c r="F51" i="21"/>
  <c r="I58" i="21"/>
  <c r="G58" i="21"/>
  <c r="F58" i="21"/>
  <c r="I57" i="21"/>
  <c r="G57" i="21"/>
  <c r="F57" i="21"/>
  <c r="F50" i="21"/>
  <c r="I43" i="21"/>
  <c r="G43" i="21"/>
  <c r="F43" i="21"/>
  <c r="H38" i="21"/>
  <c r="H24" i="22" s="1"/>
  <c r="F38" i="21"/>
  <c r="I26" i="21"/>
  <c r="H25" i="21"/>
  <c r="F25" i="21"/>
  <c r="I8" i="21"/>
  <c r="G7" i="21"/>
  <c r="G8" i="21"/>
  <c r="G10" i="21"/>
  <c r="J337" i="12"/>
  <c r="J336" i="12"/>
  <c r="J59" i="11"/>
  <c r="O59" i="11" s="1"/>
  <c r="O58" i="11" s="1"/>
  <c r="I53" i="11"/>
  <c r="G20" i="4"/>
  <c r="H20" i="4" s="1"/>
  <c r="J9" i="6"/>
  <c r="J10" i="6"/>
  <c r="J11" i="6"/>
  <c r="J12" i="6"/>
  <c r="J13" i="6"/>
  <c r="J14" i="6"/>
  <c r="J15" i="6"/>
  <c r="J22" i="6"/>
  <c r="J23" i="6"/>
  <c r="J24" i="6"/>
  <c r="J25" i="6"/>
  <c r="J42" i="6"/>
  <c r="J43" i="6"/>
  <c r="J51" i="6"/>
  <c r="J52" i="6"/>
  <c r="J53" i="6"/>
  <c r="J54" i="6"/>
  <c r="J63" i="6"/>
  <c r="J64" i="6"/>
  <c r="J65" i="6"/>
  <c r="J66" i="6"/>
  <c r="J67" i="6"/>
  <c r="J70" i="6"/>
  <c r="J71" i="6" s="1"/>
  <c r="J84" i="6"/>
  <c r="J85" i="6"/>
  <c r="J94" i="6"/>
  <c r="J95" i="6"/>
  <c r="J96" i="6"/>
  <c r="J97" i="6"/>
  <c r="J98" i="6"/>
  <c r="J99" i="6"/>
  <c r="J100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33" i="6"/>
  <c r="J134" i="6"/>
  <c r="J135" i="6"/>
  <c r="J136" i="6"/>
  <c r="J137" i="6"/>
  <c r="J138" i="6"/>
  <c r="J139" i="6"/>
  <c r="J140" i="6"/>
  <c r="J141" i="6"/>
  <c r="J142" i="6"/>
  <c r="J149" i="6"/>
  <c r="J150" i="6"/>
  <c r="J151" i="6"/>
  <c r="J152" i="6"/>
  <c r="J159" i="6"/>
  <c r="J160" i="6"/>
  <c r="J211" i="6"/>
  <c r="J212" i="6"/>
  <c r="J215" i="6"/>
  <c r="J216" i="6" s="1"/>
  <c r="J234" i="6"/>
  <c r="J235" i="6"/>
  <c r="J238" i="6"/>
  <c r="J239" i="6" s="1"/>
  <c r="J257" i="6"/>
  <c r="J258" i="6"/>
  <c r="J259" i="6"/>
  <c r="J262" i="6"/>
  <c r="J263" i="6" s="1"/>
  <c r="J271" i="6"/>
  <c r="J272" i="6" s="1"/>
  <c r="J274" i="6"/>
  <c r="J275" i="6" s="1"/>
  <c r="J286" i="6"/>
  <c r="J287" i="6"/>
  <c r="J294" i="6"/>
  <c r="J295" i="6"/>
  <c r="J302" i="6"/>
  <c r="J303" i="6"/>
  <c r="J310" i="6"/>
  <c r="J311" i="6"/>
  <c r="J318" i="6"/>
  <c r="J317" i="6" s="1"/>
  <c r="J320" i="6" s="1"/>
  <c r="J324" i="6"/>
  <c r="J326" i="6" s="1"/>
  <c r="J330" i="6"/>
  <c r="J332" i="6" s="1"/>
  <c r="J336" i="6"/>
  <c r="J338" i="6" s="1"/>
  <c r="J344" i="6"/>
  <c r="J345" i="6"/>
  <c r="J346" i="6"/>
  <c r="J347" i="6"/>
  <c r="J348" i="6"/>
  <c r="J355" i="6"/>
  <c r="J356" i="6"/>
  <c r="J357" i="6"/>
  <c r="J358" i="6"/>
  <c r="J359" i="6"/>
  <c r="J360" i="6"/>
  <c r="J368" i="6"/>
  <c r="J369" i="6"/>
  <c r="J370" i="6"/>
  <c r="J371" i="6"/>
  <c r="J372" i="6"/>
  <c r="J373" i="6"/>
  <c r="J374" i="6"/>
  <c r="J375" i="6"/>
  <c r="J376" i="6"/>
  <c r="J383" i="6"/>
  <c r="J384" i="6"/>
  <c r="J385" i="6"/>
  <c r="J386" i="6"/>
  <c r="J387" i="6"/>
  <c r="J388" i="6"/>
  <c r="J389" i="6"/>
  <c r="J396" i="6"/>
  <c r="J397" i="6"/>
  <c r="J398" i="6"/>
  <c r="J399" i="6"/>
  <c r="J406" i="6"/>
  <c r="J407" i="6"/>
  <c r="J415" i="6"/>
  <c r="J416" i="6"/>
  <c r="J417" i="6"/>
  <c r="J418" i="6"/>
  <c r="J419" i="6"/>
  <c r="J420" i="6"/>
  <c r="J421" i="6"/>
  <c r="J422" i="6"/>
  <c r="J430" i="6"/>
  <c r="J431" i="6"/>
  <c r="J432" i="6"/>
  <c r="J433" i="6"/>
  <c r="J434" i="6"/>
  <c r="J435" i="6"/>
  <c r="J51" i="21" l="1"/>
  <c r="J57" i="21"/>
  <c r="J58" i="21"/>
  <c r="J43" i="21"/>
  <c r="G25" i="4"/>
  <c r="H25" i="4" s="1"/>
  <c r="J335" i="12"/>
  <c r="J339" i="12" s="1"/>
  <c r="I38" i="21"/>
  <c r="I24" i="22" s="1"/>
  <c r="H340" i="12"/>
  <c r="J340" i="12" s="1"/>
  <c r="F32" i="10"/>
  <c r="Q30" i="21"/>
  <c r="K30" i="21" s="1"/>
  <c r="J205" i="6"/>
  <c r="J301" i="6"/>
  <c r="J305" i="6" s="1"/>
  <c r="Q11" i="21"/>
  <c r="K11" i="21" s="1"/>
  <c r="M16" i="22" s="1"/>
  <c r="F24" i="22"/>
  <c r="K24" i="22"/>
  <c r="L24" i="22"/>
  <c r="G32" i="22"/>
  <c r="F55" i="22"/>
  <c r="G55" i="22"/>
  <c r="I55" i="22"/>
  <c r="F56" i="22"/>
  <c r="G56" i="22"/>
  <c r="I56" i="22"/>
  <c r="F50" i="22"/>
  <c r="G50" i="22"/>
  <c r="F41" i="22"/>
  <c r="G29" i="10"/>
  <c r="H29" i="10" s="1"/>
  <c r="F292" i="12"/>
  <c r="G41" i="22"/>
  <c r="G33" i="22"/>
  <c r="I41" i="22"/>
  <c r="F42" i="22"/>
  <c r="G53" i="22"/>
  <c r="I53" i="22"/>
  <c r="J213" i="6"/>
  <c r="J218" i="6" s="1"/>
  <c r="J222" i="6" s="1"/>
  <c r="J208" i="6" s="1"/>
  <c r="J227" i="6" s="1"/>
  <c r="J405" i="6"/>
  <c r="J409" i="6" s="1"/>
  <c r="J41" i="6"/>
  <c r="J45" i="6" s="1"/>
  <c r="J293" i="6"/>
  <c r="J297" i="6" s="1"/>
  <c r="G34" i="4"/>
  <c r="H34" i="4" s="1"/>
  <c r="J83" i="6"/>
  <c r="G33" i="4"/>
  <c r="H33" i="4" s="1"/>
  <c r="G35" i="4"/>
  <c r="H35" i="4" s="1"/>
  <c r="J354" i="6"/>
  <c r="J362" i="6" s="1"/>
  <c r="J309" i="6"/>
  <c r="J313" i="6" s="1"/>
  <c r="J158" i="6"/>
  <c r="J162" i="6" s="1"/>
  <c r="G36" i="4"/>
  <c r="H36" i="4" s="1"/>
  <c r="J382" i="6"/>
  <c r="J391" i="6" s="1"/>
  <c r="J236" i="6"/>
  <c r="J241" i="6" s="1"/>
  <c r="J245" i="6" s="1"/>
  <c r="J231" i="6" s="1"/>
  <c r="J250" i="6" s="1"/>
  <c r="J285" i="6"/>
  <c r="J289" i="6" s="1"/>
  <c r="J106" i="6"/>
  <c r="J122" i="6" s="1"/>
  <c r="J21" i="6"/>
  <c r="J27" i="6" s="1"/>
  <c r="J68" i="6"/>
  <c r="J73" i="6" s="1"/>
  <c r="J77" i="6" s="1"/>
  <c r="J60" i="6" s="1"/>
  <c r="J367" i="6"/>
  <c r="J378" i="6" s="1"/>
  <c r="J343" i="6"/>
  <c r="J350" i="6" s="1"/>
  <c r="J8" i="6"/>
  <c r="J17" i="6" s="1"/>
  <c r="J260" i="6"/>
  <c r="J265" i="6" s="1"/>
  <c r="J269" i="6" s="1"/>
  <c r="J254" i="6" s="1"/>
  <c r="J281" i="6" s="1"/>
  <c r="J93" i="6"/>
  <c r="J102" i="6" s="1"/>
  <c r="J148" i="6"/>
  <c r="J154" i="6" s="1"/>
  <c r="J395" i="6"/>
  <c r="J401" i="6" s="1"/>
  <c r="J414" i="6"/>
  <c r="J424" i="6" s="1"/>
  <c r="J429" i="6"/>
  <c r="J437" i="6" s="1"/>
  <c r="J132" i="6"/>
  <c r="J144" i="6" s="1"/>
  <c r="J50" i="6"/>
  <c r="F332" i="6"/>
  <c r="F320" i="6"/>
  <c r="F326" i="6"/>
  <c r="F338" i="6"/>
  <c r="J41" i="22" l="1"/>
  <c r="J50" i="22"/>
  <c r="G32" i="10"/>
  <c r="H32" i="10" s="1"/>
  <c r="J55" i="22"/>
  <c r="J56" i="22"/>
  <c r="G14" i="4"/>
  <c r="H14" i="4" s="1"/>
  <c r="J79" i="6"/>
  <c r="G15" i="4"/>
  <c r="H15" i="4" s="1"/>
  <c r="J87" i="6"/>
  <c r="G13" i="4"/>
  <c r="H13" i="4" s="1"/>
  <c r="J56" i="6"/>
  <c r="M46" i="22"/>
  <c r="G14" i="23" s="1"/>
  <c r="O30" i="21"/>
  <c r="S46" i="22" s="1"/>
  <c r="N30" i="21"/>
  <c r="R46" i="22" s="1"/>
  <c r="L30" i="21"/>
  <c r="G31" i="4"/>
  <c r="H31" i="4" s="1"/>
  <c r="F305" i="6"/>
  <c r="G30" i="4"/>
  <c r="H30" i="4" s="1"/>
  <c r="F297" i="6"/>
  <c r="F339" i="12"/>
  <c r="G44" i="4"/>
  <c r="H44" i="4" s="1"/>
  <c r="F45" i="6"/>
  <c r="G11" i="4"/>
  <c r="F227" i="6"/>
  <c r="G26" i="4"/>
  <c r="H26" i="4" s="1"/>
  <c r="G38" i="4"/>
  <c r="H38" i="4" s="1"/>
  <c r="G8" i="4"/>
  <c r="H8" i="4" s="1"/>
  <c r="G42" i="4"/>
  <c r="G41" i="4"/>
  <c r="H41" i="4" s="1"/>
  <c r="G28" i="4"/>
  <c r="H28" i="4" s="1"/>
  <c r="G10" i="4"/>
  <c r="H10" i="4" s="1"/>
  <c r="G48" i="4"/>
  <c r="H48" i="4" s="1"/>
  <c r="G19" i="4"/>
  <c r="H19" i="4" s="1"/>
  <c r="G46" i="4"/>
  <c r="H46" i="4" s="1"/>
  <c r="G29" i="4"/>
  <c r="H29" i="4" s="1"/>
  <c r="G23" i="4"/>
  <c r="H23" i="4" s="1"/>
  <c r="G43" i="4"/>
  <c r="H43" i="4" s="1"/>
  <c r="G27" i="4"/>
  <c r="H27" i="4" s="1"/>
  <c r="G32" i="4"/>
  <c r="H32" i="4" s="1"/>
  <c r="G9" i="4"/>
  <c r="G22" i="4"/>
  <c r="H22" i="4" s="1"/>
  <c r="G39" i="4"/>
  <c r="H39" i="4" s="1"/>
  <c r="Q25" i="21"/>
  <c r="K25" i="21" s="1"/>
  <c r="G21" i="4"/>
  <c r="H21" i="4" s="1"/>
  <c r="G18" i="4"/>
  <c r="H18" i="4" s="1"/>
  <c r="P46" i="22" l="1"/>
  <c r="M8" i="22"/>
  <c r="G10" i="23" s="1"/>
  <c r="L25" i="21"/>
  <c r="N25" i="21"/>
  <c r="H42" i="4"/>
  <c r="Q50" i="21" s="1"/>
  <c r="K50" i="21" s="1"/>
  <c r="H11" i="4"/>
  <c r="H9" i="4"/>
  <c r="F87" i="6"/>
  <c r="F144" i="6"/>
  <c r="F313" i="6"/>
  <c r="F424" i="6"/>
  <c r="F378" i="6"/>
  <c r="F154" i="6"/>
  <c r="F281" i="6"/>
  <c r="F250" i="6"/>
  <c r="F391" i="6"/>
  <c r="F27" i="6"/>
  <c r="F79" i="6"/>
  <c r="F401" i="6"/>
  <c r="J438" i="6"/>
  <c r="J427" i="6" s="1"/>
  <c r="F17" i="6"/>
  <c r="F162" i="6"/>
  <c r="F289" i="6"/>
  <c r="F56" i="6"/>
  <c r="F122" i="6"/>
  <c r="F362" i="6"/>
  <c r="F350" i="6"/>
  <c r="M42" i="22" l="1"/>
  <c r="G7" i="23" s="1"/>
  <c r="N50" i="21"/>
  <c r="L50" i="21"/>
  <c r="J54" i="5"/>
  <c r="O54" i="5" s="1"/>
  <c r="O53" i="5" s="1"/>
  <c r="F25" i="4"/>
  <c r="G30" i="21" s="1"/>
  <c r="J30" i="21" s="1"/>
  <c r="O82" i="8"/>
  <c r="O77" i="8"/>
  <c r="O78" i="8"/>
  <c r="J451" i="9"/>
  <c r="J450" i="9"/>
  <c r="J81" i="9"/>
  <c r="J82" i="9" s="1"/>
  <c r="J78" i="9"/>
  <c r="J79" i="9" s="1"/>
  <c r="J69" i="9"/>
  <c r="J70" i="9" s="1"/>
  <c r="J66" i="9"/>
  <c r="J65" i="9"/>
  <c r="J64" i="9"/>
  <c r="I20" i="8"/>
  <c r="O20" i="8" s="1"/>
  <c r="J38" i="9"/>
  <c r="J39" i="9" s="1"/>
  <c r="J35" i="9"/>
  <c r="J36" i="9" s="1"/>
  <c r="I92" i="8"/>
  <c r="I93" i="8" s="1"/>
  <c r="H57" i="8"/>
  <c r="O49" i="8"/>
  <c r="I51" i="8"/>
  <c r="O51" i="8" s="1"/>
  <c r="O50" i="8" s="1"/>
  <c r="I35" i="8"/>
  <c r="I41" i="8" s="1"/>
  <c r="O11" i="8"/>
  <c r="O10" i="8" s="1"/>
  <c r="O9" i="8"/>
  <c r="O8" i="8" s="1"/>
  <c r="O13" i="8"/>
  <c r="O12" i="8" s="1"/>
  <c r="H48" i="9" s="1"/>
  <c r="I19" i="8"/>
  <c r="O21" i="8"/>
  <c r="O17" i="8"/>
  <c r="O16" i="8" s="1"/>
  <c r="H89" i="9" s="1"/>
  <c r="O86" i="11"/>
  <c r="I34" i="11"/>
  <c r="O17" i="11"/>
  <c r="F16" i="11"/>
  <c r="O16" i="11" s="1"/>
  <c r="F29" i="7" l="1"/>
  <c r="H31" i="21" s="1"/>
  <c r="H263" i="9"/>
  <c r="F8" i="7"/>
  <c r="H18" i="9"/>
  <c r="F9" i="7"/>
  <c r="H7" i="21" s="1"/>
  <c r="H29" i="9"/>
  <c r="F30" i="4"/>
  <c r="H298" i="6"/>
  <c r="M30" i="21"/>
  <c r="P30" i="21" s="1"/>
  <c r="N46" i="22" s="1"/>
  <c r="G46" i="22"/>
  <c r="H6" i="21"/>
  <c r="J449" i="9"/>
  <c r="R30" i="21"/>
  <c r="J67" i="9"/>
  <c r="J72" i="9" s="1"/>
  <c r="F10" i="7"/>
  <c r="H8" i="21" s="1"/>
  <c r="H53" i="22" s="1"/>
  <c r="I50" i="11"/>
  <c r="I52" i="11" s="1"/>
  <c r="I36" i="11"/>
  <c r="I25" i="4"/>
  <c r="J41" i="9"/>
  <c r="J45" i="9" s="1"/>
  <c r="J32" i="9" s="1"/>
  <c r="I53" i="8"/>
  <c r="O53" i="8" s="1"/>
  <c r="O22" i="5"/>
  <c r="F15" i="5"/>
  <c r="F21" i="3"/>
  <c r="J46" i="22" l="1"/>
  <c r="F14" i="23" s="1"/>
  <c r="J447" i="9"/>
  <c r="G48" i="7" s="1"/>
  <c r="H48" i="7" s="1"/>
  <c r="J453" i="9"/>
  <c r="F453" i="9" s="1"/>
  <c r="G10" i="7"/>
  <c r="H10" i="7" s="1"/>
  <c r="J47" i="9"/>
  <c r="J76" i="9"/>
  <c r="J57" i="12" s="1"/>
  <c r="Q46" i="22"/>
  <c r="T46" i="22" s="1"/>
  <c r="H32" i="22"/>
  <c r="H52" i="22"/>
  <c r="H36" i="22"/>
  <c r="K46" i="22"/>
  <c r="S30" i="21"/>
  <c r="I32" i="10"/>
  <c r="J298" i="6"/>
  <c r="G38" i="21"/>
  <c r="I30" i="4"/>
  <c r="I55" i="8"/>
  <c r="I57" i="8" s="1"/>
  <c r="O57" i="8" s="1"/>
  <c r="O55" i="8"/>
  <c r="I54" i="3"/>
  <c r="O28" i="3"/>
  <c r="I14" i="23" l="1"/>
  <c r="H14" i="23"/>
  <c r="G24" i="22"/>
  <c r="J24" i="22" s="1"/>
  <c r="J38" i="21"/>
  <c r="J61" i="9"/>
  <c r="J88" i="9" s="1"/>
  <c r="O46" i="22"/>
  <c r="E9" i="33" s="1"/>
  <c r="L46" i="22"/>
  <c r="J48" i="9"/>
  <c r="I10" i="7"/>
  <c r="F17" i="1"/>
  <c r="F17" i="21" s="1"/>
  <c r="H141" i="2"/>
  <c r="F47" i="9"/>
  <c r="L65" i="3"/>
  <c r="I35" i="3"/>
  <c r="O35" i="3" s="1"/>
  <c r="O34" i="3" s="1"/>
  <c r="G12" i="7" l="1"/>
  <c r="H12" i="7" s="1"/>
  <c r="F88" i="9"/>
  <c r="H164" i="2"/>
  <c r="F21" i="1"/>
  <c r="F22" i="21"/>
  <c r="F29" i="22"/>
  <c r="U46" i="22"/>
  <c r="J473" i="12"/>
  <c r="J474" i="12"/>
  <c r="J475" i="12"/>
  <c r="J476" i="12"/>
  <c r="J477" i="12"/>
  <c r="J472" i="12"/>
  <c r="J458" i="12"/>
  <c r="J459" i="12"/>
  <c r="J460" i="12"/>
  <c r="J461" i="12"/>
  <c r="J462" i="12"/>
  <c r="J463" i="12"/>
  <c r="J464" i="12"/>
  <c r="J457" i="12"/>
  <c r="J449" i="12"/>
  <c r="J448" i="12"/>
  <c r="J439" i="12"/>
  <c r="J440" i="12"/>
  <c r="J441" i="12"/>
  <c r="J438" i="12"/>
  <c r="J426" i="12"/>
  <c r="J427" i="12"/>
  <c r="J428" i="12"/>
  <c r="J429" i="12"/>
  <c r="J430" i="12"/>
  <c r="J431" i="12"/>
  <c r="J425" i="12"/>
  <c r="J411" i="12"/>
  <c r="J412" i="12"/>
  <c r="J413" i="12"/>
  <c r="J414" i="12"/>
  <c r="J415" i="12"/>
  <c r="J416" i="12"/>
  <c r="J417" i="12"/>
  <c r="J418" i="12"/>
  <c r="J410" i="12"/>
  <c r="J398" i="12"/>
  <c r="J399" i="12"/>
  <c r="J400" i="12"/>
  <c r="J401" i="12"/>
  <c r="J402" i="12"/>
  <c r="J397" i="12"/>
  <c r="J387" i="12"/>
  <c r="J388" i="12"/>
  <c r="J389" i="12"/>
  <c r="J390" i="12"/>
  <c r="J386" i="12"/>
  <c r="J378" i="12"/>
  <c r="J380" i="12" s="1"/>
  <c r="J372" i="12"/>
  <c r="J374" i="12" s="1"/>
  <c r="J366" i="12"/>
  <c r="J368" i="12" s="1"/>
  <c r="J360" i="12"/>
  <c r="J359" i="12" s="1"/>
  <c r="J353" i="12"/>
  <c r="J352" i="12"/>
  <c r="J345" i="12"/>
  <c r="J344" i="12"/>
  <c r="J329" i="12"/>
  <c r="J328" i="12"/>
  <c r="J316" i="12"/>
  <c r="J317" i="12" s="1"/>
  <c r="J313" i="12"/>
  <c r="J314" i="12" s="1"/>
  <c r="J304" i="12"/>
  <c r="J305" i="12" s="1"/>
  <c r="J300" i="12"/>
  <c r="J301" i="12"/>
  <c r="J299" i="12"/>
  <c r="J302" i="12" s="1"/>
  <c r="J257" i="12"/>
  <c r="J258" i="12" s="1"/>
  <c r="J254" i="12"/>
  <c r="J253" i="12"/>
  <c r="J202" i="12"/>
  <c r="J201" i="12"/>
  <c r="J200" i="12" s="1"/>
  <c r="J192" i="12"/>
  <c r="J193" i="12"/>
  <c r="J194" i="12"/>
  <c r="J191" i="12"/>
  <c r="J176" i="12"/>
  <c r="J177" i="12"/>
  <c r="J178" i="12"/>
  <c r="J179" i="12"/>
  <c r="J180" i="12"/>
  <c r="J181" i="12"/>
  <c r="J182" i="12"/>
  <c r="J183" i="12"/>
  <c r="J184" i="12"/>
  <c r="J175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49" i="12"/>
  <c r="J127" i="12"/>
  <c r="J126" i="12"/>
  <c r="J125" i="12" s="1"/>
  <c r="J112" i="12"/>
  <c r="J106" i="12"/>
  <c r="J107" i="12"/>
  <c r="J108" i="12"/>
  <c r="J109" i="12"/>
  <c r="J105" i="12"/>
  <c r="J94" i="12"/>
  <c r="J95" i="12"/>
  <c r="J96" i="12"/>
  <c r="J93" i="12"/>
  <c r="J85" i="12"/>
  <c r="J84" i="12"/>
  <c r="J83" i="12" s="1"/>
  <c r="J62" i="12"/>
  <c r="J63" i="12" s="1"/>
  <c r="J59" i="12"/>
  <c r="J60" i="12" s="1"/>
  <c r="J50" i="12"/>
  <c r="J51" i="12" s="1"/>
  <c r="J46" i="12"/>
  <c r="J47" i="12"/>
  <c r="J45" i="12"/>
  <c r="J34" i="12"/>
  <c r="J35" i="12"/>
  <c r="J36" i="12"/>
  <c r="J33" i="12"/>
  <c r="J23" i="12"/>
  <c r="J24" i="12"/>
  <c r="J25" i="12"/>
  <c r="J26" i="12"/>
  <c r="J22" i="12"/>
  <c r="J10" i="12"/>
  <c r="J11" i="12"/>
  <c r="J12" i="12"/>
  <c r="J13" i="12"/>
  <c r="J14" i="12"/>
  <c r="J15" i="12"/>
  <c r="J9" i="12"/>
  <c r="J491" i="9"/>
  <c r="J492" i="9"/>
  <c r="J493" i="9"/>
  <c r="J494" i="9"/>
  <c r="J495" i="9"/>
  <c r="J490" i="9"/>
  <c r="J476" i="9"/>
  <c r="J477" i="9"/>
  <c r="J478" i="9"/>
  <c r="J479" i="9"/>
  <c r="J480" i="9"/>
  <c r="J481" i="9"/>
  <c r="J482" i="9"/>
  <c r="J475" i="9"/>
  <c r="J467" i="9"/>
  <c r="J469" i="9" s="1"/>
  <c r="J460" i="9"/>
  <c r="J461" i="9"/>
  <c r="J459" i="9"/>
  <c r="J441" i="9"/>
  <c r="J442" i="9"/>
  <c r="J443" i="9"/>
  <c r="J440" i="9"/>
  <c r="J428" i="9"/>
  <c r="J429" i="9"/>
  <c r="J430" i="9"/>
  <c r="J431" i="9"/>
  <c r="J432" i="9"/>
  <c r="J433" i="9"/>
  <c r="J427" i="9"/>
  <c r="J413" i="9"/>
  <c r="J414" i="9"/>
  <c r="J415" i="9"/>
  <c r="J416" i="9"/>
  <c r="J417" i="9"/>
  <c r="J418" i="9"/>
  <c r="J419" i="9"/>
  <c r="J420" i="9"/>
  <c r="J412" i="9"/>
  <c r="J401" i="9"/>
  <c r="J402" i="9"/>
  <c r="J403" i="9"/>
  <c r="J404" i="9"/>
  <c r="J405" i="9"/>
  <c r="J400" i="9"/>
  <c r="J390" i="9"/>
  <c r="J391" i="9"/>
  <c r="J392" i="9"/>
  <c r="J393" i="9"/>
  <c r="J389" i="9"/>
  <c r="J381" i="9"/>
  <c r="J375" i="9"/>
  <c r="J369" i="9"/>
  <c r="J371" i="9" s="1"/>
  <c r="J363" i="9"/>
  <c r="J362" i="9" s="1"/>
  <c r="J356" i="9"/>
  <c r="J355" i="9"/>
  <c r="J348" i="9"/>
  <c r="J347" i="9"/>
  <c r="J340" i="9"/>
  <c r="J339" i="9"/>
  <c r="J338" i="9" s="1"/>
  <c r="J330" i="9"/>
  <c r="J331" i="9"/>
  <c r="J332" i="9"/>
  <c r="J329" i="9"/>
  <c r="J322" i="9"/>
  <c r="J321" i="9"/>
  <c r="J309" i="9"/>
  <c r="J310" i="9" s="1"/>
  <c r="J306" i="9"/>
  <c r="J307" i="9" s="1"/>
  <c r="J297" i="9"/>
  <c r="J298" i="9" s="1"/>
  <c r="J293" i="9"/>
  <c r="J294" i="9"/>
  <c r="J292" i="9"/>
  <c r="J273" i="9"/>
  <c r="J274" i="9" s="1"/>
  <c r="J270" i="9"/>
  <c r="J269" i="9"/>
  <c r="J250" i="9"/>
  <c r="J251" i="9" s="1"/>
  <c r="J247" i="9"/>
  <c r="J246" i="9"/>
  <c r="J230" i="9"/>
  <c r="J231" i="9"/>
  <c r="J232" i="9"/>
  <c r="J233" i="9"/>
  <c r="J234" i="9"/>
  <c r="J235" i="9"/>
  <c r="J236" i="9"/>
  <c r="J237" i="9"/>
  <c r="J229" i="9"/>
  <c r="J221" i="9"/>
  <c r="J220" i="9"/>
  <c r="J211" i="9"/>
  <c r="J212" i="9"/>
  <c r="J213" i="9"/>
  <c r="J210" i="9"/>
  <c r="J195" i="9"/>
  <c r="J196" i="9"/>
  <c r="J197" i="9"/>
  <c r="J198" i="9"/>
  <c r="J199" i="9"/>
  <c r="J200" i="9"/>
  <c r="J201" i="9"/>
  <c r="J202" i="9"/>
  <c r="J203" i="9"/>
  <c r="J194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68" i="9"/>
  <c r="J156" i="9"/>
  <c r="J157" i="9"/>
  <c r="J158" i="9"/>
  <c r="J159" i="9"/>
  <c r="J160" i="9"/>
  <c r="J161" i="9"/>
  <c r="J155" i="9"/>
  <c r="J146" i="9"/>
  <c r="J145" i="9"/>
  <c r="J131" i="9"/>
  <c r="J132" i="9" s="1"/>
  <c r="J125" i="9"/>
  <c r="J126" i="9"/>
  <c r="J127" i="9"/>
  <c r="J128" i="9"/>
  <c r="J124" i="9"/>
  <c r="J129" i="9" s="1"/>
  <c r="J113" i="9"/>
  <c r="J114" i="9"/>
  <c r="J115" i="9"/>
  <c r="J112" i="9"/>
  <c r="J104" i="9"/>
  <c r="J103" i="9"/>
  <c r="J53" i="9"/>
  <c r="J54" i="9"/>
  <c r="J55" i="9"/>
  <c r="J52" i="9"/>
  <c r="J23" i="9"/>
  <c r="J24" i="9"/>
  <c r="J25" i="9"/>
  <c r="J26" i="9"/>
  <c r="J22" i="9"/>
  <c r="J13" i="9"/>
  <c r="J14" i="9"/>
  <c r="J15" i="9"/>
  <c r="J12" i="9"/>
  <c r="J10" i="9"/>
  <c r="J11" i="9"/>
  <c r="J9" i="9"/>
  <c r="J327" i="12" l="1"/>
  <c r="J331" i="12" s="1"/>
  <c r="G40" i="7"/>
  <c r="H40" i="7" s="1"/>
  <c r="J383" i="9"/>
  <c r="G13" i="10"/>
  <c r="H13" i="10" s="1"/>
  <c r="J87" i="12"/>
  <c r="G34" i="7"/>
  <c r="H34" i="7" s="1"/>
  <c r="J342" i="9"/>
  <c r="G25" i="10"/>
  <c r="H25" i="10" s="1"/>
  <c r="J204" i="12"/>
  <c r="G37" i="7"/>
  <c r="H37" i="7" s="1"/>
  <c r="J365" i="9"/>
  <c r="G51" i="7"/>
  <c r="H51" i="7" s="1"/>
  <c r="Q58" i="21" s="1"/>
  <c r="K58" i="21" s="1"/>
  <c r="G17" i="10"/>
  <c r="H17" i="10" s="1"/>
  <c r="J129" i="12"/>
  <c r="G39" i="7"/>
  <c r="H39" i="7" s="1"/>
  <c r="J377" i="9"/>
  <c r="G35" i="10"/>
  <c r="H35" i="10" s="1"/>
  <c r="J362" i="12"/>
  <c r="J8" i="12"/>
  <c r="J17" i="12" s="1"/>
  <c r="J134" i="9"/>
  <c r="J138" i="9" s="1"/>
  <c r="J121" i="9" s="1"/>
  <c r="J385" i="12"/>
  <c r="J456" i="12"/>
  <c r="G38" i="7"/>
  <c r="H38" i="7" s="1"/>
  <c r="G38" i="10"/>
  <c r="H38" i="10" s="1"/>
  <c r="J255" i="12"/>
  <c r="J260" i="12" s="1"/>
  <c r="J264" i="12" s="1"/>
  <c r="J250" i="12" s="1"/>
  <c r="J269" i="12" s="1"/>
  <c r="G31" i="10"/>
  <c r="H31" i="10" s="1"/>
  <c r="J343" i="12"/>
  <c r="J351" i="12"/>
  <c r="G36" i="10"/>
  <c r="H36" i="10" s="1"/>
  <c r="G37" i="10"/>
  <c r="H37" i="10" s="1"/>
  <c r="J437" i="12"/>
  <c r="J443" i="12" s="1"/>
  <c r="J409" i="12"/>
  <c r="G27" i="10"/>
  <c r="H27" i="10" s="1"/>
  <c r="J307" i="12"/>
  <c r="J311" i="12" s="1"/>
  <c r="J296" i="12" s="1"/>
  <c r="J424" i="12"/>
  <c r="J447" i="12"/>
  <c r="J190" i="12"/>
  <c r="J32" i="12"/>
  <c r="J38" i="12" s="1"/>
  <c r="J396" i="12"/>
  <c r="J148" i="12"/>
  <c r="J48" i="12"/>
  <c r="J53" i="12" s="1"/>
  <c r="J42" i="12" s="1"/>
  <c r="J8" i="9"/>
  <c r="J388" i="9"/>
  <c r="J320" i="9"/>
  <c r="J51" i="9"/>
  <c r="J439" i="9"/>
  <c r="J445" i="9" s="1"/>
  <c r="J474" i="9"/>
  <c r="G13" i="7"/>
  <c r="H13" i="7" s="1"/>
  <c r="J193" i="9"/>
  <c r="J209" i="9"/>
  <c r="J228" i="9"/>
  <c r="J144" i="9"/>
  <c r="J248" i="9"/>
  <c r="J253" i="9" s="1"/>
  <c r="J257" i="9" s="1"/>
  <c r="J243" i="9" s="1"/>
  <c r="J399" i="9"/>
  <c r="J295" i="9"/>
  <c r="J300" i="9" s="1"/>
  <c r="J304" i="9" s="1"/>
  <c r="J289" i="9" s="1"/>
  <c r="J219" i="9"/>
  <c r="J489" i="9"/>
  <c r="J271" i="9"/>
  <c r="J276" i="9" s="1"/>
  <c r="J280" i="9" s="1"/>
  <c r="J266" i="9" s="1"/>
  <c r="J167" i="9"/>
  <c r="J328" i="9"/>
  <c r="J411" i="9"/>
  <c r="J471" i="12"/>
  <c r="J174" i="12"/>
  <c r="G12" i="10"/>
  <c r="H12" i="10" s="1"/>
  <c r="J110" i="12"/>
  <c r="J115" i="12" s="1"/>
  <c r="J119" i="12" s="1"/>
  <c r="J102" i="12" s="1"/>
  <c r="J21" i="12"/>
  <c r="G20" i="10"/>
  <c r="H20" i="10" s="1"/>
  <c r="J113" i="12"/>
  <c r="J92" i="12"/>
  <c r="J458" i="9"/>
  <c r="J426" i="9"/>
  <c r="J354" i="9"/>
  <c r="J346" i="9"/>
  <c r="J154" i="9"/>
  <c r="J111" i="9"/>
  <c r="J102" i="9"/>
  <c r="J21" i="9"/>
  <c r="G53" i="7" l="1"/>
  <c r="H53" i="7" s="1"/>
  <c r="J484" i="9"/>
  <c r="G44" i="10"/>
  <c r="H44" i="10" s="1"/>
  <c r="J433" i="12"/>
  <c r="G30" i="10"/>
  <c r="H30" i="10" s="1"/>
  <c r="J323" i="12"/>
  <c r="G32" i="7"/>
  <c r="H32" i="7" s="1"/>
  <c r="J324" i="9"/>
  <c r="G17" i="7"/>
  <c r="H17" i="7" s="1"/>
  <c r="J140" i="9"/>
  <c r="F140" i="9" s="1"/>
  <c r="G50" i="7"/>
  <c r="H50" i="7" s="1"/>
  <c r="Q57" i="21" s="1"/>
  <c r="K57" i="21" s="1"/>
  <c r="J463" i="9"/>
  <c r="G30" i="7"/>
  <c r="H30" i="7" s="1"/>
  <c r="J285" i="9"/>
  <c r="G11" i="7"/>
  <c r="H11" i="7" s="1"/>
  <c r="J57" i="9"/>
  <c r="G40" i="10"/>
  <c r="H40" i="10" s="1"/>
  <c r="J392" i="12"/>
  <c r="G26" i="7"/>
  <c r="H26" i="7" s="1"/>
  <c r="J223" i="9"/>
  <c r="G31" i="7"/>
  <c r="H31" i="7" s="1"/>
  <c r="J316" i="9"/>
  <c r="G16" i="10"/>
  <c r="H16" i="10" s="1"/>
  <c r="J121" i="12"/>
  <c r="G8" i="7"/>
  <c r="H8" i="7" s="1"/>
  <c r="J17" i="9"/>
  <c r="G14" i="7"/>
  <c r="H14" i="7" s="1"/>
  <c r="J106" i="9"/>
  <c r="G8" i="10"/>
  <c r="H8" i="10" s="1"/>
  <c r="G11" i="10"/>
  <c r="H11" i="10" s="1"/>
  <c r="J69" i="12"/>
  <c r="G18" i="7"/>
  <c r="H18" i="7" s="1"/>
  <c r="J148" i="9"/>
  <c r="G34" i="10"/>
  <c r="H34" i="10" s="1"/>
  <c r="J355" i="12"/>
  <c r="G28" i="7"/>
  <c r="H28" i="7" s="1"/>
  <c r="Q43" i="21" s="1"/>
  <c r="K43" i="21" s="1"/>
  <c r="J239" i="9"/>
  <c r="G33" i="10"/>
  <c r="H33" i="10" s="1"/>
  <c r="J347" i="12"/>
  <c r="G50" i="10"/>
  <c r="H50" i="10" s="1"/>
  <c r="J479" i="12"/>
  <c r="G36" i="7"/>
  <c r="H36" i="7" s="1"/>
  <c r="J358" i="9"/>
  <c r="G45" i="7"/>
  <c r="H45" i="7" s="1"/>
  <c r="J422" i="9"/>
  <c r="G24" i="7"/>
  <c r="H24" i="7" s="1"/>
  <c r="J205" i="9"/>
  <c r="G24" i="10"/>
  <c r="H24" i="10" s="1"/>
  <c r="J196" i="12"/>
  <c r="F196" i="12" s="1"/>
  <c r="G22" i="7"/>
  <c r="H22" i="7" s="1"/>
  <c r="J183" i="9"/>
  <c r="G15" i="10"/>
  <c r="H15" i="10" s="1"/>
  <c r="J98" i="12"/>
  <c r="G48" i="10"/>
  <c r="H48" i="10" s="1"/>
  <c r="J466" i="12"/>
  <c r="F466" i="12" s="1"/>
  <c r="G55" i="7"/>
  <c r="H55" i="7" s="1"/>
  <c r="J497" i="9"/>
  <c r="G43" i="10"/>
  <c r="H43" i="10" s="1"/>
  <c r="J420" i="12"/>
  <c r="G9" i="10"/>
  <c r="H9" i="10" s="1"/>
  <c r="J28" i="12"/>
  <c r="G42" i="7"/>
  <c r="H42" i="7" s="1"/>
  <c r="J395" i="9"/>
  <c r="G9" i="7"/>
  <c r="H9" i="7" s="1"/>
  <c r="J28" i="9"/>
  <c r="G43" i="7"/>
  <c r="H43" i="7" s="1"/>
  <c r="J407" i="9"/>
  <c r="G29" i="7"/>
  <c r="H29" i="7" s="1"/>
  <c r="J262" i="9"/>
  <c r="G16" i="7"/>
  <c r="H16" i="7" s="1"/>
  <c r="J117" i="9"/>
  <c r="G21" i="10"/>
  <c r="H21" i="10" s="1"/>
  <c r="J164" i="12"/>
  <c r="G21" i="7"/>
  <c r="H21" i="7" s="1"/>
  <c r="J163" i="9"/>
  <c r="G23" i="10"/>
  <c r="H23" i="10" s="1"/>
  <c r="J186" i="12"/>
  <c r="G41" i="10"/>
  <c r="H41" i="10" s="1"/>
  <c r="J404" i="12"/>
  <c r="G35" i="7"/>
  <c r="H35" i="7" s="1"/>
  <c r="J350" i="9"/>
  <c r="F350" i="9" s="1"/>
  <c r="G25" i="7"/>
  <c r="H25" i="7" s="1"/>
  <c r="J215" i="9"/>
  <c r="G46" i="7"/>
  <c r="H46" i="7" s="1"/>
  <c r="Q51" i="21" s="1"/>
  <c r="K51" i="21" s="1"/>
  <c r="J435" i="9"/>
  <c r="G33" i="7"/>
  <c r="J334" i="9"/>
  <c r="G46" i="10"/>
  <c r="H46" i="10" s="1"/>
  <c r="J451" i="12"/>
  <c r="M56" i="22"/>
  <c r="M58" i="21"/>
  <c r="Q56" i="22" s="1"/>
  <c r="L58" i="21"/>
  <c r="O58" i="21"/>
  <c r="S56" i="22" s="1"/>
  <c r="H33" i="7"/>
  <c r="K44" i="21" s="1"/>
  <c r="M14" i="22" s="1"/>
  <c r="G47" i="7"/>
  <c r="H47" i="7" s="1"/>
  <c r="G45" i="10"/>
  <c r="H45" i="10" s="1"/>
  <c r="F57" i="9"/>
  <c r="F342" i="9"/>
  <c r="F365" i="9"/>
  <c r="F368" i="12"/>
  <c r="F129" i="12"/>
  <c r="G28" i="10"/>
  <c r="H28" i="10" s="1"/>
  <c r="G10" i="10"/>
  <c r="H10" i="10" s="1"/>
  <c r="F362" i="12"/>
  <c r="F331" i="12"/>
  <c r="F374" i="12"/>
  <c r="F380" i="12"/>
  <c r="F433" i="12"/>
  <c r="F204" i="12"/>
  <c r="F17" i="9"/>
  <c r="J23" i="2"/>
  <c r="J24" i="2"/>
  <c r="J25" i="2"/>
  <c r="J26" i="2"/>
  <c r="J22" i="2"/>
  <c r="J38" i="2"/>
  <c r="J39" i="2" s="1"/>
  <c r="J35" i="2"/>
  <c r="J36" i="2" s="1"/>
  <c r="J81" i="2"/>
  <c r="J82" i="2" s="1"/>
  <c r="J78" i="2"/>
  <c r="J79" i="2" s="1"/>
  <c r="J69" i="2"/>
  <c r="J70" i="2" s="1"/>
  <c r="J65" i="2"/>
  <c r="J66" i="2"/>
  <c r="J64" i="2"/>
  <c r="J104" i="2"/>
  <c r="J103" i="2"/>
  <c r="J113" i="2"/>
  <c r="J114" i="2"/>
  <c r="J115" i="2"/>
  <c r="J112" i="2"/>
  <c r="J131" i="2"/>
  <c r="J132" i="2" s="1"/>
  <c r="J125" i="2"/>
  <c r="J126" i="2"/>
  <c r="J127" i="2"/>
  <c r="J128" i="2"/>
  <c r="J124" i="2"/>
  <c r="J146" i="2"/>
  <c r="J145" i="2"/>
  <c r="J156" i="2"/>
  <c r="J157" i="2"/>
  <c r="J158" i="2"/>
  <c r="J159" i="2"/>
  <c r="J160" i="2"/>
  <c r="J161" i="2"/>
  <c r="J155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68" i="2"/>
  <c r="J195" i="2"/>
  <c r="J196" i="2"/>
  <c r="J197" i="2"/>
  <c r="J198" i="2"/>
  <c r="J199" i="2"/>
  <c r="J200" i="2"/>
  <c r="J201" i="2"/>
  <c r="J202" i="2"/>
  <c r="J203" i="2"/>
  <c r="J194" i="2"/>
  <c r="K207" i="2"/>
  <c r="K206" i="2"/>
  <c r="J211" i="2"/>
  <c r="J212" i="2"/>
  <c r="J213" i="2"/>
  <c r="J210" i="2"/>
  <c r="J221" i="2"/>
  <c r="J220" i="2"/>
  <c r="J219" i="2" s="1"/>
  <c r="J223" i="2" s="1"/>
  <c r="J235" i="2"/>
  <c r="J236" i="2" s="1"/>
  <c r="J232" i="2"/>
  <c r="J231" i="2"/>
  <c r="J255" i="2"/>
  <c r="J254" i="2"/>
  <c r="J282" i="2"/>
  <c r="J283" i="2" s="1"/>
  <c r="J258" i="2"/>
  <c r="J259" i="2" s="1"/>
  <c r="J278" i="2"/>
  <c r="J279" i="2"/>
  <c r="J277" i="2"/>
  <c r="J307" i="2"/>
  <c r="J306" i="2"/>
  <c r="J305" i="2" s="1"/>
  <c r="J309" i="2" s="1"/>
  <c r="J315" i="2"/>
  <c r="J314" i="2"/>
  <c r="J323" i="2"/>
  <c r="J322" i="2"/>
  <c r="J330" i="2"/>
  <c r="J329" i="2" s="1"/>
  <c r="J332" i="2" s="1"/>
  <c r="J348" i="2"/>
  <c r="J350" i="2" s="1"/>
  <c r="J342" i="2"/>
  <c r="J344" i="2" s="1"/>
  <c r="J336" i="2"/>
  <c r="J338" i="2" s="1"/>
  <c r="J357" i="2"/>
  <c r="J358" i="2"/>
  <c r="J359" i="2"/>
  <c r="J360" i="2"/>
  <c r="J356" i="2"/>
  <c r="J355" i="2" s="1"/>
  <c r="J362" i="2" s="1"/>
  <c r="J368" i="2"/>
  <c r="J369" i="2"/>
  <c r="J370" i="2"/>
  <c r="J371" i="2"/>
  <c r="J372" i="2"/>
  <c r="J367" i="2"/>
  <c r="J381" i="2"/>
  <c r="J382" i="2"/>
  <c r="J383" i="2"/>
  <c r="J384" i="2"/>
  <c r="J385" i="2"/>
  <c r="J386" i="2"/>
  <c r="J387" i="2"/>
  <c r="J388" i="2"/>
  <c r="J380" i="2"/>
  <c r="J396" i="2"/>
  <c r="J397" i="2"/>
  <c r="J398" i="2"/>
  <c r="J395" i="2"/>
  <c r="J406" i="2"/>
  <c r="J405" i="2"/>
  <c r="J404" i="2" s="1"/>
  <c r="J408" i="2" s="1"/>
  <c r="J415" i="2"/>
  <c r="J416" i="2"/>
  <c r="J417" i="2"/>
  <c r="J418" i="2"/>
  <c r="J419" i="2"/>
  <c r="J420" i="2"/>
  <c r="J421" i="2"/>
  <c r="J414" i="2"/>
  <c r="J430" i="2"/>
  <c r="J431" i="2"/>
  <c r="J432" i="2"/>
  <c r="J433" i="2"/>
  <c r="J434" i="2"/>
  <c r="J429" i="2"/>
  <c r="J10" i="2"/>
  <c r="J11" i="2"/>
  <c r="J12" i="2"/>
  <c r="J13" i="2"/>
  <c r="J14" i="2"/>
  <c r="J15" i="2"/>
  <c r="J9" i="2"/>
  <c r="F420" i="12" l="1"/>
  <c r="F392" i="12"/>
  <c r="P56" i="22"/>
  <c r="P58" i="21"/>
  <c r="J280" i="2"/>
  <c r="J394" i="2"/>
  <c r="J400" i="2" s="1"/>
  <c r="M41" i="22"/>
  <c r="G6" i="23" s="1"/>
  <c r="M43" i="21"/>
  <c r="L43" i="21"/>
  <c r="O43" i="21"/>
  <c r="L51" i="21"/>
  <c r="M50" i="22"/>
  <c r="O51" i="21"/>
  <c r="S50" i="22" s="1"/>
  <c r="M51" i="21"/>
  <c r="Q50" i="22" s="1"/>
  <c r="M55" i="22"/>
  <c r="L57" i="21"/>
  <c r="M57" i="21"/>
  <c r="M56" i="21" s="1"/>
  <c r="D25" i="32" s="1"/>
  <c r="O57" i="21"/>
  <c r="S55" i="22" s="1"/>
  <c r="F443" i="12"/>
  <c r="F355" i="12"/>
  <c r="F121" i="12"/>
  <c r="K6" i="2"/>
  <c r="J102" i="2"/>
  <c r="J366" i="2"/>
  <c r="J8" i="2"/>
  <c r="J17" i="2" s="1"/>
  <c r="J313" i="2"/>
  <c r="J317" i="2" s="1"/>
  <c r="J413" i="2"/>
  <c r="J379" i="2"/>
  <c r="J256" i="2"/>
  <c r="J261" i="2" s="1"/>
  <c r="J265" i="2" s="1"/>
  <c r="J251" i="2" s="1"/>
  <c r="J270" i="2" s="1"/>
  <c r="J233" i="2"/>
  <c r="J238" i="2" s="1"/>
  <c r="J242" i="2" s="1"/>
  <c r="J228" i="2" s="1"/>
  <c r="J247" i="2" s="1"/>
  <c r="J321" i="2"/>
  <c r="F334" i="9"/>
  <c r="F435" i="9"/>
  <c r="F497" i="9"/>
  <c r="F28" i="9"/>
  <c r="F316" i="9"/>
  <c r="F215" i="9"/>
  <c r="F324" i="9"/>
  <c r="F407" i="9"/>
  <c r="F183" i="9"/>
  <c r="F148" i="9"/>
  <c r="F223" i="9"/>
  <c r="F205" i="9"/>
  <c r="F445" i="9"/>
  <c r="F239" i="9"/>
  <c r="F422" i="9"/>
  <c r="F395" i="9"/>
  <c r="F484" i="9"/>
  <c r="F262" i="9"/>
  <c r="F106" i="9"/>
  <c r="F463" i="9"/>
  <c r="F285" i="9"/>
  <c r="F358" i="9"/>
  <c r="F163" i="9"/>
  <c r="F117" i="9"/>
  <c r="J18" i="9"/>
  <c r="I8" i="7"/>
  <c r="G43" i="1"/>
  <c r="H43" i="1" s="1"/>
  <c r="J41" i="2"/>
  <c r="J45" i="2" s="1"/>
  <c r="J32" i="2" s="1"/>
  <c r="G34" i="1"/>
  <c r="H34" i="1" s="1"/>
  <c r="G31" i="1"/>
  <c r="H31" i="1" s="1"/>
  <c r="G26" i="1"/>
  <c r="H26" i="1" s="1"/>
  <c r="J428" i="2"/>
  <c r="J436" i="2" s="1"/>
  <c r="J437" i="2" s="1"/>
  <c r="G44" i="1"/>
  <c r="H44" i="1" s="1"/>
  <c r="Q53" i="21" s="1"/>
  <c r="G35" i="1"/>
  <c r="H35" i="1" s="1"/>
  <c r="J285" i="2"/>
  <c r="J289" i="2" s="1"/>
  <c r="J274" i="2" s="1"/>
  <c r="J301" i="2" s="1"/>
  <c r="G36" i="1"/>
  <c r="H36" i="1" s="1"/>
  <c r="K430" i="2"/>
  <c r="G39" i="1"/>
  <c r="H39" i="1" s="1"/>
  <c r="G37" i="1"/>
  <c r="H37" i="1" s="1"/>
  <c r="K208" i="2"/>
  <c r="K209" i="2" s="1"/>
  <c r="F38" i="12"/>
  <c r="F28" i="12"/>
  <c r="F17" i="12"/>
  <c r="I27" i="10"/>
  <c r="F323" i="12"/>
  <c r="F69" i="12"/>
  <c r="F347" i="12"/>
  <c r="F451" i="12"/>
  <c r="F98" i="12"/>
  <c r="F479" i="12"/>
  <c r="F404" i="12"/>
  <c r="F164" i="12"/>
  <c r="J21" i="2"/>
  <c r="J28" i="2" s="1"/>
  <c r="J67" i="2"/>
  <c r="J72" i="2" s="1"/>
  <c r="J76" i="2" s="1"/>
  <c r="J61" i="2" s="1"/>
  <c r="J111" i="2"/>
  <c r="J129" i="2"/>
  <c r="J134" i="2" s="1"/>
  <c r="J144" i="2"/>
  <c r="J148" i="2" s="1"/>
  <c r="J154" i="2"/>
  <c r="J163" i="2" s="1"/>
  <c r="J167" i="2"/>
  <c r="J183" i="2" s="1"/>
  <c r="J193" i="2"/>
  <c r="J205" i="2" s="1"/>
  <c r="J209" i="2"/>
  <c r="J215" i="2" s="1"/>
  <c r="C11" i="24"/>
  <c r="C5" i="24"/>
  <c r="C6" i="24"/>
  <c r="C7" i="24"/>
  <c r="C8" i="24"/>
  <c r="C9" i="24"/>
  <c r="C10" i="24"/>
  <c r="C4" i="24"/>
  <c r="R57" i="21" l="1"/>
  <c r="P57" i="21"/>
  <c r="P50" i="22"/>
  <c r="P51" i="21"/>
  <c r="P43" i="21"/>
  <c r="N41" i="22" s="1"/>
  <c r="O56" i="21"/>
  <c r="F25" i="32" s="1"/>
  <c r="L56" i="21"/>
  <c r="C25" i="32" s="1"/>
  <c r="G25" i="32" s="1"/>
  <c r="P55" i="22"/>
  <c r="Q55" i="22"/>
  <c r="S57" i="21"/>
  <c r="G33" i="1"/>
  <c r="H33" i="1" s="1"/>
  <c r="J325" i="2"/>
  <c r="G16" i="1"/>
  <c r="H16" i="1" s="1"/>
  <c r="Q16" i="21" s="1"/>
  <c r="K16" i="21" s="1"/>
  <c r="M28" i="22" s="1"/>
  <c r="J117" i="2"/>
  <c r="G46" i="1"/>
  <c r="H46" i="1" s="1"/>
  <c r="Q55" i="21" s="1"/>
  <c r="K55" i="21" s="1"/>
  <c r="M48" i="22" s="1"/>
  <c r="J423" i="2"/>
  <c r="G10" i="1"/>
  <c r="H10" i="1" s="1"/>
  <c r="Q8" i="21" s="1"/>
  <c r="K8" i="21" s="1"/>
  <c r="J47" i="2"/>
  <c r="G14" i="1"/>
  <c r="H14" i="1" s="1"/>
  <c r="Q12" i="21" s="1"/>
  <c r="K12" i="21" s="1"/>
  <c r="J106" i="2"/>
  <c r="F106" i="2" s="1"/>
  <c r="G12" i="1"/>
  <c r="H12" i="1" s="1"/>
  <c r="Q10" i="21" s="1"/>
  <c r="K10" i="21" s="1"/>
  <c r="J88" i="2"/>
  <c r="G42" i="1"/>
  <c r="H42" i="1" s="1"/>
  <c r="Q49" i="21" s="1"/>
  <c r="K49" i="21" s="1"/>
  <c r="M43" i="22" s="1"/>
  <c r="G8" i="23" s="1"/>
  <c r="J390" i="2"/>
  <c r="G32" i="1"/>
  <c r="H32" i="1" s="1"/>
  <c r="Q34" i="21" s="1"/>
  <c r="K34" i="21" s="1"/>
  <c r="M27" i="22" s="1"/>
  <c r="G40" i="1"/>
  <c r="H40" i="1" s="1"/>
  <c r="Q47" i="21" s="1"/>
  <c r="K47" i="21" s="1"/>
  <c r="M47" i="22" s="1"/>
  <c r="J374" i="2"/>
  <c r="Q36" i="21"/>
  <c r="K36" i="21" s="1"/>
  <c r="Q46" i="21"/>
  <c r="K46" i="21" s="1"/>
  <c r="M45" i="22" s="1"/>
  <c r="G13" i="23" s="1"/>
  <c r="Q40" i="21"/>
  <c r="K40" i="21" s="1"/>
  <c r="M38" i="22" s="1"/>
  <c r="Q52" i="21"/>
  <c r="K52" i="21" s="1"/>
  <c r="M15" i="22" s="1"/>
  <c r="Q41" i="21"/>
  <c r="K41" i="21" s="1"/>
  <c r="M35" i="22" s="1"/>
  <c r="Q39" i="21"/>
  <c r="K39" i="21" s="1"/>
  <c r="M51" i="22" s="1"/>
  <c r="Q42" i="21"/>
  <c r="K42" i="21" s="1"/>
  <c r="M6" i="22" s="1"/>
  <c r="Q37" i="21"/>
  <c r="Q38" i="21" s="1"/>
  <c r="Q28" i="21"/>
  <c r="K28" i="21" s="1"/>
  <c r="M18" i="22" s="1"/>
  <c r="Q35" i="21"/>
  <c r="K35" i="21" s="1"/>
  <c r="M26" i="22" s="1"/>
  <c r="G8" i="1"/>
  <c r="H8" i="1" s="1"/>
  <c r="Q6" i="21" s="1"/>
  <c r="G29" i="1"/>
  <c r="H29" i="1" s="1"/>
  <c r="F270" i="2"/>
  <c r="M19" i="22"/>
  <c r="K53" i="21"/>
  <c r="M22" i="22" s="1"/>
  <c r="F362" i="2"/>
  <c r="F325" i="2"/>
  <c r="F338" i="2"/>
  <c r="J138" i="2"/>
  <c r="J121" i="2" s="1"/>
  <c r="J140" i="2" s="1"/>
  <c r="K135" i="2"/>
  <c r="F332" i="2"/>
  <c r="F331" i="2" s="1"/>
  <c r="G48" i="1"/>
  <c r="G25" i="1"/>
  <c r="H25" i="1" s="1"/>
  <c r="G24" i="1"/>
  <c r="H24" i="1" s="1"/>
  <c r="G22" i="1"/>
  <c r="H22" i="1" s="1"/>
  <c r="G21" i="1"/>
  <c r="H21" i="1" s="1"/>
  <c r="F344" i="2"/>
  <c r="F17" i="2"/>
  <c r="G18" i="1"/>
  <c r="H18" i="1" s="1"/>
  <c r="F49" i="22"/>
  <c r="G28" i="1"/>
  <c r="H28" i="1" s="1"/>
  <c r="F309" i="2"/>
  <c r="G30" i="1"/>
  <c r="H30" i="1" s="1"/>
  <c r="F317" i="2"/>
  <c r="G9" i="1"/>
  <c r="H9" i="1" s="1"/>
  <c r="F374" i="2" l="1"/>
  <c r="F390" i="2"/>
  <c r="M33" i="22"/>
  <c r="M10" i="21"/>
  <c r="O8" i="21"/>
  <c r="M8" i="21"/>
  <c r="M53" i="22"/>
  <c r="Q27" i="21"/>
  <c r="K27" i="21" s="1"/>
  <c r="M13" i="22" s="1"/>
  <c r="Q23" i="21"/>
  <c r="K23" i="21" s="1"/>
  <c r="M9" i="22" s="1"/>
  <c r="G11" i="23" s="1"/>
  <c r="Q22" i="21"/>
  <c r="K22" i="21" s="1"/>
  <c r="M49" i="22" s="1"/>
  <c r="Q31" i="21"/>
  <c r="K31" i="21" s="1"/>
  <c r="Q33" i="21"/>
  <c r="K33" i="21" s="1"/>
  <c r="M5" i="22" s="1"/>
  <c r="G4" i="23" s="1"/>
  <c r="Q26" i="21"/>
  <c r="K26" i="21" s="1"/>
  <c r="Q32" i="21"/>
  <c r="K32" i="21" s="1"/>
  <c r="M39" i="22" s="1"/>
  <c r="Q7" i="21"/>
  <c r="K7" i="21" s="1"/>
  <c r="Q18" i="21"/>
  <c r="K18" i="21" s="1"/>
  <c r="M20" i="22" s="1"/>
  <c r="K6" i="21"/>
  <c r="M52" i="22" s="1"/>
  <c r="M21" i="22"/>
  <c r="K38" i="21"/>
  <c r="K37" i="21"/>
  <c r="F148" i="2"/>
  <c r="F28" i="2"/>
  <c r="F117" i="2"/>
  <c r="G17" i="1"/>
  <c r="H17" i="1" s="1"/>
  <c r="F301" i="2"/>
  <c r="F205" i="2"/>
  <c r="H48" i="1"/>
  <c r="Q60" i="21" s="1"/>
  <c r="F436" i="2"/>
  <c r="F435" i="2" s="1"/>
  <c r="F88" i="2"/>
  <c r="F163" i="2"/>
  <c r="F47" i="2"/>
  <c r="F183" i="2"/>
  <c r="I289" i="17"/>
  <c r="I285" i="17"/>
  <c r="I284" i="17"/>
  <c r="I283" i="17"/>
  <c r="I279" i="17"/>
  <c r="I278" i="17"/>
  <c r="I274" i="17"/>
  <c r="I273" i="17"/>
  <c r="I272" i="17"/>
  <c r="I271" i="17"/>
  <c r="I270" i="17"/>
  <c r="I269" i="17"/>
  <c r="I268" i="17"/>
  <c r="I267" i="17"/>
  <c r="I266" i="17"/>
  <c r="I265" i="17"/>
  <c r="I261" i="17"/>
  <c r="I260" i="17"/>
  <c r="I259" i="17"/>
  <c r="I258" i="17"/>
  <c r="I257" i="17"/>
  <c r="I256" i="17"/>
  <c r="I250" i="17"/>
  <c r="I246" i="17"/>
  <c r="I242" i="17"/>
  <c r="I241" i="17"/>
  <c r="I240" i="17"/>
  <c r="I239" i="17"/>
  <c r="I235" i="17"/>
  <c r="I234" i="17"/>
  <c r="I230" i="17"/>
  <c r="I229" i="17"/>
  <c r="I228" i="17"/>
  <c r="I227" i="17"/>
  <c r="I226" i="17"/>
  <c r="I225" i="17"/>
  <c r="I224" i="17"/>
  <c r="I223" i="17"/>
  <c r="I222" i="17"/>
  <c r="I221" i="17"/>
  <c r="I216" i="17"/>
  <c r="I215" i="17"/>
  <c r="I214" i="17"/>
  <c r="I213" i="17"/>
  <c r="I212" i="17"/>
  <c r="I211" i="17"/>
  <c r="I206" i="17"/>
  <c r="I205" i="17"/>
  <c r="I204" i="17"/>
  <c r="I200" i="17"/>
  <c r="I199" i="17"/>
  <c r="I198" i="17"/>
  <c r="I197" i="17"/>
  <c r="I196" i="17"/>
  <c r="I195" i="17"/>
  <c r="I189" i="17"/>
  <c r="I185" i="17"/>
  <c r="I181" i="17"/>
  <c r="I180" i="17"/>
  <c r="I176" i="17"/>
  <c r="I175" i="17"/>
  <c r="I174" i="17"/>
  <c r="I173" i="17"/>
  <c r="I172" i="17"/>
  <c r="I171" i="17"/>
  <c r="I167" i="17"/>
  <c r="I166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8" i="17"/>
  <c r="I147" i="17"/>
  <c r="I146" i="17"/>
  <c r="I145" i="17"/>
  <c r="I144" i="17"/>
  <c r="I143" i="17"/>
  <c r="I138" i="17"/>
  <c r="I137" i="17"/>
  <c r="I136" i="17"/>
  <c r="I132" i="17"/>
  <c r="I131" i="17"/>
  <c r="I130" i="17"/>
  <c r="I129" i="17"/>
  <c r="I128" i="17"/>
  <c r="I122" i="17"/>
  <c r="I118" i="17"/>
  <c r="I114" i="17"/>
  <c r="I113" i="17"/>
  <c r="I112" i="17"/>
  <c r="I111" i="17"/>
  <c r="I107" i="17"/>
  <c r="I106" i="17"/>
  <c r="I102" i="17"/>
  <c r="I101" i="17"/>
  <c r="I100" i="17"/>
  <c r="I99" i="17"/>
  <c r="I98" i="17"/>
  <c r="I97" i="17"/>
  <c r="I96" i="17"/>
  <c r="I95" i="17"/>
  <c r="I94" i="17"/>
  <c r="I93" i="17"/>
  <c r="I92" i="17"/>
  <c r="I89" i="17"/>
  <c r="I88" i="17"/>
  <c r="I87" i="17"/>
  <c r="I86" i="17"/>
  <c r="I85" i="17"/>
  <c r="I84" i="17"/>
  <c r="I79" i="17"/>
  <c r="I78" i="17"/>
  <c r="I77" i="17"/>
  <c r="I73" i="17"/>
  <c r="I72" i="17"/>
  <c r="I71" i="17"/>
  <c r="I70" i="17"/>
  <c r="I69" i="17"/>
  <c r="I63" i="17"/>
  <c r="I59" i="17"/>
  <c r="I55" i="17"/>
  <c r="I54" i="17"/>
  <c r="I53" i="17"/>
  <c r="I49" i="17"/>
  <c r="I48" i="17"/>
  <c r="I44" i="17"/>
  <c r="I43" i="17"/>
  <c r="I42" i="17"/>
  <c r="I41" i="17"/>
  <c r="I40" i="17"/>
  <c r="I39" i="17"/>
  <c r="I38" i="17"/>
  <c r="I37" i="17"/>
  <c r="I36" i="17"/>
  <c r="I35" i="17"/>
  <c r="I33" i="17"/>
  <c r="I32" i="17"/>
  <c r="I31" i="17"/>
  <c r="I30" i="17"/>
  <c r="I29" i="17"/>
  <c r="I28" i="17"/>
  <c r="I23" i="17"/>
  <c r="I22" i="17"/>
  <c r="I21" i="17"/>
  <c r="I17" i="17"/>
  <c r="I12" i="17"/>
  <c r="I13" i="17"/>
  <c r="I14" i="17"/>
  <c r="I15" i="17"/>
  <c r="I16" i="17"/>
  <c r="I11" i="17"/>
  <c r="G289" i="17"/>
  <c r="M36" i="22" l="1"/>
  <c r="N31" i="21"/>
  <c r="N7" i="21"/>
  <c r="M32" i="22"/>
  <c r="M7" i="21"/>
  <c r="M10" i="22"/>
  <c r="G12" i="23" s="1"/>
  <c r="O26" i="21"/>
  <c r="M26" i="21"/>
  <c r="Q17" i="21"/>
  <c r="K17" i="21" s="1"/>
  <c r="M24" i="22"/>
  <c r="N38" i="21"/>
  <c r="L38" i="21"/>
  <c r="O38" i="21"/>
  <c r="M38" i="21"/>
  <c r="N6" i="21"/>
  <c r="O37" i="21"/>
  <c r="M23" i="22"/>
  <c r="L37" i="21"/>
  <c r="M37" i="21"/>
  <c r="K60" i="21"/>
  <c r="M44" i="22" s="1"/>
  <c r="F140" i="2"/>
  <c r="L22" i="21"/>
  <c r="G258" i="17"/>
  <c r="J258" i="17" s="1"/>
  <c r="G274" i="17"/>
  <c r="J274" i="17" s="1"/>
  <c r="G256" i="17"/>
  <c r="J256" i="17" s="1"/>
  <c r="G278" i="17"/>
  <c r="J278" i="17" s="1"/>
  <c r="G266" i="17"/>
  <c r="J266" i="17" s="1"/>
  <c r="G265" i="17"/>
  <c r="J265" i="17" s="1"/>
  <c r="G267" i="17"/>
  <c r="J267" i="17" s="1"/>
  <c r="G283" i="17"/>
  <c r="J283" i="17" s="1"/>
  <c r="G257" i="17"/>
  <c r="J257" i="17" s="1"/>
  <c r="J289" i="17"/>
  <c r="G260" i="17"/>
  <c r="J260" i="17" s="1"/>
  <c r="G284" i="17"/>
  <c r="J284" i="17" s="1"/>
  <c r="P38" i="21" l="1"/>
  <c r="N24" i="22" s="1"/>
  <c r="P37" i="21"/>
  <c r="L17" i="21"/>
  <c r="M29" i="22"/>
  <c r="G273" i="17"/>
  <c r="J273" i="17" s="1"/>
  <c r="G259" i="17"/>
  <c r="J259" i="17" s="1"/>
  <c r="G268" i="17"/>
  <c r="J268" i="17" s="1"/>
  <c r="G279" i="17"/>
  <c r="J279" i="17" s="1"/>
  <c r="J276" i="17" s="1"/>
  <c r="G271" i="17"/>
  <c r="J271" i="17" s="1"/>
  <c r="J287" i="17"/>
  <c r="G261" i="17" l="1"/>
  <c r="J261" i="17" s="1"/>
  <c r="J254" i="17" s="1"/>
  <c r="G272" i="17"/>
  <c r="J272" i="17" s="1"/>
  <c r="G285" i="17"/>
  <c r="J285" i="17" s="1"/>
  <c r="J281" i="17" s="1"/>
  <c r="G269" i="17" l="1"/>
  <c r="J269" i="17" s="1"/>
  <c r="G270" i="17"/>
  <c r="J270" i="17" s="1"/>
  <c r="J263" i="17" l="1"/>
  <c r="J252" i="17" s="1"/>
  <c r="O97" i="11" l="1"/>
  <c r="G250" i="17" s="1"/>
  <c r="J250" i="17" s="1"/>
  <c r="J248" i="17" s="1"/>
  <c r="O95" i="11"/>
  <c r="O94" i="11"/>
  <c r="I88" i="11"/>
  <c r="I89" i="11" s="1"/>
  <c r="O89" i="11" s="1"/>
  <c r="O85" i="11"/>
  <c r="O84" i="11" s="1"/>
  <c r="H434" i="12" s="1"/>
  <c r="J434" i="12" s="1"/>
  <c r="O83" i="11"/>
  <c r="O82" i="11" s="1"/>
  <c r="H421" i="12" s="1"/>
  <c r="J421" i="12" s="1"/>
  <c r="F80" i="11"/>
  <c r="O80" i="11" s="1"/>
  <c r="F79" i="11"/>
  <c r="O79" i="11" s="1"/>
  <c r="O78" i="11"/>
  <c r="O76" i="11"/>
  <c r="O75" i="11"/>
  <c r="O74" i="11"/>
  <c r="O73" i="11" s="1"/>
  <c r="H393" i="12" s="1"/>
  <c r="J393" i="12" s="1"/>
  <c r="N63" i="11"/>
  <c r="O53" i="11"/>
  <c r="I40" i="11"/>
  <c r="O40" i="11" s="1"/>
  <c r="O39" i="11" s="1"/>
  <c r="H187" i="12" s="1"/>
  <c r="J187" i="12" s="1"/>
  <c r="O36" i="11"/>
  <c r="O35" i="11" s="1"/>
  <c r="O34" i="11"/>
  <c r="O33" i="11" s="1"/>
  <c r="O26" i="11"/>
  <c r="O25" i="11" s="1"/>
  <c r="I19" i="11"/>
  <c r="O19" i="11" s="1"/>
  <c r="O15" i="11"/>
  <c r="O14" i="11"/>
  <c r="O13" i="11"/>
  <c r="O11" i="11"/>
  <c r="O10" i="11" s="1"/>
  <c r="O9" i="11"/>
  <c r="O8" i="11" s="1"/>
  <c r="J28" i="11" l="1"/>
  <c r="H99" i="12"/>
  <c r="J99" i="12" s="1"/>
  <c r="G196" i="17"/>
  <c r="J196" i="17" s="1"/>
  <c r="H29" i="12"/>
  <c r="J29" i="12" s="1"/>
  <c r="I38" i="11"/>
  <c r="O38" i="11" s="1"/>
  <c r="O37" i="11" s="1"/>
  <c r="H165" i="12"/>
  <c r="J165" i="12" s="1"/>
  <c r="F11" i="10"/>
  <c r="I10" i="21" s="1"/>
  <c r="O10" i="21" s="1"/>
  <c r="H70" i="12"/>
  <c r="J70" i="12" s="1"/>
  <c r="H145" i="12"/>
  <c r="J145" i="12" s="1"/>
  <c r="F8" i="10"/>
  <c r="I6" i="21" s="1"/>
  <c r="O6" i="21" s="1"/>
  <c r="H18" i="12"/>
  <c r="J18" i="12" s="1"/>
  <c r="O77" i="11"/>
  <c r="H405" i="12" s="1"/>
  <c r="J405" i="12" s="1"/>
  <c r="J43" i="11"/>
  <c r="O43" i="11" s="1"/>
  <c r="F44" i="10"/>
  <c r="G240" i="17"/>
  <c r="J240" i="17" s="1"/>
  <c r="F43" i="10"/>
  <c r="I49" i="21" s="1"/>
  <c r="I43" i="22" s="1"/>
  <c r="G239" i="17"/>
  <c r="J239" i="17" s="1"/>
  <c r="O93" i="11"/>
  <c r="H467" i="12" s="1"/>
  <c r="J467" i="12" s="1"/>
  <c r="O12" i="11"/>
  <c r="F21" i="10"/>
  <c r="I23" i="21" s="1"/>
  <c r="G212" i="17"/>
  <c r="J212" i="17" s="1"/>
  <c r="F15" i="10"/>
  <c r="I16" i="21" s="1"/>
  <c r="G204" i="17"/>
  <c r="J204" i="17" s="1"/>
  <c r="F23" i="10"/>
  <c r="I25" i="21" s="1"/>
  <c r="I10" i="22" s="1"/>
  <c r="G214" i="17"/>
  <c r="J214" i="17" s="1"/>
  <c r="F9" i="10"/>
  <c r="I7" i="21" s="1"/>
  <c r="G195" i="17"/>
  <c r="J195" i="17" s="1"/>
  <c r="J21" i="11"/>
  <c r="O21" i="11" s="1"/>
  <c r="G198" i="17"/>
  <c r="J198" i="17" s="1"/>
  <c r="F20" i="10"/>
  <c r="G211" i="17"/>
  <c r="J211" i="17" s="1"/>
  <c r="O96" i="11"/>
  <c r="H480" i="12" s="1"/>
  <c r="J480" i="12" s="1"/>
  <c r="F50" i="10"/>
  <c r="I60" i="21" s="1"/>
  <c r="I44" i="22" s="1"/>
  <c r="O50" i="11"/>
  <c r="O49" i="11" s="1"/>
  <c r="H270" i="12" s="1"/>
  <c r="J270" i="12" s="1"/>
  <c r="O28" i="11"/>
  <c r="O27" i="11" s="1"/>
  <c r="H122" i="12" s="1"/>
  <c r="J122" i="12" s="1"/>
  <c r="J30" i="11"/>
  <c r="O30" i="11" s="1"/>
  <c r="O29" i="11" s="1"/>
  <c r="H130" i="12" s="1"/>
  <c r="J130" i="12" s="1"/>
  <c r="O88" i="11"/>
  <c r="O87" i="11" s="1"/>
  <c r="O52" i="11"/>
  <c r="G213" i="17" l="1"/>
  <c r="J213" i="17" s="1"/>
  <c r="H171" i="12"/>
  <c r="J171" i="12" s="1"/>
  <c r="I11" i="10"/>
  <c r="I33" i="22"/>
  <c r="G241" i="17"/>
  <c r="J241" i="17" s="1"/>
  <c r="H444" i="12"/>
  <c r="J444" i="12" s="1"/>
  <c r="I8" i="10"/>
  <c r="I52" i="22"/>
  <c r="G197" i="17"/>
  <c r="J197" i="17" s="1"/>
  <c r="H39" i="12"/>
  <c r="J39" i="12" s="1"/>
  <c r="O51" i="11"/>
  <c r="G222" i="17" s="1"/>
  <c r="J222" i="17" s="1"/>
  <c r="O7" i="21"/>
  <c r="I32" i="22"/>
  <c r="O25" i="21"/>
  <c r="I8" i="22"/>
  <c r="O16" i="21"/>
  <c r="I28" i="22"/>
  <c r="O49" i="21"/>
  <c r="O23" i="21"/>
  <c r="I9" i="22"/>
  <c r="I44" i="10"/>
  <c r="I50" i="21"/>
  <c r="I22" i="21"/>
  <c r="I20" i="10"/>
  <c r="O60" i="21"/>
  <c r="I9" i="10"/>
  <c r="J469" i="12"/>
  <c r="G221" i="17"/>
  <c r="J221" i="17" s="1"/>
  <c r="G220" i="17"/>
  <c r="J220" i="17" s="1"/>
  <c r="I43" i="10"/>
  <c r="F10" i="10"/>
  <c r="F20" i="11"/>
  <c r="O20" i="11" s="1"/>
  <c r="O18" i="11" s="1"/>
  <c r="H80" i="12" s="1"/>
  <c r="J80" i="12" s="1"/>
  <c r="I50" i="10"/>
  <c r="I49" i="10" s="1"/>
  <c r="C25" i="28" s="1"/>
  <c r="I21" i="10"/>
  <c r="I23" i="10"/>
  <c r="F41" i="10"/>
  <c r="I47" i="21" s="1"/>
  <c r="G235" i="17"/>
  <c r="J235" i="17" s="1"/>
  <c r="F40" i="10"/>
  <c r="I46" i="21" s="1"/>
  <c r="G234" i="17"/>
  <c r="J234" i="17" s="1"/>
  <c r="F17" i="10"/>
  <c r="I18" i="21" s="1"/>
  <c r="G206" i="17"/>
  <c r="J206" i="17" s="1"/>
  <c r="I15" i="10"/>
  <c r="F16" i="10"/>
  <c r="I17" i="21" s="1"/>
  <c r="G205" i="17"/>
  <c r="J205" i="17" s="1"/>
  <c r="F48" i="10"/>
  <c r="G246" i="17"/>
  <c r="J246" i="17" s="1"/>
  <c r="J244" i="17" s="1"/>
  <c r="J42" i="11"/>
  <c r="O42" i="11" s="1"/>
  <c r="O41" i="11" s="1"/>
  <c r="F22" i="10"/>
  <c r="I24" i="21" s="1"/>
  <c r="J91" i="11"/>
  <c r="O91" i="11" s="1"/>
  <c r="O90" i="11" s="1"/>
  <c r="H452" i="12" s="1"/>
  <c r="J452" i="12" s="1"/>
  <c r="F45" i="10"/>
  <c r="I69" i="11"/>
  <c r="O69" i="11" s="1"/>
  <c r="O68" i="11" s="1"/>
  <c r="H375" i="12" s="1"/>
  <c r="J375" i="12" s="1"/>
  <c r="F28" i="10"/>
  <c r="H293" i="12" l="1"/>
  <c r="J293" i="12" s="1"/>
  <c r="F29" i="10"/>
  <c r="G215" i="17"/>
  <c r="J215" i="17" s="1"/>
  <c r="H197" i="12"/>
  <c r="J197" i="12" s="1"/>
  <c r="I65" i="11"/>
  <c r="O65" i="11" s="1"/>
  <c r="O64" i="11" s="1"/>
  <c r="H363" i="12" s="1"/>
  <c r="J363" i="12" s="1"/>
  <c r="I67" i="11"/>
  <c r="O67" i="11" s="1"/>
  <c r="O66" i="11" s="1"/>
  <c r="I57" i="11"/>
  <c r="O57" i="11" s="1"/>
  <c r="O56" i="11" s="1"/>
  <c r="H332" i="12" s="1"/>
  <c r="J332" i="12" s="1"/>
  <c r="O18" i="21"/>
  <c r="I20" i="22"/>
  <c r="O24" i="21"/>
  <c r="I11" i="22"/>
  <c r="O47" i="21"/>
  <c r="S47" i="22" s="1"/>
  <c r="I47" i="22"/>
  <c r="O22" i="21"/>
  <c r="I49" i="22"/>
  <c r="O17" i="21"/>
  <c r="I29" i="22"/>
  <c r="G199" i="17"/>
  <c r="J199" i="17" s="1"/>
  <c r="O59" i="21"/>
  <c r="F28" i="32" s="1"/>
  <c r="S44" i="22"/>
  <c r="O46" i="21"/>
  <c r="S45" i="22" s="1"/>
  <c r="I45" i="22"/>
  <c r="O50" i="21"/>
  <c r="I42" i="22"/>
  <c r="I55" i="11"/>
  <c r="O55" i="11" s="1"/>
  <c r="O54" i="11" s="1"/>
  <c r="H324" i="12" s="1"/>
  <c r="J324" i="12" s="1"/>
  <c r="I10" i="10"/>
  <c r="I9" i="21"/>
  <c r="I31" i="22" s="1"/>
  <c r="I32" i="21"/>
  <c r="I29" i="10"/>
  <c r="I45" i="10"/>
  <c r="I52" i="21"/>
  <c r="F12" i="10"/>
  <c r="I12" i="10" s="1"/>
  <c r="J454" i="12"/>
  <c r="I55" i="21"/>
  <c r="I48" i="22" s="1"/>
  <c r="I31" i="21"/>
  <c r="J407" i="12"/>
  <c r="I40" i="10"/>
  <c r="I22" i="10"/>
  <c r="I41" i="10"/>
  <c r="I16" i="10"/>
  <c r="I17" i="10"/>
  <c r="J23" i="11"/>
  <c r="O23" i="11" s="1"/>
  <c r="O22" i="11" s="1"/>
  <c r="J232" i="17"/>
  <c r="J202" i="17"/>
  <c r="I48" i="10"/>
  <c r="I47" i="10" s="1"/>
  <c r="C22" i="28" s="1"/>
  <c r="F35" i="10"/>
  <c r="I39" i="21" s="1"/>
  <c r="F37" i="10"/>
  <c r="I41" i="21" s="1"/>
  <c r="F46" i="10"/>
  <c r="G242" i="17"/>
  <c r="J242" i="17" s="1"/>
  <c r="J237" i="17" s="1"/>
  <c r="F31" i="10"/>
  <c r="G224" i="17"/>
  <c r="J224" i="17" s="1"/>
  <c r="I28" i="10"/>
  <c r="J45" i="11"/>
  <c r="O45" i="11" s="1"/>
  <c r="O44" i="11" s="1"/>
  <c r="F24" i="10"/>
  <c r="I71" i="11"/>
  <c r="O71" i="11" s="1"/>
  <c r="O70" i="11" s="1"/>
  <c r="H381" i="12" s="1"/>
  <c r="J381" i="12" s="1"/>
  <c r="J383" i="12" l="1"/>
  <c r="G229" i="17"/>
  <c r="J229" i="17" s="1"/>
  <c r="H369" i="12"/>
  <c r="J369" i="12" s="1"/>
  <c r="F13" i="10"/>
  <c r="I12" i="21" s="1"/>
  <c r="I21" i="22" s="1"/>
  <c r="H88" i="12"/>
  <c r="J88" i="12" s="1"/>
  <c r="F25" i="10"/>
  <c r="I28" i="21" s="1"/>
  <c r="I18" i="22" s="1"/>
  <c r="H205" i="12"/>
  <c r="J205" i="12" s="1"/>
  <c r="O14" i="21"/>
  <c r="F10" i="32" s="1"/>
  <c r="U16" i="21"/>
  <c r="AA16" i="21" s="1"/>
  <c r="O52" i="21"/>
  <c r="I15" i="22"/>
  <c r="I14" i="10"/>
  <c r="C10" i="28" s="1"/>
  <c r="I39" i="10"/>
  <c r="C16" i="28" s="1"/>
  <c r="O45" i="21"/>
  <c r="F16" i="32" s="1"/>
  <c r="O39" i="21"/>
  <c r="S51" i="22" s="1"/>
  <c r="I51" i="22"/>
  <c r="O32" i="21"/>
  <c r="I39" i="22"/>
  <c r="O9" i="21"/>
  <c r="O31" i="21"/>
  <c r="I36" i="22"/>
  <c r="O41" i="21"/>
  <c r="I35" i="22"/>
  <c r="I11" i="21"/>
  <c r="I53" i="21"/>
  <c r="I46" i="10"/>
  <c r="I42" i="10" s="1"/>
  <c r="C19" i="28" s="1"/>
  <c r="O55" i="21"/>
  <c r="J90" i="12"/>
  <c r="I27" i="21"/>
  <c r="I13" i="22" s="1"/>
  <c r="I36" i="21"/>
  <c r="I37" i="10"/>
  <c r="J6" i="12"/>
  <c r="I35" i="10"/>
  <c r="I31" i="10"/>
  <c r="G200" i="17"/>
  <c r="J200" i="17" s="1"/>
  <c r="J193" i="17" s="1"/>
  <c r="F30" i="10"/>
  <c r="I33" i="21" s="1"/>
  <c r="I5" i="22" s="1"/>
  <c r="G223" i="17"/>
  <c r="J223" i="17" s="1"/>
  <c r="F36" i="10"/>
  <c r="I40" i="21" s="1"/>
  <c r="G228" i="17"/>
  <c r="J228" i="17" s="1"/>
  <c r="F38" i="10"/>
  <c r="I42" i="21" s="1"/>
  <c r="G230" i="17"/>
  <c r="J230" i="17" s="1"/>
  <c r="G216" i="17"/>
  <c r="J216" i="17" s="1"/>
  <c r="J210" i="17" s="1"/>
  <c r="I24" i="10"/>
  <c r="K61" i="11"/>
  <c r="O12" i="21" l="1"/>
  <c r="W12" i="21" s="1"/>
  <c r="I13" i="10"/>
  <c r="I7" i="10" s="1"/>
  <c r="C7" i="28" s="1"/>
  <c r="O36" i="21"/>
  <c r="I19" i="22"/>
  <c r="O11" i="21"/>
  <c r="U6" i="21" s="1"/>
  <c r="AA6" i="21" s="1"/>
  <c r="AA7" i="21" s="1"/>
  <c r="AA17" i="21" s="1"/>
  <c r="I16" i="22"/>
  <c r="O53" i="21"/>
  <c r="O48" i="21" s="1"/>
  <c r="F19" i="32" s="1"/>
  <c r="I22" i="22"/>
  <c r="O42" i="21"/>
  <c r="S6" i="22" s="1"/>
  <c r="I6" i="22"/>
  <c r="O33" i="21"/>
  <c r="S5" i="22" s="1"/>
  <c r="O27" i="21"/>
  <c r="O28" i="21"/>
  <c r="O54" i="21"/>
  <c r="F22" i="32" s="1"/>
  <c r="S48" i="22"/>
  <c r="O40" i="21"/>
  <c r="I38" i="22"/>
  <c r="I25" i="10"/>
  <c r="I19" i="10" s="1"/>
  <c r="J133" i="12"/>
  <c r="I38" i="10"/>
  <c r="I36" i="10"/>
  <c r="I30" i="10"/>
  <c r="K63" i="11"/>
  <c r="O63" i="11" s="1"/>
  <c r="O62" i="11" s="1"/>
  <c r="O61" i="11"/>
  <c r="O60" i="11" s="1"/>
  <c r="F33" i="10" l="1"/>
  <c r="I33" i="10" s="1"/>
  <c r="H348" i="12"/>
  <c r="J348" i="12" s="1"/>
  <c r="G227" i="17"/>
  <c r="J227" i="17" s="1"/>
  <c r="H356" i="12"/>
  <c r="J356" i="12" s="1"/>
  <c r="O4" i="21"/>
  <c r="F7" i="32" s="1"/>
  <c r="R21" i="21"/>
  <c r="G225" i="17"/>
  <c r="J225" i="17" s="1"/>
  <c r="F34" i="10"/>
  <c r="I35" i="21" s="1"/>
  <c r="I26" i="22" s="1"/>
  <c r="G226" i="17"/>
  <c r="J226" i="17" s="1"/>
  <c r="F383" i="9"/>
  <c r="F377" i="9"/>
  <c r="F371" i="9"/>
  <c r="J263" i="9"/>
  <c r="J29" i="9"/>
  <c r="F55" i="7"/>
  <c r="O103" i="8"/>
  <c r="O102" i="8" s="1"/>
  <c r="I100" i="8"/>
  <c r="O100" i="8" s="1"/>
  <c r="O99" i="8" s="1"/>
  <c r="O98" i="8"/>
  <c r="O97" i="8" s="1"/>
  <c r="H464" i="9" s="1"/>
  <c r="O90" i="8"/>
  <c r="O89" i="8" s="1"/>
  <c r="O88" i="8"/>
  <c r="O87" i="8" s="1"/>
  <c r="O85" i="8"/>
  <c r="O84" i="8"/>
  <c r="O83" i="8"/>
  <c r="O80" i="8"/>
  <c r="O79" i="8"/>
  <c r="N66" i="8"/>
  <c r="I59" i="8"/>
  <c r="I74" i="8"/>
  <c r="O74" i="8" s="1"/>
  <c r="O73" i="8" s="1"/>
  <c r="I70" i="8"/>
  <c r="O70" i="8" s="1"/>
  <c r="I72" i="8"/>
  <c r="O72" i="8" s="1"/>
  <c r="O71" i="8" s="1"/>
  <c r="O48" i="8"/>
  <c r="O41" i="8"/>
  <c r="O40" i="8" s="1"/>
  <c r="I37" i="8"/>
  <c r="O37" i="8" s="1"/>
  <c r="O36" i="8" s="1"/>
  <c r="H184" i="9" s="1"/>
  <c r="O35" i="8"/>
  <c r="O34" i="8" s="1"/>
  <c r="O27" i="8"/>
  <c r="J29" i="8" s="1"/>
  <c r="F22" i="8"/>
  <c r="O22" i="8" s="1"/>
  <c r="O18" i="8" s="1"/>
  <c r="H99" i="9" s="1"/>
  <c r="O15" i="8"/>
  <c r="O14" i="8" s="1"/>
  <c r="H58" i="9" s="1"/>
  <c r="O76" i="8" l="1"/>
  <c r="I34" i="21"/>
  <c r="O34" i="21" s="1"/>
  <c r="F21" i="7"/>
  <c r="H164" i="9"/>
  <c r="F24" i="7"/>
  <c r="H26" i="21" s="1"/>
  <c r="H206" i="9"/>
  <c r="J206" i="9" s="1"/>
  <c r="F46" i="7"/>
  <c r="H51" i="21" s="1"/>
  <c r="H436" i="9"/>
  <c r="J436" i="9" s="1"/>
  <c r="F39" i="7"/>
  <c r="H41" i="21" s="1"/>
  <c r="H35" i="22" s="1"/>
  <c r="H378" i="9"/>
  <c r="J378" i="9" s="1"/>
  <c r="F45" i="7"/>
  <c r="H49" i="21" s="1"/>
  <c r="H43" i="22" s="1"/>
  <c r="H423" i="9"/>
  <c r="J423" i="9" s="1"/>
  <c r="F28" i="7"/>
  <c r="H43" i="21" s="1"/>
  <c r="H240" i="9"/>
  <c r="J240" i="9" s="1"/>
  <c r="F51" i="7"/>
  <c r="H58" i="21" s="1"/>
  <c r="H470" i="9"/>
  <c r="J470" i="9" s="1"/>
  <c r="F40" i="7"/>
  <c r="H42" i="21" s="1"/>
  <c r="H384" i="9"/>
  <c r="J384" i="9" s="1"/>
  <c r="F53" i="7"/>
  <c r="I53" i="7" s="1"/>
  <c r="I52" i="7" s="1"/>
  <c r="C22" i="27" s="1"/>
  <c r="H485" i="9"/>
  <c r="J485" i="9" s="1"/>
  <c r="J472" i="9" s="1"/>
  <c r="F42" i="7"/>
  <c r="H46" i="21" s="1"/>
  <c r="N46" i="21" s="1"/>
  <c r="R45" i="22" s="1"/>
  <c r="H396" i="9"/>
  <c r="N58" i="21"/>
  <c r="R56" i="22" s="1"/>
  <c r="T56" i="22" s="1"/>
  <c r="H56" i="22"/>
  <c r="I27" i="22"/>
  <c r="F13" i="7"/>
  <c r="I13" i="7" s="1"/>
  <c r="J99" i="9"/>
  <c r="O35" i="21"/>
  <c r="O81" i="8"/>
  <c r="F11" i="7"/>
  <c r="F12" i="7"/>
  <c r="I55" i="7"/>
  <c r="I54" i="7" s="1"/>
  <c r="C28" i="27" s="1"/>
  <c r="H60" i="21"/>
  <c r="H44" i="22" s="1"/>
  <c r="J164" i="9"/>
  <c r="H22" i="21"/>
  <c r="I34" i="10"/>
  <c r="I26" i="10" s="1"/>
  <c r="I18" i="10" s="1"/>
  <c r="J207" i="12"/>
  <c r="J132" i="12" s="1"/>
  <c r="H483" i="12" s="1"/>
  <c r="J44" i="8"/>
  <c r="O44" i="8" s="1"/>
  <c r="F22" i="7"/>
  <c r="I60" i="8"/>
  <c r="O60" i="8" s="1"/>
  <c r="O59" i="8"/>
  <c r="O54" i="8"/>
  <c r="O56" i="8"/>
  <c r="O26" i="8"/>
  <c r="J218" i="17"/>
  <c r="J208" i="17" s="1"/>
  <c r="G129" i="17"/>
  <c r="J129" i="17" s="1"/>
  <c r="G128" i="17"/>
  <c r="J128" i="17" s="1"/>
  <c r="G143" i="17"/>
  <c r="J143" i="17" s="1"/>
  <c r="G161" i="17"/>
  <c r="J161" i="17" s="1"/>
  <c r="G162" i="17"/>
  <c r="J162" i="17" s="1"/>
  <c r="G172" i="17"/>
  <c r="J172" i="17" s="1"/>
  <c r="G181" i="17"/>
  <c r="J181" i="17" s="1"/>
  <c r="G171" i="17"/>
  <c r="J171" i="17" s="1"/>
  <c r="O52" i="8"/>
  <c r="H286" i="9" s="1"/>
  <c r="G173" i="17"/>
  <c r="J173" i="17" s="1"/>
  <c r="I68" i="8"/>
  <c r="O68" i="8" s="1"/>
  <c r="O67" i="8" s="1"/>
  <c r="G189" i="17"/>
  <c r="J189" i="17" s="1"/>
  <c r="J187" i="17" s="1"/>
  <c r="G131" i="17"/>
  <c r="J131" i="17" s="1"/>
  <c r="K64" i="8"/>
  <c r="O69" i="8"/>
  <c r="O29" i="8"/>
  <c r="O28" i="8" s="1"/>
  <c r="J31" i="8"/>
  <c r="I39" i="8"/>
  <c r="O39" i="8" s="1"/>
  <c r="O38" i="8" s="1"/>
  <c r="H190" i="9" s="1"/>
  <c r="I51" i="7" l="1"/>
  <c r="H55" i="21"/>
  <c r="H48" i="22" s="1"/>
  <c r="I39" i="7"/>
  <c r="N41" i="21"/>
  <c r="G167" i="17"/>
  <c r="J167" i="17" s="1"/>
  <c r="H408" i="9"/>
  <c r="I45" i="7"/>
  <c r="N49" i="21"/>
  <c r="F38" i="7"/>
  <c r="I38" i="7" s="1"/>
  <c r="H372" i="9"/>
  <c r="J372" i="9" s="1"/>
  <c r="F37" i="7"/>
  <c r="I37" i="7" s="1"/>
  <c r="H366" i="9"/>
  <c r="J366" i="9" s="1"/>
  <c r="F16" i="7"/>
  <c r="H16" i="21" s="1"/>
  <c r="H118" i="9"/>
  <c r="J118" i="9" s="1"/>
  <c r="F17" i="7"/>
  <c r="H17" i="21" s="1"/>
  <c r="H29" i="22" s="1"/>
  <c r="H141" i="9"/>
  <c r="H45" i="22"/>
  <c r="F32" i="7"/>
  <c r="H325" i="9"/>
  <c r="F31" i="7"/>
  <c r="I31" i="7" s="1"/>
  <c r="H317" i="9"/>
  <c r="H11" i="21"/>
  <c r="N11" i="21" s="1"/>
  <c r="H52" i="10"/>
  <c r="J32" i="10" s="1"/>
  <c r="C13" i="28"/>
  <c r="U22" i="21"/>
  <c r="AA22" i="21" s="1"/>
  <c r="AA23" i="21" s="1"/>
  <c r="AA46" i="21" s="1"/>
  <c r="AA49" i="21" s="1"/>
  <c r="AA55" i="21" s="1"/>
  <c r="AA58" i="21" s="1"/>
  <c r="S26" i="22"/>
  <c r="S21" i="21"/>
  <c r="T21" i="21" s="1"/>
  <c r="G185" i="17"/>
  <c r="J185" i="17" s="1"/>
  <c r="J183" i="17" s="1"/>
  <c r="J498" i="9"/>
  <c r="J487" i="9" s="1"/>
  <c r="S27" i="22"/>
  <c r="N42" i="21"/>
  <c r="R6" i="22" s="1"/>
  <c r="H6" i="22"/>
  <c r="F43" i="7"/>
  <c r="H47" i="21" s="1"/>
  <c r="H47" i="22" s="1"/>
  <c r="N43" i="21"/>
  <c r="H41" i="22"/>
  <c r="F6" i="23" s="1"/>
  <c r="I6" i="23" s="1"/>
  <c r="N17" i="21"/>
  <c r="N26" i="21"/>
  <c r="H10" i="22"/>
  <c r="N51" i="21"/>
  <c r="R50" i="22" s="1"/>
  <c r="T50" i="22" s="1"/>
  <c r="H50" i="22"/>
  <c r="F30" i="7"/>
  <c r="I30" i="7" s="1"/>
  <c r="N22" i="21"/>
  <c r="H49" i="22"/>
  <c r="J325" i="9"/>
  <c r="H37" i="21"/>
  <c r="H23" i="22" s="1"/>
  <c r="O20" i="21"/>
  <c r="F13" i="32" s="1"/>
  <c r="H9" i="21"/>
  <c r="H31" i="22" s="1"/>
  <c r="I11" i="7"/>
  <c r="N55" i="21"/>
  <c r="N60" i="21"/>
  <c r="J58" i="9"/>
  <c r="K50" i="22"/>
  <c r="N50" i="22" s="1"/>
  <c r="H10" i="21"/>
  <c r="J89" i="9"/>
  <c r="O58" i="8"/>
  <c r="J317" i="9"/>
  <c r="H33" i="21"/>
  <c r="H5" i="22" s="1"/>
  <c r="J408" i="9"/>
  <c r="J286" i="9"/>
  <c r="J184" i="9"/>
  <c r="H23" i="21"/>
  <c r="H8" i="22" s="1"/>
  <c r="J141" i="9"/>
  <c r="G145" i="17"/>
  <c r="J145" i="17" s="1"/>
  <c r="F23" i="7"/>
  <c r="I42" i="7"/>
  <c r="J396" i="9"/>
  <c r="G166" i="17"/>
  <c r="J166" i="17" s="1"/>
  <c r="K56" i="22"/>
  <c r="N56" i="22" s="1"/>
  <c r="J191" i="17"/>
  <c r="G153" i="17"/>
  <c r="J153" i="17" s="1"/>
  <c r="G130" i="17"/>
  <c r="J130" i="17" s="1"/>
  <c r="G154" i="17"/>
  <c r="J154" i="17" s="1"/>
  <c r="O31" i="8"/>
  <c r="O30" i="8" s="1"/>
  <c r="H149" i="9" s="1"/>
  <c r="G136" i="17"/>
  <c r="J136" i="17" s="1"/>
  <c r="G144" i="17"/>
  <c r="J144" i="17" s="1"/>
  <c r="G150" i="17"/>
  <c r="J150" i="17" s="1"/>
  <c r="I40" i="7"/>
  <c r="I29" i="7"/>
  <c r="G160" i="17"/>
  <c r="J160" i="17" s="1"/>
  <c r="G152" i="17"/>
  <c r="J152" i="17" s="1"/>
  <c r="G151" i="17"/>
  <c r="J151" i="17" s="1"/>
  <c r="G159" i="17"/>
  <c r="J159" i="17" s="1"/>
  <c r="J24" i="8"/>
  <c r="J43" i="8"/>
  <c r="O43" i="8" s="1"/>
  <c r="O42" i="8" s="1"/>
  <c r="K66" i="8"/>
  <c r="O66" i="8" s="1"/>
  <c r="O65" i="8" s="1"/>
  <c r="O64" i="8"/>
  <c r="O63" i="8" s="1"/>
  <c r="O93" i="8"/>
  <c r="O92" i="8"/>
  <c r="J164" i="17" l="1"/>
  <c r="I17" i="7"/>
  <c r="H40" i="21"/>
  <c r="H38" i="22" s="1"/>
  <c r="F25" i="7"/>
  <c r="I25" i="7" s="1"/>
  <c r="H216" i="9"/>
  <c r="J216" i="9" s="1"/>
  <c r="H27" i="21"/>
  <c r="H13" i="22" s="1"/>
  <c r="F36" i="7"/>
  <c r="I36" i="7" s="1"/>
  <c r="H359" i="9"/>
  <c r="G155" i="17"/>
  <c r="J155" i="17" s="1"/>
  <c r="H335" i="9"/>
  <c r="H39" i="21"/>
  <c r="N39" i="21" s="1"/>
  <c r="R51" i="22" s="1"/>
  <c r="H16" i="22"/>
  <c r="F35" i="7"/>
  <c r="I35" i="7" s="1"/>
  <c r="H351" i="9"/>
  <c r="J351" i="9" s="1"/>
  <c r="AA65" i="21"/>
  <c r="C28" i="28"/>
  <c r="H6" i="23"/>
  <c r="I43" i="7"/>
  <c r="I41" i="7" s="1"/>
  <c r="C16" i="27" s="1"/>
  <c r="N47" i="21"/>
  <c r="N45" i="21" s="1"/>
  <c r="E16" i="32" s="1"/>
  <c r="O61" i="21"/>
  <c r="N33" i="21"/>
  <c r="R5" i="22" s="1"/>
  <c r="N54" i="21"/>
  <c r="E22" i="32" s="1"/>
  <c r="R48" i="22"/>
  <c r="N40" i="21"/>
  <c r="N16" i="21"/>
  <c r="T16" i="21" s="1"/>
  <c r="Z16" i="21" s="1"/>
  <c r="H28" i="22"/>
  <c r="N9" i="21"/>
  <c r="N23" i="21"/>
  <c r="H9" i="22"/>
  <c r="N59" i="21"/>
  <c r="E28" i="32" s="1"/>
  <c r="R44" i="22"/>
  <c r="N10" i="21"/>
  <c r="H33" i="22"/>
  <c r="H32" i="21"/>
  <c r="O50" i="22"/>
  <c r="E21" i="33" s="1"/>
  <c r="L50" i="22"/>
  <c r="L56" i="22"/>
  <c r="N37" i="21"/>
  <c r="N23" i="22"/>
  <c r="J386" i="9"/>
  <c r="J62" i="8"/>
  <c r="O62" i="8" s="1"/>
  <c r="O61" i="8" s="1"/>
  <c r="F33" i="7"/>
  <c r="J359" i="9"/>
  <c r="H35" i="21"/>
  <c r="J190" i="9"/>
  <c r="H24" i="21"/>
  <c r="J11" i="10"/>
  <c r="J27" i="10"/>
  <c r="J41" i="10"/>
  <c r="J21" i="10"/>
  <c r="J48" i="10"/>
  <c r="J47" i="10" s="1"/>
  <c r="J35" i="10"/>
  <c r="J15" i="10"/>
  <c r="J14" i="10" s="1"/>
  <c r="J10" i="10"/>
  <c r="J28" i="10"/>
  <c r="J44" i="10"/>
  <c r="J37" i="10"/>
  <c r="J46" i="10"/>
  <c r="J36" i="10"/>
  <c r="J23" i="10"/>
  <c r="J25" i="10"/>
  <c r="J43" i="10"/>
  <c r="J8" i="10"/>
  <c r="J9" i="10"/>
  <c r="J20" i="10"/>
  <c r="J24" i="10"/>
  <c r="J33" i="10"/>
  <c r="J31" i="10"/>
  <c r="J38" i="10"/>
  <c r="J40" i="10"/>
  <c r="J30" i="10"/>
  <c r="J34" i="10"/>
  <c r="J13" i="10"/>
  <c r="J17" i="10"/>
  <c r="J16" i="10"/>
  <c r="J22" i="10"/>
  <c r="J50" i="10"/>
  <c r="J49" i="10" s="1"/>
  <c r="J29" i="10"/>
  <c r="J12" i="10"/>
  <c r="J45" i="10"/>
  <c r="O91" i="8"/>
  <c r="I16" i="7"/>
  <c r="F18" i="7"/>
  <c r="H18" i="21" s="1"/>
  <c r="G138" i="17"/>
  <c r="J138" i="17" s="1"/>
  <c r="O24" i="8"/>
  <c r="O23" i="8" s="1"/>
  <c r="I9" i="7"/>
  <c r="G137" i="17"/>
  <c r="J137" i="17" s="1"/>
  <c r="G147" i="17"/>
  <c r="J147" i="17" s="1"/>
  <c r="G146" i="17"/>
  <c r="J146" i="17" s="1"/>
  <c r="G158" i="17"/>
  <c r="J158" i="17" s="1"/>
  <c r="I12" i="7"/>
  <c r="I21" i="7"/>
  <c r="G157" i="17"/>
  <c r="J157" i="17" s="1"/>
  <c r="G132" i="17"/>
  <c r="J132" i="17" s="1"/>
  <c r="J126" i="17" s="1"/>
  <c r="I28" i="7"/>
  <c r="J46" i="8"/>
  <c r="O46" i="8" s="1"/>
  <c r="O45" i="8" s="1"/>
  <c r="H34" i="21" l="1"/>
  <c r="N34" i="21" s="1"/>
  <c r="R27" i="22" s="1"/>
  <c r="H51" i="22"/>
  <c r="F34" i="7"/>
  <c r="H36" i="21" s="1"/>
  <c r="H343" i="9"/>
  <c r="F47" i="7"/>
  <c r="I47" i="7" s="1"/>
  <c r="H446" i="9"/>
  <c r="J446" i="9" s="1"/>
  <c r="F14" i="7"/>
  <c r="I14" i="7" s="1"/>
  <c r="I7" i="7" s="1"/>
  <c r="C7" i="27" s="1"/>
  <c r="H107" i="9"/>
  <c r="J107" i="9" s="1"/>
  <c r="J6" i="9" s="1"/>
  <c r="H12" i="21"/>
  <c r="F26" i="7"/>
  <c r="I26" i="7" s="1"/>
  <c r="H224" i="9"/>
  <c r="J224" i="9" s="1"/>
  <c r="J152" i="9" s="1"/>
  <c r="D25" i="28"/>
  <c r="D22" i="28"/>
  <c r="D16" i="28"/>
  <c r="F9" i="28"/>
  <c r="F12" i="28" s="1"/>
  <c r="F15" i="28" s="1"/>
  <c r="F18" i="28" s="1"/>
  <c r="F21" i="28" s="1"/>
  <c r="F24" i="28" s="1"/>
  <c r="F27" i="28" s="1"/>
  <c r="D7" i="28"/>
  <c r="E7" i="28" s="1"/>
  <c r="D10" i="28"/>
  <c r="D19" i="28"/>
  <c r="D13" i="28"/>
  <c r="N18" i="21"/>
  <c r="H20" i="22"/>
  <c r="H44" i="21"/>
  <c r="R47" i="22"/>
  <c r="J19" i="10"/>
  <c r="J26" i="10"/>
  <c r="J7" i="10"/>
  <c r="N24" i="21"/>
  <c r="H11" i="22"/>
  <c r="N35" i="21"/>
  <c r="R26" i="22" s="1"/>
  <c r="H26" i="22"/>
  <c r="N32" i="21"/>
  <c r="H39" i="22"/>
  <c r="U56" i="22"/>
  <c r="U50" i="22"/>
  <c r="J343" i="9"/>
  <c r="J335" i="9"/>
  <c r="N27" i="21"/>
  <c r="J39" i="10"/>
  <c r="J42" i="10"/>
  <c r="J149" i="9"/>
  <c r="J109" i="9" s="1"/>
  <c r="I18" i="7"/>
  <c r="I15" i="7" s="1"/>
  <c r="C10" i="27" s="1"/>
  <c r="I32" i="7"/>
  <c r="G156" i="17"/>
  <c r="J156" i="17" s="1"/>
  <c r="J149" i="17" s="1"/>
  <c r="J134" i="17"/>
  <c r="K41" i="22"/>
  <c r="G175" i="17"/>
  <c r="J175" i="17" s="1"/>
  <c r="G174" i="17"/>
  <c r="J174" i="17" s="1"/>
  <c r="I22" i="7"/>
  <c r="J95" i="8"/>
  <c r="O95" i="8" s="1"/>
  <c r="O94" i="8" s="1"/>
  <c r="I23" i="7"/>
  <c r="I33" i="7"/>
  <c r="G148" i="17"/>
  <c r="J148" i="17" s="1"/>
  <c r="J142" i="17" s="1"/>
  <c r="I34" i="7"/>
  <c r="H52" i="21" l="1"/>
  <c r="H27" i="22"/>
  <c r="F48" i="7"/>
  <c r="I48" i="7" s="1"/>
  <c r="H454" i="9"/>
  <c r="J454" i="9" s="1"/>
  <c r="J409" i="9" s="1"/>
  <c r="H21" i="22"/>
  <c r="N12" i="21"/>
  <c r="V12" i="21"/>
  <c r="I27" i="7"/>
  <c r="E10" i="28"/>
  <c r="E13" i="28" s="1"/>
  <c r="E16" i="28" s="1"/>
  <c r="E19" i="28" s="1"/>
  <c r="E22" i="28" s="1"/>
  <c r="E25" i="28" s="1"/>
  <c r="J15" i="28"/>
  <c r="J18" i="28" s="1"/>
  <c r="J21" i="28" s="1"/>
  <c r="J24" i="28" s="1"/>
  <c r="J27" i="28" s="1"/>
  <c r="F29" i="28"/>
  <c r="D28" i="28"/>
  <c r="N14" i="21"/>
  <c r="E10" i="32" s="1"/>
  <c r="N52" i="21"/>
  <c r="H15" i="22"/>
  <c r="N36" i="21"/>
  <c r="R29" i="21" s="1"/>
  <c r="R28" i="21" s="1"/>
  <c r="H19" i="22"/>
  <c r="N44" i="21"/>
  <c r="H14" i="22"/>
  <c r="N14" i="22" s="1"/>
  <c r="J18" i="10"/>
  <c r="J226" i="9"/>
  <c r="J151" i="9" s="1"/>
  <c r="L41" i="22"/>
  <c r="H28" i="21"/>
  <c r="H18" i="22" s="1"/>
  <c r="I46" i="7"/>
  <c r="G176" i="17"/>
  <c r="J176" i="17" s="1"/>
  <c r="J169" i="17" s="1"/>
  <c r="J124" i="17" s="1"/>
  <c r="J140" i="17"/>
  <c r="I24" i="7"/>
  <c r="I20" i="7" s="1"/>
  <c r="O90" i="5"/>
  <c r="O88" i="5"/>
  <c r="O87" i="5"/>
  <c r="I81" i="5"/>
  <c r="I82" i="5" s="1"/>
  <c r="O82" i="5" s="1"/>
  <c r="O79" i="5"/>
  <c r="O78" i="5"/>
  <c r="O77" i="5" s="1"/>
  <c r="O76" i="5"/>
  <c r="O75" i="5" s="1"/>
  <c r="O73" i="5"/>
  <c r="O72" i="5"/>
  <c r="O70" i="5"/>
  <c r="O69" i="5"/>
  <c r="N58" i="5"/>
  <c r="O47" i="5"/>
  <c r="O30" i="5"/>
  <c r="O29" i="5" s="1"/>
  <c r="O20" i="5"/>
  <c r="J24" i="5" s="1"/>
  <c r="O15" i="5"/>
  <c r="O13" i="5"/>
  <c r="O12" i="5"/>
  <c r="O11" i="5"/>
  <c r="O9" i="5"/>
  <c r="O8" i="5" s="1"/>
  <c r="H53" i="21" l="1"/>
  <c r="N53" i="21" s="1"/>
  <c r="N48" i="21" s="1"/>
  <c r="E19" i="32" s="1"/>
  <c r="I19" i="7"/>
  <c r="C13" i="27" s="1"/>
  <c r="G69" i="17"/>
  <c r="J69" i="17" s="1"/>
  <c r="H18" i="6"/>
  <c r="J18" i="6" s="1"/>
  <c r="H392" i="6"/>
  <c r="J392" i="6" s="1"/>
  <c r="F42" i="4"/>
  <c r="G50" i="21" s="1"/>
  <c r="J50" i="21" s="1"/>
  <c r="G111" i="17"/>
  <c r="J111" i="17" s="1"/>
  <c r="H379" i="6"/>
  <c r="J379" i="6" s="1"/>
  <c r="O86" i="5"/>
  <c r="H425" i="6" s="1"/>
  <c r="F19" i="4"/>
  <c r="G25" i="21" s="1"/>
  <c r="J25" i="21" s="1"/>
  <c r="H123" i="6"/>
  <c r="I44" i="7"/>
  <c r="C19" i="27" s="1"/>
  <c r="F30" i="28"/>
  <c r="F32" i="28" s="1"/>
  <c r="F31" i="28"/>
  <c r="J29" i="28"/>
  <c r="J30" i="28" s="1"/>
  <c r="L14" i="22"/>
  <c r="N28" i="21"/>
  <c r="O68" i="5"/>
  <c r="H351" i="6" s="1"/>
  <c r="J351" i="6" s="1"/>
  <c r="O24" i="5"/>
  <c r="O71" i="5"/>
  <c r="I32" i="5"/>
  <c r="O32" i="5" s="1"/>
  <c r="O31" i="5" s="1"/>
  <c r="G85" i="17"/>
  <c r="J85" i="17" s="1"/>
  <c r="O28" i="5"/>
  <c r="O27" i="5" s="1"/>
  <c r="G112" i="17"/>
  <c r="J112" i="17" s="1"/>
  <c r="F41" i="4"/>
  <c r="G49" i="21" s="1"/>
  <c r="G43" i="22" s="1"/>
  <c r="G91" i="17"/>
  <c r="J91" i="17" s="1"/>
  <c r="O10" i="5"/>
  <c r="F8" i="4"/>
  <c r="G6" i="21" s="1"/>
  <c r="O89" i="5"/>
  <c r="F48" i="4" s="1"/>
  <c r="G60" i="21" s="1"/>
  <c r="G44" i="22" s="1"/>
  <c r="G122" i="17"/>
  <c r="J122" i="17" s="1"/>
  <c r="J120" i="17" s="1"/>
  <c r="I34" i="5"/>
  <c r="O44" i="5" s="1"/>
  <c r="O19" i="5"/>
  <c r="O81" i="5"/>
  <c r="G23" i="21" l="1"/>
  <c r="H22" i="22"/>
  <c r="F46" i="4"/>
  <c r="G55" i="21" s="1"/>
  <c r="G48" i="22" s="1"/>
  <c r="G118" i="17"/>
  <c r="J118" i="17" s="1"/>
  <c r="J116" i="17" s="1"/>
  <c r="J425" i="6"/>
  <c r="J412" i="6" s="1"/>
  <c r="G86" i="17"/>
  <c r="J86" i="17" s="1"/>
  <c r="H129" i="6"/>
  <c r="F39" i="4"/>
  <c r="G47" i="21" s="1"/>
  <c r="H363" i="6"/>
  <c r="J363" i="6" s="1"/>
  <c r="J341" i="6" s="1"/>
  <c r="H28" i="6"/>
  <c r="J28" i="6" s="1"/>
  <c r="F9" i="4"/>
  <c r="I9" i="4" s="1"/>
  <c r="F13" i="4"/>
  <c r="I13" i="4" s="1"/>
  <c r="H57" i="6"/>
  <c r="F18" i="4"/>
  <c r="G22" i="21" s="1"/>
  <c r="H103" i="6"/>
  <c r="J103" i="6" s="1"/>
  <c r="J31" i="28"/>
  <c r="N31" i="28" s="1"/>
  <c r="R31" i="28" s="1"/>
  <c r="J32" i="28"/>
  <c r="R23" i="21"/>
  <c r="T22" i="21"/>
  <c r="Z22" i="21" s="1"/>
  <c r="N20" i="21"/>
  <c r="E13" i="32" s="1"/>
  <c r="M6" i="21"/>
  <c r="G52" i="22"/>
  <c r="M23" i="21"/>
  <c r="G9" i="22"/>
  <c r="M50" i="21"/>
  <c r="P50" i="21" s="1"/>
  <c r="N42" i="22" s="1"/>
  <c r="G42" i="22"/>
  <c r="M49" i="21"/>
  <c r="M60" i="21"/>
  <c r="S60" i="21" s="1"/>
  <c r="J123" i="6"/>
  <c r="I42" i="4"/>
  <c r="I41" i="4"/>
  <c r="I48" i="4"/>
  <c r="I47" i="4" s="1"/>
  <c r="C25" i="26" s="1"/>
  <c r="G84" i="17"/>
  <c r="J84" i="17" s="1"/>
  <c r="O80" i="5"/>
  <c r="O43" i="5"/>
  <c r="G92" i="17" s="1"/>
  <c r="J92" i="17" s="1"/>
  <c r="G107" i="17"/>
  <c r="J107" i="17" s="1"/>
  <c r="O49" i="5"/>
  <c r="O34" i="5"/>
  <c r="O33" i="5" s="1"/>
  <c r="G70" i="17"/>
  <c r="J70" i="17" s="1"/>
  <c r="G77" i="17"/>
  <c r="J77" i="17" s="1"/>
  <c r="G96" i="17"/>
  <c r="J96" i="17" s="1"/>
  <c r="F38" i="4"/>
  <c r="G46" i="21" s="1"/>
  <c r="G45" i="22" s="1"/>
  <c r="G106" i="17"/>
  <c r="J106" i="17" s="1"/>
  <c r="J36" i="5"/>
  <c r="O36" i="5" s="1"/>
  <c r="F20" i="4"/>
  <c r="G24" i="21" s="1"/>
  <c r="O21" i="5"/>
  <c r="I46" i="4" l="1"/>
  <c r="I45" i="4" s="1"/>
  <c r="C22" i="26" s="1"/>
  <c r="M55" i="21"/>
  <c r="S55" i="21" s="1"/>
  <c r="M22" i="21"/>
  <c r="P22" i="21" s="1"/>
  <c r="N49" i="22" s="1"/>
  <c r="J22" i="21"/>
  <c r="J42" i="22"/>
  <c r="F7" i="23" s="1"/>
  <c r="I39" i="4"/>
  <c r="I64" i="5"/>
  <c r="O64" i="5" s="1"/>
  <c r="O63" i="5" s="1"/>
  <c r="M47" i="21"/>
  <c r="Q47" i="22" s="1"/>
  <c r="G47" i="22"/>
  <c r="J37" i="5"/>
  <c r="O37" i="5" s="1"/>
  <c r="H145" i="6"/>
  <c r="F35" i="4"/>
  <c r="I35" i="4" s="1"/>
  <c r="H333" i="6"/>
  <c r="G49" i="22"/>
  <c r="J49" i="22" s="1"/>
  <c r="K49" i="22"/>
  <c r="F14" i="4"/>
  <c r="I14" i="4" s="1"/>
  <c r="H80" i="6"/>
  <c r="J84" i="5"/>
  <c r="O84" i="5" s="1"/>
  <c r="O83" i="5" s="1"/>
  <c r="G114" i="17" s="1"/>
  <c r="J114" i="17" s="1"/>
  <c r="H402" i="6"/>
  <c r="J402" i="6" s="1"/>
  <c r="F43" i="4"/>
  <c r="H228" i="6"/>
  <c r="J228" i="6" s="1"/>
  <c r="F26" i="4"/>
  <c r="G31" i="21" s="1"/>
  <c r="G16" i="21"/>
  <c r="G28" i="22" s="1"/>
  <c r="N30" i="28"/>
  <c r="N32" i="28" s="1"/>
  <c r="R30" i="28"/>
  <c r="S49" i="21"/>
  <c r="M24" i="21"/>
  <c r="G11" i="22"/>
  <c r="G113" i="17"/>
  <c r="J113" i="17" s="1"/>
  <c r="M59" i="21"/>
  <c r="D28" i="32" s="1"/>
  <c r="Q44" i="22"/>
  <c r="N8" i="21"/>
  <c r="T6" i="21" s="1"/>
  <c r="Z6" i="21" s="1"/>
  <c r="Z7" i="21" s="1"/>
  <c r="Z17" i="21" s="1"/>
  <c r="Z23" i="21" s="1"/>
  <c r="Z46" i="21" s="1"/>
  <c r="Z49" i="21" s="1"/>
  <c r="Z55" i="21" s="1"/>
  <c r="Z58" i="21" s="1"/>
  <c r="G9" i="21"/>
  <c r="J333" i="6"/>
  <c r="M46" i="21"/>
  <c r="K42" i="22"/>
  <c r="J57" i="6"/>
  <c r="J129" i="6"/>
  <c r="I38" i="4"/>
  <c r="O46" i="5"/>
  <c r="O45" i="5" s="1"/>
  <c r="F21" i="4"/>
  <c r="G10" i="22" s="1"/>
  <c r="J104" i="17"/>
  <c r="G87" i="17"/>
  <c r="J87" i="17" s="1"/>
  <c r="I60" i="5"/>
  <c r="O60" i="5" s="1"/>
  <c r="O59" i="5" s="1"/>
  <c r="O50" i="5"/>
  <c r="O48" i="5" s="1"/>
  <c r="O35" i="5"/>
  <c r="O23" i="5"/>
  <c r="O14" i="5"/>
  <c r="G71" i="17"/>
  <c r="J71" i="17" s="1"/>
  <c r="G78" i="17"/>
  <c r="J78" i="17" s="1"/>
  <c r="Q48" i="22" l="1"/>
  <c r="M54" i="21"/>
  <c r="D22" i="32" s="1"/>
  <c r="I37" i="4"/>
  <c r="C16" i="26" s="1"/>
  <c r="I7" i="23"/>
  <c r="H7" i="23"/>
  <c r="G41" i="21"/>
  <c r="G35" i="22" s="1"/>
  <c r="O49" i="22"/>
  <c r="E20" i="33" s="1"/>
  <c r="G17" i="21"/>
  <c r="J17" i="21" s="1"/>
  <c r="K29" i="22" s="1"/>
  <c r="L49" i="22"/>
  <c r="F44" i="4"/>
  <c r="G53" i="21" s="1"/>
  <c r="G22" i="22" s="1"/>
  <c r="H410" i="6"/>
  <c r="J410" i="6" s="1"/>
  <c r="J365" i="6" s="1"/>
  <c r="F27" i="4"/>
  <c r="G32" i="21" s="1"/>
  <c r="H251" i="6"/>
  <c r="F33" i="4"/>
  <c r="I33" i="4" s="1"/>
  <c r="H321" i="6"/>
  <c r="J321" i="6" s="1"/>
  <c r="H38" i="6"/>
  <c r="J38" i="6" s="1"/>
  <c r="F10" i="4"/>
  <c r="G11" i="21" s="1"/>
  <c r="F15" i="4"/>
  <c r="G18" i="21" s="1"/>
  <c r="H88" i="6"/>
  <c r="J88" i="6" s="1"/>
  <c r="M16" i="21"/>
  <c r="F22" i="4"/>
  <c r="H155" i="6"/>
  <c r="H282" i="6"/>
  <c r="F28" i="4"/>
  <c r="G33" i="21" s="1"/>
  <c r="G5" i="22" s="1"/>
  <c r="S46" i="21"/>
  <c r="J109" i="17"/>
  <c r="R32" i="28"/>
  <c r="Z65" i="21"/>
  <c r="M9" i="21"/>
  <c r="G31" i="22"/>
  <c r="J39" i="5"/>
  <c r="O39" i="5" s="1"/>
  <c r="O38" i="5" s="1"/>
  <c r="M31" i="21"/>
  <c r="G36" i="22"/>
  <c r="M45" i="21"/>
  <c r="D16" i="32" s="1"/>
  <c r="Q45" i="22"/>
  <c r="M25" i="21"/>
  <c r="P25" i="21" s="1"/>
  <c r="N8" i="22" s="1"/>
  <c r="G8" i="22"/>
  <c r="L42" i="22"/>
  <c r="I43" i="4"/>
  <c r="G52" i="21"/>
  <c r="N4" i="21"/>
  <c r="E7" i="32" s="1"/>
  <c r="I52" i="5"/>
  <c r="O52" i="5" s="1"/>
  <c r="O51" i="5" s="1"/>
  <c r="J80" i="6"/>
  <c r="J145" i="6"/>
  <c r="I62" i="5"/>
  <c r="O62" i="5" s="1"/>
  <c r="O61" i="5" s="1"/>
  <c r="H327" i="6" s="1"/>
  <c r="G93" i="17"/>
  <c r="J93" i="17" s="1"/>
  <c r="I66" i="5"/>
  <c r="O66" i="5" s="1"/>
  <c r="G99" i="17"/>
  <c r="J99" i="17" s="1"/>
  <c r="G88" i="17"/>
  <c r="J88" i="17" s="1"/>
  <c r="G79" i="17"/>
  <c r="J79" i="17" s="1"/>
  <c r="J75" i="17" s="1"/>
  <c r="G72" i="17"/>
  <c r="J72" i="17" s="1"/>
  <c r="J17" i="5"/>
  <c r="O17" i="5" s="1"/>
  <c r="O16" i="5" s="1"/>
  <c r="I44" i="4" l="1"/>
  <c r="M41" i="21"/>
  <c r="M17" i="21"/>
  <c r="P17" i="21" s="1"/>
  <c r="N29" i="22" s="1"/>
  <c r="O29" i="22" s="1"/>
  <c r="E19" i="33" s="1"/>
  <c r="G29" i="22"/>
  <c r="J29" i="22" s="1"/>
  <c r="U49" i="22"/>
  <c r="G39" i="21"/>
  <c r="M39" i="21" s="1"/>
  <c r="Q51" i="22" s="1"/>
  <c r="M53" i="21"/>
  <c r="F23" i="4"/>
  <c r="G28" i="21" s="1"/>
  <c r="G18" i="22" s="1"/>
  <c r="H163" i="6"/>
  <c r="G89" i="17"/>
  <c r="J89" i="17" s="1"/>
  <c r="J83" i="17" s="1"/>
  <c r="F29" i="4"/>
  <c r="I29" i="4" s="1"/>
  <c r="H290" i="6"/>
  <c r="J290" i="6" s="1"/>
  <c r="H46" i="6"/>
  <c r="F11" i="4"/>
  <c r="I11" i="4" s="1"/>
  <c r="M52" i="21"/>
  <c r="G15" i="22"/>
  <c r="M11" i="21"/>
  <c r="G16" i="22"/>
  <c r="M18" i="21"/>
  <c r="G20" i="22"/>
  <c r="M33" i="21"/>
  <c r="Q5" i="22" s="1"/>
  <c r="M32" i="21"/>
  <c r="G39" i="22"/>
  <c r="L29" i="22"/>
  <c r="I40" i="4"/>
  <c r="C19" i="26" s="1"/>
  <c r="J48" i="6"/>
  <c r="J251" i="6"/>
  <c r="G27" i="21"/>
  <c r="G13" i="22" s="1"/>
  <c r="F34" i="4"/>
  <c r="J282" i="6"/>
  <c r="J155" i="6"/>
  <c r="J163" i="6"/>
  <c r="G100" i="17"/>
  <c r="J100" i="17" s="1"/>
  <c r="G94" i="17"/>
  <c r="J94" i="17" s="1"/>
  <c r="O65" i="5"/>
  <c r="G73" i="17"/>
  <c r="J73" i="17" s="1"/>
  <c r="J67" i="17" s="1"/>
  <c r="I26" i="4"/>
  <c r="I8" i="4"/>
  <c r="I19" i="4"/>
  <c r="M48" i="21" l="1"/>
  <c r="D19" i="32" s="1"/>
  <c r="M14" i="21"/>
  <c r="D10" i="32" s="1"/>
  <c r="S16" i="21"/>
  <c r="G51" i="22"/>
  <c r="G36" i="21"/>
  <c r="M36" i="21" s="1"/>
  <c r="K56" i="5"/>
  <c r="O56" i="5" s="1"/>
  <c r="O55" i="5" s="1"/>
  <c r="F36" i="4"/>
  <c r="H339" i="6"/>
  <c r="M28" i="21"/>
  <c r="G12" i="21"/>
  <c r="G21" i="22" s="1"/>
  <c r="M27" i="21"/>
  <c r="J327" i="6"/>
  <c r="G40" i="21"/>
  <c r="I34" i="4"/>
  <c r="G101" i="17"/>
  <c r="J101" i="17" s="1"/>
  <c r="J91" i="6"/>
  <c r="J46" i="6"/>
  <c r="J6" i="6" s="1"/>
  <c r="K58" i="5"/>
  <c r="O58" i="5" s="1"/>
  <c r="O57" i="5" s="1"/>
  <c r="G102" i="17"/>
  <c r="J102" i="17" s="1"/>
  <c r="I27" i="4"/>
  <c r="G19" i="22" l="1"/>
  <c r="F31" i="4"/>
  <c r="I31" i="4" s="1"/>
  <c r="H306" i="6"/>
  <c r="J306" i="6" s="1"/>
  <c r="F32" i="4"/>
  <c r="G35" i="21" s="1"/>
  <c r="H314" i="6"/>
  <c r="J314" i="6" s="1"/>
  <c r="M12" i="21"/>
  <c r="U12" i="21" s="1"/>
  <c r="M40" i="21"/>
  <c r="G38" i="22"/>
  <c r="J339" i="6"/>
  <c r="G42" i="21"/>
  <c r="I36" i="4"/>
  <c r="G95" i="17"/>
  <c r="J95" i="17" s="1"/>
  <c r="G97" i="17"/>
  <c r="J97" i="17" s="1"/>
  <c r="G98" i="17"/>
  <c r="J98" i="17" s="1"/>
  <c r="I18" i="4"/>
  <c r="I15" i="4"/>
  <c r="I21" i="4"/>
  <c r="I20" i="4"/>
  <c r="G34" i="21" l="1"/>
  <c r="M34" i="21" s="1"/>
  <c r="Q27" i="22" s="1"/>
  <c r="I32" i="4"/>
  <c r="M4" i="21"/>
  <c r="D7" i="32" s="1"/>
  <c r="S6" i="21"/>
  <c r="J165" i="6"/>
  <c r="J90" i="6" s="1"/>
  <c r="H441" i="6" s="1"/>
  <c r="M35" i="21"/>
  <c r="Q26" i="22" s="1"/>
  <c r="G26" i="22"/>
  <c r="M42" i="21"/>
  <c r="G6" i="22"/>
  <c r="J90" i="17"/>
  <c r="I12" i="4"/>
  <c r="C10" i="26" s="1"/>
  <c r="I22" i="4"/>
  <c r="G27" i="22" l="1"/>
  <c r="Q6" i="22"/>
  <c r="S22" i="21"/>
  <c r="M20" i="21"/>
  <c r="J81" i="17"/>
  <c r="J65" i="17"/>
  <c r="I28" i="4"/>
  <c r="I24" i="4" s="1"/>
  <c r="K160" i="6" s="1"/>
  <c r="M61" i="21" l="1"/>
  <c r="D13" i="32"/>
  <c r="I23" i="4"/>
  <c r="I17" i="4" s="1"/>
  <c r="I16" i="4" s="1"/>
  <c r="C13" i="26" s="1"/>
  <c r="I10" i="4" l="1"/>
  <c r="I7" i="4" l="1"/>
  <c r="H50" i="4" l="1"/>
  <c r="J31" i="4" s="1"/>
  <c r="C7" i="26"/>
  <c r="J34" i="4" l="1"/>
  <c r="J41" i="4"/>
  <c r="J10" i="4"/>
  <c r="J11" i="4"/>
  <c r="J8" i="4"/>
  <c r="J35" i="4"/>
  <c r="J33" i="4"/>
  <c r="J44" i="4"/>
  <c r="J48" i="4"/>
  <c r="J47" i="4" s="1"/>
  <c r="J29" i="4"/>
  <c r="J22" i="4"/>
  <c r="J18" i="4"/>
  <c r="J21" i="4"/>
  <c r="J46" i="4"/>
  <c r="J45" i="4" s="1"/>
  <c r="J26" i="4"/>
  <c r="J9" i="4"/>
  <c r="J38" i="4"/>
  <c r="J15" i="4"/>
  <c r="J25" i="4"/>
  <c r="J39" i="4"/>
  <c r="J32" i="4"/>
  <c r="J19" i="4"/>
  <c r="J42" i="4"/>
  <c r="J20" i="4"/>
  <c r="J27" i="4"/>
  <c r="J43" i="4"/>
  <c r="J28" i="4"/>
  <c r="J30" i="4"/>
  <c r="J23" i="4"/>
  <c r="J36" i="4"/>
  <c r="J13" i="4"/>
  <c r="J14" i="4"/>
  <c r="C28" i="26"/>
  <c r="D7" i="26" s="1"/>
  <c r="J37" i="4"/>
  <c r="F97" i="3"/>
  <c r="O97" i="3" s="1"/>
  <c r="F98" i="3"/>
  <c r="O98" i="3" s="1"/>
  <c r="F96" i="3"/>
  <c r="F95" i="3"/>
  <c r="O95" i="3" s="1"/>
  <c r="F350" i="2"/>
  <c r="J40" i="4" l="1"/>
  <c r="J7" i="4"/>
  <c r="J17" i="4"/>
  <c r="J12" i="4"/>
  <c r="J24" i="4"/>
  <c r="F9" i="26"/>
  <c r="F12" i="26" s="1"/>
  <c r="F15" i="26" s="1"/>
  <c r="F18" i="26" s="1"/>
  <c r="F21" i="26" s="1"/>
  <c r="F24" i="26" s="1"/>
  <c r="F27" i="26" s="1"/>
  <c r="F29" i="26" s="1"/>
  <c r="J29" i="26" s="1"/>
  <c r="J30" i="26" s="1"/>
  <c r="E7" i="26"/>
  <c r="D25" i="26"/>
  <c r="D22" i="26"/>
  <c r="D16" i="26"/>
  <c r="D19" i="26"/>
  <c r="D10" i="26"/>
  <c r="D13" i="26"/>
  <c r="O31" i="3"/>
  <c r="O30" i="3" s="1"/>
  <c r="F18" i="1" s="1"/>
  <c r="H118" i="2"/>
  <c r="F16" i="1"/>
  <c r="F16" i="21" s="1"/>
  <c r="O9" i="3"/>
  <c r="I52" i="3"/>
  <c r="O52" i="3" s="1"/>
  <c r="I37" i="3"/>
  <c r="O37" i="3" s="1"/>
  <c r="O36" i="3" s="1"/>
  <c r="O49" i="3"/>
  <c r="O48" i="3"/>
  <c r="I55" i="3"/>
  <c r="O55" i="3" s="1"/>
  <c r="O54" i="3"/>
  <c r="I51" i="3"/>
  <c r="O51" i="3" s="1"/>
  <c r="I89" i="3"/>
  <c r="O86" i="3"/>
  <c r="O87" i="3"/>
  <c r="O81" i="3"/>
  <c r="O80" i="3"/>
  <c r="O72" i="3"/>
  <c r="O76" i="3"/>
  <c r="O75" i="3"/>
  <c r="O21" i="3"/>
  <c r="I20" i="3"/>
  <c r="O20" i="3" s="1"/>
  <c r="O15" i="3"/>
  <c r="O14" i="3" s="1"/>
  <c r="F22" i="3"/>
  <c r="O22" i="3" s="1"/>
  <c r="O13" i="3"/>
  <c r="O12" i="3" s="1"/>
  <c r="O96" i="3"/>
  <c r="O94" i="3" s="1"/>
  <c r="O82" i="3"/>
  <c r="O79" i="3"/>
  <c r="O78" i="3"/>
  <c r="O73" i="3"/>
  <c r="O74" i="3"/>
  <c r="N61" i="3"/>
  <c r="O11" i="3"/>
  <c r="O10" i="3" s="1"/>
  <c r="F9" i="1" s="1"/>
  <c r="I19" i="3"/>
  <c r="O19" i="3" s="1"/>
  <c r="O85" i="3"/>
  <c r="J16" i="4" l="1"/>
  <c r="F28" i="22"/>
  <c r="J28" i="22" s="1"/>
  <c r="J16" i="21"/>
  <c r="K28" i="22" s="1"/>
  <c r="O77" i="3"/>
  <c r="J15" i="26"/>
  <c r="J18" i="26" s="1"/>
  <c r="J21" i="26" s="1"/>
  <c r="J24" i="26" s="1"/>
  <c r="J27" i="26" s="1"/>
  <c r="D28" i="26"/>
  <c r="E10" i="26"/>
  <c r="E13" i="26" s="1"/>
  <c r="E16" i="26" s="1"/>
  <c r="E19" i="26" s="1"/>
  <c r="E22" i="26" s="1"/>
  <c r="E25" i="26" s="1"/>
  <c r="F31" i="26"/>
  <c r="J31" i="26" s="1"/>
  <c r="F30" i="26"/>
  <c r="F32" i="26" s="1"/>
  <c r="J32" i="26" s="1"/>
  <c r="O53" i="3"/>
  <c r="H302" i="2" s="1"/>
  <c r="J302" i="2" s="1"/>
  <c r="F18" i="21"/>
  <c r="J18" i="21" s="1"/>
  <c r="I18" i="1"/>
  <c r="H184" i="2"/>
  <c r="H375" i="2"/>
  <c r="J375" i="2" s="1"/>
  <c r="F40" i="1"/>
  <c r="F47" i="21" s="1"/>
  <c r="J47" i="21" s="1"/>
  <c r="F46" i="1"/>
  <c r="H424" i="2"/>
  <c r="J424" i="2" s="1"/>
  <c r="O50" i="3"/>
  <c r="H271" i="2" s="1"/>
  <c r="J271" i="2" s="1"/>
  <c r="L16" i="21"/>
  <c r="O84" i="3"/>
  <c r="I9" i="1"/>
  <c r="F7" i="21"/>
  <c r="O47" i="3"/>
  <c r="G35" i="17" s="1"/>
  <c r="H149" i="2"/>
  <c r="O18" i="3"/>
  <c r="F11" i="1" s="1"/>
  <c r="F9" i="21" s="1"/>
  <c r="J9" i="21" s="1"/>
  <c r="G13" i="17"/>
  <c r="J13" i="17" s="1"/>
  <c r="O8" i="3"/>
  <c r="O71" i="3"/>
  <c r="G48" i="17" s="1"/>
  <c r="G12" i="17"/>
  <c r="J12" i="17" s="1"/>
  <c r="G59" i="17"/>
  <c r="I57" i="3"/>
  <c r="O57" i="3" s="1"/>
  <c r="F30" i="1" s="1"/>
  <c r="F33" i="21" s="1"/>
  <c r="G21" i="17"/>
  <c r="O17" i="3"/>
  <c r="O16" i="3" s="1"/>
  <c r="F10" i="1" s="1"/>
  <c r="F8" i="21" s="1"/>
  <c r="J8" i="21" s="1"/>
  <c r="G49" i="17"/>
  <c r="F32" i="22" l="1"/>
  <c r="J32" i="22" s="1"/>
  <c r="J7" i="21"/>
  <c r="K32" i="22" s="1"/>
  <c r="R16" i="21"/>
  <c r="P16" i="21"/>
  <c r="N28" i="22" s="1"/>
  <c r="O28" i="22" s="1"/>
  <c r="E13" i="33" s="1"/>
  <c r="F5" i="22"/>
  <c r="J5" i="22" s="1"/>
  <c r="F4" i="23" s="1"/>
  <c r="I4" i="23" s="1"/>
  <c r="J33" i="21"/>
  <c r="F31" i="22"/>
  <c r="J31" i="22" s="1"/>
  <c r="L9" i="21"/>
  <c r="P9" i="21" s="1"/>
  <c r="N31" i="22" s="1"/>
  <c r="L8" i="21"/>
  <c r="P8" i="21" s="1"/>
  <c r="F53" i="22"/>
  <c r="J53" i="22" s="1"/>
  <c r="G14" i="17"/>
  <c r="J14" i="17" s="1"/>
  <c r="W16" i="21"/>
  <c r="AC16" i="21" s="1"/>
  <c r="L18" i="21"/>
  <c r="P18" i="21" s="1"/>
  <c r="N20" i="22" s="1"/>
  <c r="K20" i="22"/>
  <c r="L20" i="22"/>
  <c r="F20" i="22"/>
  <c r="J20" i="22" s="1"/>
  <c r="F8" i="22"/>
  <c r="F13" i="1"/>
  <c r="F11" i="21" s="1"/>
  <c r="J11" i="21" s="1"/>
  <c r="H99" i="2"/>
  <c r="J99" i="2" s="1"/>
  <c r="L33" i="21"/>
  <c r="L47" i="21"/>
  <c r="F47" i="22"/>
  <c r="J47" i="22" s="1"/>
  <c r="L28" i="22"/>
  <c r="H391" i="2"/>
  <c r="J391" i="2" s="1"/>
  <c r="H18" i="2"/>
  <c r="F8" i="1"/>
  <c r="F29" i="1"/>
  <c r="I46" i="1"/>
  <c r="I45" i="1" s="1"/>
  <c r="C22" i="31" s="1"/>
  <c r="F55" i="21"/>
  <c r="J55" i="21" s="1"/>
  <c r="G15" i="17"/>
  <c r="J15" i="17" s="1"/>
  <c r="F12" i="1"/>
  <c r="F10" i="21" s="1"/>
  <c r="J10" i="21" s="1"/>
  <c r="H248" i="2"/>
  <c r="F28" i="1"/>
  <c r="F31" i="21" s="1"/>
  <c r="J31" i="21" s="1"/>
  <c r="L7" i="21"/>
  <c r="P7" i="21" s="1"/>
  <c r="N32" i="22" s="1"/>
  <c r="H363" i="2"/>
  <c r="J363" i="2" s="1"/>
  <c r="F39" i="1"/>
  <c r="F46" i="21" s="1"/>
  <c r="J46" i="21" s="1"/>
  <c r="O56" i="3"/>
  <c r="G11" i="17"/>
  <c r="J11" i="17" s="1"/>
  <c r="G37" i="17"/>
  <c r="J37" i="17" s="1"/>
  <c r="I69" i="3"/>
  <c r="O69" i="3" s="1"/>
  <c r="G16" i="17"/>
  <c r="J16" i="17" s="1"/>
  <c r="O41" i="3"/>
  <c r="G28" i="17"/>
  <c r="J28" i="17" s="1"/>
  <c r="K53" i="22"/>
  <c r="N53" i="22" s="1"/>
  <c r="I10" i="1"/>
  <c r="H48" i="2"/>
  <c r="J48" i="2" s="1"/>
  <c r="G36" i="17"/>
  <c r="J36" i="17" s="1"/>
  <c r="H29" i="2"/>
  <c r="J29" i="2" s="1"/>
  <c r="J59" i="17"/>
  <c r="J57" i="17" s="1"/>
  <c r="J35" i="17"/>
  <c r="J49" i="17"/>
  <c r="J48" i="17"/>
  <c r="J21" i="17"/>
  <c r="I63" i="3"/>
  <c r="I39" i="3"/>
  <c r="O39" i="3" s="1"/>
  <c r="O38" i="3" s="1"/>
  <c r="J24" i="3"/>
  <c r="O24" i="3" s="1"/>
  <c r="O89" i="3"/>
  <c r="I90" i="3"/>
  <c r="O90" i="3" s="1"/>
  <c r="P47" i="22" l="1"/>
  <c r="T47" i="22" s="1"/>
  <c r="P47" i="21"/>
  <c r="N47" i="22" s="1"/>
  <c r="P5" i="22"/>
  <c r="T5" i="22" s="1"/>
  <c r="P33" i="21"/>
  <c r="N5" i="22" s="1"/>
  <c r="J8" i="22"/>
  <c r="F10" i="23" s="1"/>
  <c r="L11" i="21"/>
  <c r="P11" i="21" s="1"/>
  <c r="N16" i="22" s="1"/>
  <c r="K16" i="22"/>
  <c r="L16" i="22"/>
  <c r="F16" i="22"/>
  <c r="J16" i="22" s="1"/>
  <c r="H4" i="23"/>
  <c r="K8" i="22"/>
  <c r="I13" i="1"/>
  <c r="L31" i="21"/>
  <c r="P31" i="21" s="1"/>
  <c r="N36" i="22" s="1"/>
  <c r="F36" i="22"/>
  <c r="J36" i="22" s="1"/>
  <c r="L10" i="21"/>
  <c r="P10" i="21" s="1"/>
  <c r="N33" i="22" s="1"/>
  <c r="F33" i="22"/>
  <c r="J33" i="22" s="1"/>
  <c r="L55" i="21"/>
  <c r="F48" i="22"/>
  <c r="J48" i="22" s="1"/>
  <c r="L46" i="21"/>
  <c r="F45" i="22"/>
  <c r="L32" i="22"/>
  <c r="O53" i="22"/>
  <c r="E24" i="33" s="1"/>
  <c r="L53" i="22"/>
  <c r="F32" i="21"/>
  <c r="J32" i="21" s="1"/>
  <c r="I29" i="1"/>
  <c r="L14" i="21"/>
  <c r="C10" i="32" s="1"/>
  <c r="G10" i="32" s="1"/>
  <c r="O88" i="3"/>
  <c r="I8" i="1"/>
  <c r="F6" i="21"/>
  <c r="H310" i="2"/>
  <c r="J310" i="2" s="1"/>
  <c r="K14" i="2"/>
  <c r="J18" i="2"/>
  <c r="H190" i="2"/>
  <c r="I12" i="1"/>
  <c r="O40" i="3"/>
  <c r="J43" i="3" s="1"/>
  <c r="O43" i="3" s="1"/>
  <c r="O23" i="3"/>
  <c r="F14" i="1" s="1"/>
  <c r="O68" i="3"/>
  <c r="I67" i="3"/>
  <c r="O67" i="3" s="1"/>
  <c r="I65" i="3"/>
  <c r="O65" i="3" s="1"/>
  <c r="O64" i="3" s="1"/>
  <c r="J411" i="2"/>
  <c r="J118" i="2"/>
  <c r="I40" i="1"/>
  <c r="K31" i="22"/>
  <c r="I11" i="1"/>
  <c r="I16" i="1"/>
  <c r="K5" i="22"/>
  <c r="K47" i="22"/>
  <c r="I21" i="1"/>
  <c r="K48" i="22"/>
  <c r="K36" i="22"/>
  <c r="I28" i="1"/>
  <c r="J248" i="2"/>
  <c r="H89" i="2"/>
  <c r="J89" i="2" s="1"/>
  <c r="O63" i="3"/>
  <c r="I39" i="1"/>
  <c r="J46" i="17"/>
  <c r="J164" i="2"/>
  <c r="H58" i="2"/>
  <c r="J58" i="2" s="1"/>
  <c r="I30" i="1"/>
  <c r="J184" i="2"/>
  <c r="I10" i="23" l="1"/>
  <c r="H10" i="23"/>
  <c r="R46" i="21"/>
  <c r="P46" i="21"/>
  <c r="N45" i="22" s="1"/>
  <c r="F52" i="22"/>
  <c r="J52" i="22" s="1"/>
  <c r="J6" i="21"/>
  <c r="K52" i="22" s="1"/>
  <c r="R55" i="21"/>
  <c r="P55" i="21"/>
  <c r="N48" i="22" s="1"/>
  <c r="O48" i="22" s="1"/>
  <c r="E14" i="33" s="1"/>
  <c r="J45" i="22"/>
  <c r="F13" i="23" s="1"/>
  <c r="O7" i="3"/>
  <c r="G53" i="17"/>
  <c r="J53" i="17" s="1"/>
  <c r="F42" i="1"/>
  <c r="F22" i="1"/>
  <c r="G29" i="17"/>
  <c r="J29" i="17" s="1"/>
  <c r="L31" i="22"/>
  <c r="L8" i="22"/>
  <c r="I38" i="1"/>
  <c r="C16" i="31" s="1"/>
  <c r="L54" i="21"/>
  <c r="C22" i="32" s="1"/>
  <c r="G22" i="32" s="1"/>
  <c r="P48" i="22"/>
  <c r="T48" i="22" s="1"/>
  <c r="L32" i="21"/>
  <c r="P32" i="21" s="1"/>
  <c r="N39" i="22" s="1"/>
  <c r="F39" i="22"/>
  <c r="J39" i="22" s="1"/>
  <c r="G17" i="17"/>
  <c r="J17" i="17" s="1"/>
  <c r="J9" i="17" s="1"/>
  <c r="L45" i="21"/>
  <c r="C16" i="32" s="1"/>
  <c r="G16" i="32" s="1"/>
  <c r="P45" i="22"/>
  <c r="T45" i="22" s="1"/>
  <c r="U53" i="22"/>
  <c r="L36" i="22"/>
  <c r="O47" i="22"/>
  <c r="E11" i="33" s="1"/>
  <c r="L47" i="22"/>
  <c r="L48" i="22"/>
  <c r="L5" i="22"/>
  <c r="K39" i="22"/>
  <c r="F37" i="1"/>
  <c r="F42" i="21" s="1"/>
  <c r="J42" i="21" s="1"/>
  <c r="H351" i="2"/>
  <c r="J351" i="2" s="1"/>
  <c r="G44" i="17"/>
  <c r="J44" i="17" s="1"/>
  <c r="I14" i="1"/>
  <c r="I7" i="1" s="1"/>
  <c r="C7" i="31" s="1"/>
  <c r="F12" i="21"/>
  <c r="J12" i="21" s="1"/>
  <c r="H206" i="2"/>
  <c r="J206" i="2" s="1"/>
  <c r="L6" i="21"/>
  <c r="P6" i="21" s="1"/>
  <c r="N52" i="22" s="1"/>
  <c r="H401" i="2"/>
  <c r="J401" i="2" s="1"/>
  <c r="F43" i="1"/>
  <c r="F52" i="21" s="1"/>
  <c r="H339" i="2"/>
  <c r="F35" i="1" s="1"/>
  <c r="I35" i="1" s="1"/>
  <c r="G23" i="17"/>
  <c r="J23" i="17" s="1"/>
  <c r="O25" i="3"/>
  <c r="O66" i="3"/>
  <c r="G43" i="17" s="1"/>
  <c r="J43" i="17" s="1"/>
  <c r="J45" i="3"/>
  <c r="O45" i="3" s="1"/>
  <c r="O42" i="3"/>
  <c r="O62" i="3"/>
  <c r="G42" i="17"/>
  <c r="J42" i="17" s="1"/>
  <c r="K59" i="3"/>
  <c r="G22" i="17"/>
  <c r="J22" i="17" s="1"/>
  <c r="J149" i="2"/>
  <c r="J353" i="2"/>
  <c r="K61" i="3"/>
  <c r="O61" i="3" s="1"/>
  <c r="J190" i="2"/>
  <c r="K33" i="22"/>
  <c r="O30" i="22" s="1"/>
  <c r="K45" i="22"/>
  <c r="H107" i="2"/>
  <c r="J107" i="2" s="1"/>
  <c r="J6" i="2" s="1"/>
  <c r="J92" i="3"/>
  <c r="O92" i="3" s="1"/>
  <c r="I13" i="23" l="1"/>
  <c r="H13" i="23"/>
  <c r="F15" i="22"/>
  <c r="J15" i="22" s="1"/>
  <c r="L15" i="22" s="1"/>
  <c r="J52" i="21"/>
  <c r="F40" i="21"/>
  <c r="J40" i="21" s="1"/>
  <c r="O91" i="3"/>
  <c r="G54" i="17"/>
  <c r="J54" i="17" s="1"/>
  <c r="F23" i="21"/>
  <c r="J23" i="21" s="1"/>
  <c r="I22" i="1"/>
  <c r="G30" i="17"/>
  <c r="J30" i="17" s="1"/>
  <c r="F23" i="1"/>
  <c r="F49" i="21"/>
  <c r="J49" i="21" s="1"/>
  <c r="K43" i="22" s="1"/>
  <c r="I42" i="1"/>
  <c r="G41" i="17"/>
  <c r="J41" i="17" s="1"/>
  <c r="K21" i="22"/>
  <c r="L21" i="22"/>
  <c r="F21" i="22"/>
  <c r="J21" i="22" s="1"/>
  <c r="I37" i="1"/>
  <c r="L42" i="21"/>
  <c r="F6" i="22"/>
  <c r="L12" i="21"/>
  <c r="L40" i="21"/>
  <c r="P40" i="21" s="1"/>
  <c r="N38" i="22" s="1"/>
  <c r="F38" i="22"/>
  <c r="J38" i="22" s="1"/>
  <c r="U5" i="22"/>
  <c r="U48" i="22"/>
  <c r="U47" i="22"/>
  <c r="L33" i="22"/>
  <c r="O52" i="22"/>
  <c r="E23" i="33" s="1"/>
  <c r="L52" i="22"/>
  <c r="O45" i="22"/>
  <c r="E8" i="33" s="1"/>
  <c r="L45" i="22"/>
  <c r="L39" i="22"/>
  <c r="L52" i="21"/>
  <c r="P52" i="21" s="1"/>
  <c r="N15" i="22" s="1"/>
  <c r="K6" i="22"/>
  <c r="H216" i="2"/>
  <c r="J216" i="2" s="1"/>
  <c r="F25" i="1"/>
  <c r="F36" i="1"/>
  <c r="F41" i="21" s="1"/>
  <c r="J41" i="21" s="1"/>
  <c r="H345" i="2"/>
  <c r="J345" i="2" s="1"/>
  <c r="F34" i="1"/>
  <c r="F39" i="21" s="1"/>
  <c r="J39" i="21" s="1"/>
  <c r="H333" i="2"/>
  <c r="J333" i="2" s="1"/>
  <c r="H409" i="2"/>
  <c r="J409" i="2" s="1"/>
  <c r="F44" i="1"/>
  <c r="F53" i="21" s="1"/>
  <c r="J53" i="21" s="1"/>
  <c r="P54" i="21"/>
  <c r="D9" i="24" s="1"/>
  <c r="O60" i="3"/>
  <c r="G40" i="17" s="1"/>
  <c r="J40" i="17" s="1"/>
  <c r="O44" i="3"/>
  <c r="G32" i="17"/>
  <c r="J32" i="17" s="1"/>
  <c r="O59" i="3"/>
  <c r="J141" i="2"/>
  <c r="J109" i="2" s="1"/>
  <c r="J339" i="2"/>
  <c r="J19" i="17"/>
  <c r="I17" i="1"/>
  <c r="I15" i="1" s="1"/>
  <c r="C10" i="31" s="1"/>
  <c r="G55" i="17"/>
  <c r="I43" i="1"/>
  <c r="I3" i="23" l="1"/>
  <c r="J6" i="22"/>
  <c r="L6" i="22" s="1"/>
  <c r="T12" i="21"/>
  <c r="P12" i="21"/>
  <c r="P6" i="22"/>
  <c r="T6" i="22" s="1"/>
  <c r="P42" i="21"/>
  <c r="N6" i="22" s="1"/>
  <c r="O4" i="22" s="1"/>
  <c r="F43" i="22"/>
  <c r="J43" i="22" s="1"/>
  <c r="L49" i="21"/>
  <c r="P49" i="21" s="1"/>
  <c r="N43" i="22" s="1"/>
  <c r="O40" i="22" s="1"/>
  <c r="F24" i="21"/>
  <c r="J24" i="21" s="1"/>
  <c r="I23" i="1"/>
  <c r="L23" i="21"/>
  <c r="P23" i="21" s="1"/>
  <c r="N9" i="22" s="1"/>
  <c r="K9" i="22"/>
  <c r="F9" i="22"/>
  <c r="G33" i="17"/>
  <c r="J33" i="17" s="1"/>
  <c r="G31" i="17"/>
  <c r="J31" i="17" s="1"/>
  <c r="F24" i="1"/>
  <c r="G38" i="17"/>
  <c r="J38" i="17" s="1"/>
  <c r="F31" i="1"/>
  <c r="F3" i="23"/>
  <c r="R6" i="21"/>
  <c r="H3" i="23"/>
  <c r="K22" i="22"/>
  <c r="L22" i="22"/>
  <c r="F22" i="22"/>
  <c r="J22" i="22" s="1"/>
  <c r="L4" i="21"/>
  <c r="C7" i="32" s="1"/>
  <c r="G7" i="32" s="1"/>
  <c r="L41" i="21"/>
  <c r="P41" i="21" s="1"/>
  <c r="N35" i="22" s="1"/>
  <c r="F35" i="22"/>
  <c r="J35" i="22" s="1"/>
  <c r="L39" i="21"/>
  <c r="F51" i="22"/>
  <c r="J51" i="22" s="1"/>
  <c r="U52" i="22"/>
  <c r="U45" i="22"/>
  <c r="I34" i="1"/>
  <c r="K51" i="22"/>
  <c r="F33" i="1"/>
  <c r="F35" i="21" s="1"/>
  <c r="J35" i="21" s="1"/>
  <c r="H326" i="2"/>
  <c r="J326" i="2" s="1"/>
  <c r="L53" i="21"/>
  <c r="P53" i="21" s="1"/>
  <c r="N22" i="22" s="1"/>
  <c r="K35" i="22"/>
  <c r="F27" i="21"/>
  <c r="I25" i="1"/>
  <c r="F26" i="1"/>
  <c r="F28" i="21" s="1"/>
  <c r="J28" i="21" s="1"/>
  <c r="H224" i="2"/>
  <c r="I36" i="1"/>
  <c r="P45" i="21"/>
  <c r="D7" i="24" s="1"/>
  <c r="O58" i="3"/>
  <c r="O33" i="3"/>
  <c r="R12" i="21"/>
  <c r="S12" i="21" s="1"/>
  <c r="K38" i="22"/>
  <c r="O37" i="22" s="1"/>
  <c r="J55" i="17"/>
  <c r="O100" i="3"/>
  <c r="P51" i="22" l="1"/>
  <c r="T51" i="22" s="1"/>
  <c r="P39" i="21"/>
  <c r="N51" i="22" s="1"/>
  <c r="O34" i="22"/>
  <c r="J9" i="22"/>
  <c r="F11" i="23" s="1"/>
  <c r="F13" i="22"/>
  <c r="J13" i="22" s="1"/>
  <c r="J27" i="21"/>
  <c r="R14" i="21" s="1"/>
  <c r="S14" i="21" s="1"/>
  <c r="J27" i="17"/>
  <c r="F26" i="21"/>
  <c r="J26" i="21" s="1"/>
  <c r="I24" i="1"/>
  <c r="L9" i="22"/>
  <c r="F11" i="22"/>
  <c r="J11" i="22" s="1"/>
  <c r="L24" i="21"/>
  <c r="P24" i="21" s="1"/>
  <c r="N11" i="22" s="1"/>
  <c r="K11" i="22"/>
  <c r="R49" i="21"/>
  <c r="F8" i="23"/>
  <c r="F36" i="21"/>
  <c r="J36" i="21" s="1"/>
  <c r="I31" i="1"/>
  <c r="W6" i="21"/>
  <c r="AC6" i="21" s="1"/>
  <c r="AC7" i="21" s="1"/>
  <c r="AC17" i="21" s="1"/>
  <c r="L13" i="22"/>
  <c r="K18" i="22"/>
  <c r="L18" i="22"/>
  <c r="F18" i="22"/>
  <c r="J18" i="22" s="1"/>
  <c r="N21" i="22"/>
  <c r="L35" i="21"/>
  <c r="F26" i="22"/>
  <c r="J26" i="22" s="1"/>
  <c r="U6" i="22"/>
  <c r="L35" i="22"/>
  <c r="E18" i="33"/>
  <c r="L38" i="22"/>
  <c r="O51" i="22"/>
  <c r="E22" i="33" s="1"/>
  <c r="L51" i="22"/>
  <c r="L27" i="21"/>
  <c r="P27" i="21" s="1"/>
  <c r="N13" i="22" s="1"/>
  <c r="O12" i="22" s="1"/>
  <c r="E15" i="33" s="1"/>
  <c r="L28" i="21"/>
  <c r="P28" i="21" s="1"/>
  <c r="N18" i="22" s="1"/>
  <c r="I33" i="1"/>
  <c r="O99" i="3"/>
  <c r="L48" i="21"/>
  <c r="C19" i="32" s="1"/>
  <c r="G19" i="32" s="1"/>
  <c r="K26" i="22"/>
  <c r="G39" i="17"/>
  <c r="J39" i="17" s="1"/>
  <c r="J34" i="17" s="1"/>
  <c r="F32" i="1"/>
  <c r="H318" i="2"/>
  <c r="J318" i="2" s="1"/>
  <c r="J226" i="2" s="1"/>
  <c r="P4" i="21"/>
  <c r="D4" i="24" s="1"/>
  <c r="I26" i="1"/>
  <c r="J224" i="2"/>
  <c r="J152" i="2" s="1"/>
  <c r="G63" i="17"/>
  <c r="J63" i="17" s="1"/>
  <c r="I44" i="1"/>
  <c r="I41" i="1" s="1"/>
  <c r="P14" i="21"/>
  <c r="J51" i="17"/>
  <c r="O11" i="22" l="1"/>
  <c r="E12" i="33" s="1"/>
  <c r="H11" i="23"/>
  <c r="I11" i="23"/>
  <c r="J25" i="17"/>
  <c r="P26" i="22"/>
  <c r="T26" i="22" s="1"/>
  <c r="P35" i="21"/>
  <c r="N26" i="22" s="1"/>
  <c r="I20" i="1"/>
  <c r="J151" i="2"/>
  <c r="P48" i="21"/>
  <c r="D8" i="24" s="1"/>
  <c r="L11" i="22"/>
  <c r="F19" i="22"/>
  <c r="J19" i="22" s="1"/>
  <c r="L36" i="21"/>
  <c r="P36" i="21" s="1"/>
  <c r="N19" i="22" s="1"/>
  <c r="O17" i="22" s="1"/>
  <c r="R13" i="21"/>
  <c r="S13" i="21" s="1"/>
  <c r="S61" i="21" s="1"/>
  <c r="Y57" i="21" s="1"/>
  <c r="I8" i="23"/>
  <c r="I5" i="23" s="1"/>
  <c r="H8" i="23"/>
  <c r="H5" i="23" s="1"/>
  <c r="F5" i="23"/>
  <c r="F10" i="22"/>
  <c r="J10" i="22" s="1"/>
  <c r="L26" i="21"/>
  <c r="P26" i="21" s="1"/>
  <c r="N10" i="22" s="1"/>
  <c r="K10" i="22"/>
  <c r="C19" i="31"/>
  <c r="U51" i="22"/>
  <c r="L26" i="22"/>
  <c r="D5" i="24"/>
  <c r="I48" i="1"/>
  <c r="I47" i="1" s="1"/>
  <c r="C25" i="31" s="1"/>
  <c r="F60" i="21"/>
  <c r="J60" i="21" s="1"/>
  <c r="F34" i="21"/>
  <c r="I32" i="1"/>
  <c r="I27" i="1" s="1"/>
  <c r="J377" i="2"/>
  <c r="J61" i="17"/>
  <c r="I19" i="1" l="1"/>
  <c r="C13" i="31" s="1"/>
  <c r="F27" i="22"/>
  <c r="J27" i="22" s="1"/>
  <c r="J34" i="21"/>
  <c r="K27" i="22" s="1"/>
  <c r="O7" i="22"/>
  <c r="E6" i="33" s="1"/>
  <c r="F12" i="23"/>
  <c r="L10" i="22"/>
  <c r="C28" i="31"/>
  <c r="F9" i="31" s="1"/>
  <c r="F12" i="31" s="1"/>
  <c r="F15" i="31" s="1"/>
  <c r="F18" i="31" s="1"/>
  <c r="F21" i="31" s="1"/>
  <c r="F24" i="31" s="1"/>
  <c r="F27" i="31" s="1"/>
  <c r="Y22" i="21"/>
  <c r="Y16" i="21"/>
  <c r="Y6" i="21"/>
  <c r="Y7" i="21" s="1"/>
  <c r="E10" i="33"/>
  <c r="E3" i="33"/>
  <c r="E17" i="33"/>
  <c r="H50" i="1"/>
  <c r="J8" i="1" s="1"/>
  <c r="K222" i="2"/>
  <c r="L60" i="21"/>
  <c r="F44" i="22"/>
  <c r="J44" i="22" s="1"/>
  <c r="U26" i="22"/>
  <c r="L34" i="21"/>
  <c r="P34" i="21" s="1"/>
  <c r="N27" i="22" s="1"/>
  <c r="K44" i="22"/>
  <c r="J426" i="2"/>
  <c r="H440" i="2" s="1"/>
  <c r="J7" i="17"/>
  <c r="R60" i="21" l="1"/>
  <c r="P60" i="21"/>
  <c r="N44" i="22" s="1"/>
  <c r="Y65" i="21"/>
  <c r="H12" i="23"/>
  <c r="H9" i="23" s="1"/>
  <c r="I12" i="23"/>
  <c r="I9" i="23" s="1"/>
  <c r="F9" i="23"/>
  <c r="J48" i="1"/>
  <c r="J47" i="1" s="1"/>
  <c r="D25" i="31" s="1"/>
  <c r="Y17" i="21"/>
  <c r="Y23" i="21" s="1"/>
  <c r="Y46" i="21" s="1"/>
  <c r="Y49" i="21" s="1"/>
  <c r="Y55" i="21" s="1"/>
  <c r="Y58" i="21" s="1"/>
  <c r="P27" i="22"/>
  <c r="T27" i="22" s="1"/>
  <c r="R22" i="21"/>
  <c r="J15" i="31"/>
  <c r="J18" i="31" s="1"/>
  <c r="J21" i="31" s="1"/>
  <c r="J24" i="31" s="1"/>
  <c r="J27" i="31" s="1"/>
  <c r="F29" i="31"/>
  <c r="L59" i="21"/>
  <c r="C28" i="32" s="1"/>
  <c r="G28" i="32" s="1"/>
  <c r="P44" i="22"/>
  <c r="T44" i="22" s="1"/>
  <c r="O25" i="22"/>
  <c r="E16" i="33" s="1"/>
  <c r="L27" i="22"/>
  <c r="L44" i="22"/>
  <c r="L20" i="21"/>
  <c r="P20" i="21"/>
  <c r="J291" i="17"/>
  <c r="P59" i="21" l="1"/>
  <c r="W22" i="21"/>
  <c r="AC22" i="21" s="1"/>
  <c r="R61" i="21"/>
  <c r="O44" i="22"/>
  <c r="E7" i="33" s="1"/>
  <c r="E5" i="33"/>
  <c r="F31" i="31"/>
  <c r="F30" i="31"/>
  <c r="F32" i="31" s="1"/>
  <c r="J29" i="31"/>
  <c r="J30" i="31" s="1"/>
  <c r="L61" i="21"/>
  <c r="C13" i="32"/>
  <c r="G13" i="32" s="1"/>
  <c r="U27" i="22"/>
  <c r="U44" i="22"/>
  <c r="D6" i="24"/>
  <c r="J17" i="1"/>
  <c r="J31" i="1"/>
  <c r="J23" i="1"/>
  <c r="J22" i="1"/>
  <c r="J33" i="1"/>
  <c r="J14" i="1"/>
  <c r="J10" i="1"/>
  <c r="J34" i="1"/>
  <c r="J9" i="1"/>
  <c r="J39" i="1"/>
  <c r="J44" i="1"/>
  <c r="J30" i="1"/>
  <c r="J16" i="1"/>
  <c r="J40" i="1"/>
  <c r="J28" i="1"/>
  <c r="J13" i="1"/>
  <c r="J35" i="1"/>
  <c r="J21" i="1"/>
  <c r="J12" i="1"/>
  <c r="J24" i="1"/>
  <c r="J42" i="1"/>
  <c r="J46" i="1"/>
  <c r="J45" i="1" s="1"/>
  <c r="D22" i="31" s="1"/>
  <c r="J18" i="1"/>
  <c r="J43" i="1"/>
  <c r="J32" i="1"/>
  <c r="J37" i="1"/>
  <c r="J29" i="1"/>
  <c r="J11" i="1"/>
  <c r="J26" i="1"/>
  <c r="J36" i="1"/>
  <c r="J25" i="1"/>
  <c r="K239" i="17"/>
  <c r="K266" i="17"/>
  <c r="K240" i="17"/>
  <c r="K289" i="17"/>
  <c r="K287" i="17" s="1"/>
  <c r="K85" i="17"/>
  <c r="K167" i="17"/>
  <c r="K95" i="17"/>
  <c r="K154" i="17"/>
  <c r="K196" i="17"/>
  <c r="K268" i="17"/>
  <c r="K122" i="17"/>
  <c r="K120" i="17" s="1"/>
  <c r="K152" i="17"/>
  <c r="K220" i="17"/>
  <c r="K174" i="17"/>
  <c r="K157" i="17"/>
  <c r="K215" i="17"/>
  <c r="K283" i="17"/>
  <c r="K161" i="17"/>
  <c r="K250" i="17"/>
  <c r="K248" i="17" s="1"/>
  <c r="K137" i="17"/>
  <c r="K211" i="17"/>
  <c r="K138" i="17"/>
  <c r="K100" i="17"/>
  <c r="K229" i="17"/>
  <c r="K284" i="17"/>
  <c r="K97" i="17"/>
  <c r="K267" i="17"/>
  <c r="K261" i="17"/>
  <c r="K197" i="17"/>
  <c r="K78" i="17"/>
  <c r="K181" i="17"/>
  <c r="K173" i="17"/>
  <c r="K234" i="17"/>
  <c r="K272" i="17"/>
  <c r="K160" i="17"/>
  <c r="K166" i="17"/>
  <c r="K99" i="17"/>
  <c r="K118" i="17"/>
  <c r="K116" i="17" s="1"/>
  <c r="K235" i="17"/>
  <c r="K274" i="17"/>
  <c r="K241" i="17"/>
  <c r="K73" i="17"/>
  <c r="K88" i="17"/>
  <c r="K107" i="17"/>
  <c r="K144" i="17"/>
  <c r="K87" i="17"/>
  <c r="K159" i="17"/>
  <c r="K258" i="17"/>
  <c r="K131" i="17"/>
  <c r="K195" i="17"/>
  <c r="K199" i="17"/>
  <c r="K176" i="17"/>
  <c r="K93" i="17"/>
  <c r="K185" i="17"/>
  <c r="K183" i="17" s="1"/>
  <c r="K91" i="17"/>
  <c r="K225" i="17"/>
  <c r="K148" i="17"/>
  <c r="K94" i="17"/>
  <c r="K172" i="17"/>
  <c r="K136" i="17"/>
  <c r="K189" i="17"/>
  <c r="K187" i="17" s="1"/>
  <c r="K223" i="17"/>
  <c r="K198" i="17"/>
  <c r="K271" i="17"/>
  <c r="K214" i="17"/>
  <c r="K128" i="17"/>
  <c r="K265" i="17"/>
  <c r="K162" i="17"/>
  <c r="K130" i="17"/>
  <c r="K101" i="17"/>
  <c r="K153" i="17"/>
  <c r="K113" i="17"/>
  <c r="K112" i="17"/>
  <c r="K155" i="17"/>
  <c r="K146" i="17"/>
  <c r="K11" i="17"/>
  <c r="K212" i="17"/>
  <c r="K228" i="17"/>
  <c r="K111" i="17"/>
  <c r="K102" i="17"/>
  <c r="K89" i="17"/>
  <c r="K106" i="17"/>
  <c r="K69" i="17"/>
  <c r="K205" i="17"/>
  <c r="K278" i="17"/>
  <c r="K150" i="17"/>
  <c r="K222" i="17"/>
  <c r="K242" i="17"/>
  <c r="K221" i="17"/>
  <c r="K269" i="17"/>
  <c r="K129" i="17"/>
  <c r="K230" i="17"/>
  <c r="K143" i="17"/>
  <c r="K213" i="17"/>
  <c r="K70" i="17"/>
  <c r="K175" i="17"/>
  <c r="K151" i="17"/>
  <c r="K200" i="17"/>
  <c r="K227" i="17"/>
  <c r="K256" i="17"/>
  <c r="K86" i="17"/>
  <c r="K224" i="17"/>
  <c r="K216" i="17"/>
  <c r="K171" i="17"/>
  <c r="K226" i="17"/>
  <c r="K147" i="17"/>
  <c r="K259" i="17"/>
  <c r="K279" i="17"/>
  <c r="K257" i="17"/>
  <c r="K273" i="17"/>
  <c r="K92" i="17"/>
  <c r="K206" i="17"/>
  <c r="K98" i="17"/>
  <c r="K204" i="17"/>
  <c r="K72" i="17"/>
  <c r="K79" i="17"/>
  <c r="K71" i="17"/>
  <c r="K132" i="17"/>
  <c r="K260" i="17"/>
  <c r="K246" i="17"/>
  <c r="K244" i="17" s="1"/>
  <c r="K96" i="17"/>
  <c r="K270" i="17"/>
  <c r="K285" i="17"/>
  <c r="K158" i="17"/>
  <c r="K84" i="17"/>
  <c r="K156" i="17"/>
  <c r="K145" i="17"/>
  <c r="K77" i="17"/>
  <c r="K114" i="17"/>
  <c r="K12" i="17"/>
  <c r="K13" i="17"/>
  <c r="K15" i="17"/>
  <c r="K14" i="17"/>
  <c r="K29" i="17"/>
  <c r="K35" i="17"/>
  <c r="K31" i="17"/>
  <c r="K21" i="17"/>
  <c r="K49" i="17"/>
  <c r="K36" i="17"/>
  <c r="K53" i="17"/>
  <c r="K38" i="17"/>
  <c r="K59" i="17"/>
  <c r="K57" i="17" s="1"/>
  <c r="K48" i="17"/>
  <c r="K16" i="17"/>
  <c r="K37" i="17"/>
  <c r="K28" i="17"/>
  <c r="K23" i="17"/>
  <c r="K42" i="17"/>
  <c r="K43" i="17"/>
  <c r="K17" i="17"/>
  <c r="K30" i="17"/>
  <c r="K44" i="17"/>
  <c r="K33" i="17"/>
  <c r="K40" i="17"/>
  <c r="K41" i="17"/>
  <c r="K32" i="17"/>
  <c r="K54" i="17"/>
  <c r="K22" i="17"/>
  <c r="K39" i="17"/>
  <c r="K55" i="17"/>
  <c r="K63" i="17"/>
  <c r="K61" i="17" s="1"/>
  <c r="E4" i="33" l="1"/>
  <c r="R62" i="21"/>
  <c r="S62" i="21" s="1"/>
  <c r="T61" i="21" s="1"/>
  <c r="U61" i="21" s="1"/>
  <c r="V61" i="21" s="1"/>
  <c r="X57" i="21"/>
  <c r="X16" i="21"/>
  <c r="X6" i="21"/>
  <c r="X7" i="21" s="1"/>
  <c r="X22" i="21"/>
  <c r="AC23" i="21"/>
  <c r="AC46" i="21" s="1"/>
  <c r="AC49" i="21" s="1"/>
  <c r="AC55" i="21" s="1"/>
  <c r="AC58" i="21" s="1"/>
  <c r="AC65" i="21"/>
  <c r="J32" i="31"/>
  <c r="J31" i="31"/>
  <c r="J15" i="1"/>
  <c r="D10" i="31" s="1"/>
  <c r="J20" i="1"/>
  <c r="J38" i="1"/>
  <c r="D16" i="31" s="1"/>
  <c r="J7" i="1"/>
  <c r="D7" i="31" s="1"/>
  <c r="J27" i="1"/>
  <c r="J41" i="1"/>
  <c r="D19" i="31" s="1"/>
  <c r="K75" i="17"/>
  <c r="K46" i="17"/>
  <c r="K104" i="17"/>
  <c r="K19" i="17"/>
  <c r="K232" i="17"/>
  <c r="K51" i="17"/>
  <c r="K67" i="17"/>
  <c r="K164" i="17"/>
  <c r="K202" i="17"/>
  <c r="K134" i="17"/>
  <c r="K281" i="17"/>
  <c r="K276" i="17"/>
  <c r="K142" i="17"/>
  <c r="K109" i="17"/>
  <c r="K263" i="17"/>
  <c r="K90" i="17"/>
  <c r="K169" i="17"/>
  <c r="K34" i="17"/>
  <c r="K27" i="17"/>
  <c r="K149" i="17"/>
  <c r="K83" i="17"/>
  <c r="K126" i="17"/>
  <c r="K254" i="17"/>
  <c r="K193" i="17"/>
  <c r="K210" i="17"/>
  <c r="K9" i="17"/>
  <c r="K218" i="17"/>
  <c r="K237" i="17"/>
  <c r="X17" i="21" l="1"/>
  <c r="X23" i="21" s="1"/>
  <c r="X46" i="21" s="1"/>
  <c r="X49" i="21" s="1"/>
  <c r="X55" i="21" s="1"/>
  <c r="X58" i="21" s="1"/>
  <c r="X65" i="21"/>
  <c r="E7" i="31"/>
  <c r="E10" i="31" s="1"/>
  <c r="J19" i="1"/>
  <c r="D13" i="31" s="1"/>
  <c r="D28" i="31" s="1"/>
  <c r="K81" i="17"/>
  <c r="K25" i="17"/>
  <c r="K124" i="17"/>
  <c r="K252" i="17"/>
  <c r="K191" i="17"/>
  <c r="K65" i="17"/>
  <c r="K208" i="17"/>
  <c r="K7" i="17"/>
  <c r="K140" i="17"/>
  <c r="E13" i="31" l="1"/>
  <c r="E16" i="31" s="1"/>
  <c r="E19" i="31" s="1"/>
  <c r="E22" i="31" s="1"/>
  <c r="E25" i="31" s="1"/>
  <c r="K291" i="17"/>
  <c r="F50" i="7"/>
  <c r="I50" i="7" s="1"/>
  <c r="I49" i="7" s="1"/>
  <c r="G180" i="17"/>
  <c r="J180" i="17" s="1"/>
  <c r="J464" i="9"/>
  <c r="J456" i="9" s="1"/>
  <c r="H501" i="9" s="1"/>
  <c r="H57" i="21" l="1"/>
  <c r="N57" i="21" s="1"/>
  <c r="N56" i="21" s="1"/>
  <c r="E25" i="32" s="1"/>
  <c r="H57" i="7"/>
  <c r="J28" i="7" s="1"/>
  <c r="C25" i="27"/>
  <c r="K180" i="17"/>
  <c r="K178" i="17" s="1"/>
  <c r="J178" i="17"/>
  <c r="J48" i="7"/>
  <c r="J50" i="7"/>
  <c r="J8" i="7"/>
  <c r="J25" i="7"/>
  <c r="J51" i="7"/>
  <c r="J26" i="7"/>
  <c r="J35" i="7"/>
  <c r="J29" i="7"/>
  <c r="J39" i="7"/>
  <c r="J14" i="7"/>
  <c r="J37" i="7"/>
  <c r="J11" i="7"/>
  <c r="J22" i="7"/>
  <c r="J21" i="7"/>
  <c r="J23" i="7"/>
  <c r="J40" i="7"/>
  <c r="J53" i="7"/>
  <c r="J52" i="7" s="1"/>
  <c r="J12" i="7"/>
  <c r="J43" i="7"/>
  <c r="J45" i="7"/>
  <c r="J47" i="7" l="1"/>
  <c r="H55" i="22"/>
  <c r="N61" i="21"/>
  <c r="P56" i="21"/>
  <c r="K55" i="22"/>
  <c r="R55" i="22"/>
  <c r="T55" i="22" s="1"/>
  <c r="J38" i="7"/>
  <c r="J34" i="7"/>
  <c r="J33" i="7"/>
  <c r="J42" i="7"/>
  <c r="J41" i="7" s="1"/>
  <c r="J9" i="7"/>
  <c r="J31" i="7"/>
  <c r="J24" i="7"/>
  <c r="J20" i="7" s="1"/>
  <c r="J10" i="7"/>
  <c r="J32" i="7"/>
  <c r="J36" i="7"/>
  <c r="J30" i="7"/>
  <c r="J17" i="7"/>
  <c r="J16" i="7"/>
  <c r="J55" i="7"/>
  <c r="J54" i="7" s="1"/>
  <c r="J46" i="7"/>
  <c r="J44" i="7" s="1"/>
  <c r="J18" i="7"/>
  <c r="J13" i="7"/>
  <c r="C31" i="27"/>
  <c r="G31" i="32"/>
  <c r="J49" i="7"/>
  <c r="P61" i="21" l="1"/>
  <c r="N58" i="22" s="1"/>
  <c r="D11" i="24"/>
  <c r="H25" i="32"/>
  <c r="N55" i="22"/>
  <c r="O54" i="22" s="1"/>
  <c r="D10" i="24"/>
  <c r="J7" i="7"/>
  <c r="L55" i="22"/>
  <c r="J27" i="7"/>
  <c r="J19" i="7" s="1"/>
  <c r="J15" i="7"/>
  <c r="D28" i="27"/>
  <c r="D22" i="27"/>
  <c r="D16" i="27"/>
  <c r="D10" i="27"/>
  <c r="F9" i="27"/>
  <c r="F12" i="27" s="1"/>
  <c r="F15" i="27" s="1"/>
  <c r="F18" i="27" s="1"/>
  <c r="F21" i="27" s="1"/>
  <c r="F24" i="27" s="1"/>
  <c r="F27" i="27" s="1"/>
  <c r="F30" i="27" s="1"/>
  <c r="D7" i="27"/>
  <c r="D13" i="27"/>
  <c r="D19" i="27"/>
  <c r="D25" i="27"/>
  <c r="H28" i="32"/>
  <c r="H13" i="32"/>
  <c r="H10" i="32"/>
  <c r="H22" i="32"/>
  <c r="J9" i="32"/>
  <c r="J12" i="32" s="1"/>
  <c r="J15" i="32" s="1"/>
  <c r="J18" i="32" s="1"/>
  <c r="J21" i="32" s="1"/>
  <c r="J24" i="32" s="1"/>
  <c r="J27" i="32" s="1"/>
  <c r="J30" i="32" s="1"/>
  <c r="J32" i="32" s="1"/>
  <c r="H7" i="32"/>
  <c r="H16" i="32"/>
  <c r="H19" i="32"/>
  <c r="D12" i="24" l="1"/>
  <c r="E5" i="24" s="1"/>
  <c r="U55" i="22"/>
  <c r="O57" i="22"/>
  <c r="E25" i="33"/>
  <c r="E26" i="33" s="1"/>
  <c r="F6" i="33" s="1"/>
  <c r="V54" i="22"/>
  <c r="D31" i="27"/>
  <c r="E7" i="27"/>
  <c r="E10" i="27" s="1"/>
  <c r="E13" i="27" s="1"/>
  <c r="E16" i="27" s="1"/>
  <c r="E19" i="27" s="1"/>
  <c r="E22" i="27" s="1"/>
  <c r="E25" i="27" s="1"/>
  <c r="E28" i="27" s="1"/>
  <c r="J9" i="27"/>
  <c r="J12" i="27" s="1"/>
  <c r="J15" i="27" s="1"/>
  <c r="J18" i="27" s="1"/>
  <c r="J21" i="27" s="1"/>
  <c r="J24" i="27" s="1"/>
  <c r="J27" i="27" s="1"/>
  <c r="J30" i="27" s="1"/>
  <c r="F32" i="27"/>
  <c r="I7" i="32"/>
  <c r="I10" i="32" s="1"/>
  <c r="I13" i="32" s="1"/>
  <c r="I16" i="32" s="1"/>
  <c r="I19" i="32" s="1"/>
  <c r="I22" i="32" s="1"/>
  <c r="I25" i="32" s="1"/>
  <c r="I28" i="32" s="1"/>
  <c r="H31" i="32"/>
  <c r="N9" i="32"/>
  <c r="N12" i="32" s="1"/>
  <c r="N15" i="32" s="1"/>
  <c r="N18" i="32" s="1"/>
  <c r="N21" i="32" s="1"/>
  <c r="N24" i="32" s="1"/>
  <c r="N27" i="32" s="1"/>
  <c r="N30" i="32" s="1"/>
  <c r="N32" i="32" s="1"/>
  <c r="V16" i="22"/>
  <c r="V46" i="22"/>
  <c r="V50" i="22"/>
  <c r="V56" i="22"/>
  <c r="V49" i="22"/>
  <c r="V53" i="22"/>
  <c r="V48" i="22"/>
  <c r="V47" i="22"/>
  <c r="V45" i="22"/>
  <c r="V52" i="22"/>
  <c r="V37" i="22"/>
  <c r="V51" i="22"/>
  <c r="V26" i="22"/>
  <c r="V30" i="22"/>
  <c r="V34" i="22"/>
  <c r="V27" i="22"/>
  <c r="V7" i="22"/>
  <c r="V44" i="22"/>
  <c r="V4" i="22"/>
  <c r="W4" i="22" s="1"/>
  <c r="V40" i="22"/>
  <c r="V55" i="22"/>
  <c r="N60" i="22"/>
  <c r="E4" i="24" l="1"/>
  <c r="E9" i="24"/>
  <c r="E11" i="24"/>
  <c r="E7" i="24"/>
  <c r="E10" i="24"/>
  <c r="E6" i="24"/>
  <c r="E8" i="24"/>
  <c r="V57" i="22"/>
  <c r="F5" i="33"/>
  <c r="F22" i="33"/>
  <c r="F14" i="33"/>
  <c r="F15" i="33"/>
  <c r="F4" i="33"/>
  <c r="F3" i="33"/>
  <c r="G3" i="33" s="1"/>
  <c r="H3" i="33" s="1"/>
  <c r="F25" i="33"/>
  <c r="F7" i="33"/>
  <c r="F17" i="33"/>
  <c r="F24" i="33"/>
  <c r="F13" i="33"/>
  <c r="F9" i="33"/>
  <c r="F23" i="33"/>
  <c r="F12" i="33"/>
  <c r="F8" i="33"/>
  <c r="F21" i="33"/>
  <c r="F16" i="33"/>
  <c r="F19" i="33"/>
  <c r="F11" i="33"/>
  <c r="F20" i="33"/>
  <c r="F18" i="33"/>
  <c r="F10" i="33"/>
  <c r="V29" i="22"/>
  <c r="V28" i="22"/>
  <c r="F34" i="27"/>
  <c r="F33" i="27"/>
  <c r="F35" i="27" s="1"/>
  <c r="J33" i="27"/>
  <c r="N9" i="27"/>
  <c r="N12" i="27" s="1"/>
  <c r="N15" i="27" s="1"/>
  <c r="N18" i="27" s="1"/>
  <c r="N21" i="27" s="1"/>
  <c r="N24" i="27" s="1"/>
  <c r="N27" i="27" s="1"/>
  <c r="N30" i="27" s="1"/>
  <c r="J32" i="27"/>
  <c r="J34" i="32"/>
  <c r="N34" i="32" s="1"/>
  <c r="J33" i="32"/>
  <c r="J35" i="32" s="1"/>
  <c r="N33" i="32"/>
  <c r="R9" i="32"/>
  <c r="R12" i="32" s="1"/>
  <c r="R15" i="32" s="1"/>
  <c r="R18" i="32" s="1"/>
  <c r="R21" i="32" s="1"/>
  <c r="R24" i="32" s="1"/>
  <c r="R27" i="32" s="1"/>
  <c r="R30" i="32" s="1"/>
  <c r="R32" i="32" s="1"/>
  <c r="E12" i="24" l="1"/>
  <c r="V58" i="22"/>
  <c r="G4" i="33"/>
  <c r="H4" i="33" s="1"/>
  <c r="R34" i="32"/>
  <c r="R15" i="27"/>
  <c r="R18" i="27" s="1"/>
  <c r="R21" i="27" s="1"/>
  <c r="R24" i="27" s="1"/>
  <c r="R27" i="27" s="1"/>
  <c r="R30" i="27" s="1"/>
  <c r="N33" i="27"/>
  <c r="R9" i="27"/>
  <c r="R12" i="27" s="1"/>
  <c r="N32" i="27"/>
  <c r="J35" i="27"/>
  <c r="N35" i="27" s="1"/>
  <c r="J34" i="27"/>
  <c r="V15" i="32"/>
  <c r="V18" i="32" s="1"/>
  <c r="V21" i="32" s="1"/>
  <c r="V24" i="32" s="1"/>
  <c r="V27" i="32" s="1"/>
  <c r="V30" i="32" s="1"/>
  <c r="V32" i="32" s="1"/>
  <c r="V9" i="32"/>
  <c r="V12" i="32" s="1"/>
  <c r="R33" i="32"/>
  <c r="N35" i="32"/>
  <c r="V34" i="32" l="1"/>
  <c r="G5" i="33"/>
  <c r="G6" i="33" s="1"/>
  <c r="G7" i="33" s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N34" i="27"/>
  <c r="R33" i="27"/>
  <c r="R35" i="27" s="1"/>
  <c r="R32" i="27"/>
  <c r="R35" i="32"/>
  <c r="V33" i="32" s="1"/>
  <c r="V35" i="32" s="1"/>
  <c r="Z9" i="32"/>
  <c r="Z12" i="32" s="1"/>
  <c r="Z15" i="32" s="1"/>
  <c r="Z18" i="32" s="1"/>
  <c r="Z21" i="32" s="1"/>
  <c r="Z24" i="32" s="1"/>
  <c r="Z27" i="32" s="1"/>
  <c r="Z30" i="32" s="1"/>
  <c r="Z32" i="32" s="1"/>
  <c r="H7" i="33" l="1"/>
  <c r="H6" i="33"/>
  <c r="H5" i="33"/>
  <c r="R34" i="27"/>
  <c r="Z33" i="32"/>
  <c r="Z35" i="32" s="1"/>
  <c r="AD9" i="32"/>
  <c r="AD12" i="32" s="1"/>
  <c r="AD15" i="32" s="1"/>
  <c r="AD18" i="32" s="1"/>
  <c r="AD21" i="32" s="1"/>
  <c r="AD24" i="32" s="1"/>
  <c r="AD27" i="32" s="1"/>
  <c r="AD30" i="32" s="1"/>
  <c r="AD32" i="32" s="1"/>
  <c r="H8" i="33"/>
  <c r="Z34" i="32" l="1"/>
  <c r="AD34" i="32" s="1"/>
  <c r="AD33" i="32"/>
  <c r="AD35" i="32" s="1"/>
  <c r="AH9" i="32"/>
  <c r="AH12" i="32" s="1"/>
  <c r="AH15" i="32" s="1"/>
  <c r="AH18" i="32" s="1"/>
  <c r="AH21" i="32" s="1"/>
  <c r="AH24" i="32" s="1"/>
  <c r="AH27" i="32" s="1"/>
  <c r="AH30" i="32" s="1"/>
  <c r="AH32" i="32" s="1"/>
  <c r="H9" i="33"/>
  <c r="AH34" i="32" l="1"/>
  <c r="AL15" i="32"/>
  <c r="AL18" i="32" s="1"/>
  <c r="AL21" i="32" s="1"/>
  <c r="AL24" i="32" s="1"/>
  <c r="AL27" i="32" s="1"/>
  <c r="AL30" i="32" s="1"/>
  <c r="AL32" i="32" s="1"/>
  <c r="AH33" i="32"/>
  <c r="AH35" i="32" s="1"/>
  <c r="AL9" i="32"/>
  <c r="AL12" i="32" s="1"/>
  <c r="H10" i="33"/>
  <c r="AL34" i="32" l="1"/>
  <c r="AL33" i="32"/>
  <c r="AL35" i="32" s="1"/>
  <c r="AP9" i="32"/>
  <c r="AP12" i="32" s="1"/>
  <c r="AP15" i="32" s="1"/>
  <c r="AP18" i="32" s="1"/>
  <c r="AP21" i="32" s="1"/>
  <c r="AP24" i="32" s="1"/>
  <c r="AP27" i="32" s="1"/>
  <c r="AP30" i="32" s="1"/>
  <c r="AP32" i="32" s="1"/>
  <c r="H11" i="33"/>
  <c r="W7" i="22"/>
  <c r="W30" i="22" s="1"/>
  <c r="W34" i="22" s="1"/>
  <c r="X7" i="22"/>
  <c r="X40" i="22"/>
  <c r="X46" i="22"/>
  <c r="X30" i="22"/>
  <c r="X44" i="22"/>
  <c r="X37" i="22"/>
  <c r="X4" i="22"/>
  <c r="X34" i="22"/>
  <c r="X45" i="22"/>
  <c r="AP34" i="32" l="1"/>
  <c r="AT9" i="32"/>
  <c r="AT12" i="32" s="1"/>
  <c r="AT15" i="32" s="1"/>
  <c r="AT18" i="32" s="1"/>
  <c r="AT21" i="32" s="1"/>
  <c r="AT24" i="32" s="1"/>
  <c r="AT27" i="32" s="1"/>
  <c r="AT30" i="32" s="1"/>
  <c r="AT32" i="32" s="1"/>
  <c r="AP33" i="32"/>
  <c r="AP35" i="32" s="1"/>
  <c r="H12" i="33"/>
  <c r="W37" i="22"/>
  <c r="W40" i="22" s="1"/>
  <c r="W44" i="22" s="1"/>
  <c r="W45" i="22" s="1"/>
  <c r="W46" i="22" s="1"/>
  <c r="W47" i="22" s="1"/>
  <c r="AT34" i="32" l="1"/>
  <c r="AT33" i="32"/>
  <c r="AT35" i="32" s="1"/>
  <c r="H13" i="33"/>
  <c r="X47" i="22"/>
  <c r="W48" i="22"/>
  <c r="H14" i="33" l="1"/>
  <c r="X48" i="22"/>
  <c r="W26" i="22"/>
  <c r="H15" i="33" l="1"/>
  <c r="X26" i="22"/>
  <c r="W49" i="22"/>
  <c r="H16" i="33" l="1"/>
  <c r="X49" i="22"/>
  <c r="W50" i="22"/>
  <c r="H17" i="33" l="1"/>
  <c r="X50" i="22"/>
  <c r="W51" i="22"/>
  <c r="H18" i="33" l="1"/>
  <c r="X51" i="22"/>
  <c r="W52" i="22"/>
  <c r="H19" i="33" l="1"/>
  <c r="X52" i="22"/>
  <c r="W27" i="22"/>
  <c r="H20" i="33" l="1"/>
  <c r="X27" i="22"/>
  <c r="W53" i="22"/>
  <c r="H21" i="33" l="1"/>
  <c r="X53" i="22"/>
  <c r="W16" i="22"/>
  <c r="W55" i="22" s="1"/>
  <c r="H22" i="33" l="1"/>
  <c r="W56" i="22"/>
  <c r="X56" i="22" s="1"/>
  <c r="X55" i="22"/>
  <c r="H23" i="33" l="1"/>
  <c r="H24" i="33" l="1"/>
  <c r="H25" i="33"/>
</calcChain>
</file>

<file path=xl/sharedStrings.xml><?xml version="1.0" encoding="utf-8"?>
<sst xmlns="http://schemas.openxmlformats.org/spreadsheetml/2006/main" count="11405" uniqueCount="796">
  <si>
    <t>Bancos</t>
  </si>
  <si>
    <t>B.D.I.</t>
  </si>
  <si>
    <t>Encargos Sociais</t>
  </si>
  <si>
    <t xml:space="preserve">SINAPI - 06/2024 - Pernambuco
SICRO3 - 04/2024 - Pernambuco
ORSE - 05/2024 - Sergipe
SEINFRA - 028 - Ceará
</t>
  </si>
  <si>
    <t>25,0%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</si>
  <si>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</si>
  <si>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</si>
  <si>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</si>
  <si>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</si>
  <si>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</si>
  <si>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</si>
  <si>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</si>
  <si>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</si>
  <si>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</si>
  <si>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</si>
  <si>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</si>
  <si>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</si>
  <si>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</si>
  <si>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</si>
  <si>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>Próprio</t>
  </si>
  <si>
    <t>PLACA DE OBRA EM CHAPA DE AÇO GALVANIZADA</t>
  </si>
  <si>
    <t>m²</t>
  </si>
  <si>
    <t xml:space="preserve"> 1.2 </t>
  </si>
  <si>
    <t xml:space="preserve"> 97636 </t>
  </si>
  <si>
    <t>SINAPI</t>
  </si>
  <si>
    <t>DEMOLIÇÃO PARCIAL DE PAVIMENTO ASFÁLTICO, DE FORMA MECANIZADA, SEM REAPROVEITAMENTO. AF_09/2023</t>
  </si>
  <si>
    <t xml:space="preserve"> 1.3 </t>
  </si>
  <si>
    <t>SICRO3</t>
  </si>
  <si>
    <t>m³</t>
  </si>
  <si>
    <t xml:space="preserve"> 21 </t>
  </si>
  <si>
    <t>ORSE</t>
  </si>
  <si>
    <t>m</t>
  </si>
  <si>
    <t xml:space="preserve"> 100981 </t>
  </si>
  <si>
    <t>CARGA, MANOBRA E DESCARGA DE ENTULHO EM CAMINHÃO BASCULANTE 6 M³ - CARGA COM ESCAVADEIRA HIDRÁULICA  (CAÇAMBA DE 0,80 M³ / 111 HP) E DESCARGA LIVRE (UNIDADE: M3). AF_07/2020</t>
  </si>
  <si>
    <t xml:space="preserve"> 97914 </t>
  </si>
  <si>
    <t>TRANSPORTE COM CAMINHÃO BASCULANTE DE 6 M³, EM VIA URBANA PAVIMENTADA, DMT ATÉ 30 KM (UNIDADE: M3XKM). AF_07/2020</t>
  </si>
  <si>
    <t>M3XKM</t>
  </si>
  <si>
    <t xml:space="preserve"> 2 </t>
  </si>
  <si>
    <t>TERRAPLENAGEM</t>
  </si>
  <si>
    <t xml:space="preserve"> 2.1 </t>
  </si>
  <si>
    <t xml:space="preserve"> 2.2 </t>
  </si>
  <si>
    <t xml:space="preserve"> 5502978 </t>
  </si>
  <si>
    <t xml:space="preserve"> 100977 </t>
  </si>
  <si>
    <t>CARGA, MANOBRA E DESCARGA DE SOLOS E MATERIAIS GRANULARES EM CAMINHÃO BASCULANTE 6 M³ - CARGA COM ESCAVADEIRA HIDRÁULICA (CAÇAMBA DE 1,20 M³ / 155 HP) E DESCARGA LIVRE (UNIDADE: M3). AF_07/2020</t>
  </si>
  <si>
    <t xml:space="preserve"> 3 </t>
  </si>
  <si>
    <t>PAVIMENTO</t>
  </si>
  <si>
    <t xml:space="preserve"> 3.1 </t>
  </si>
  <si>
    <t>BASE</t>
  </si>
  <si>
    <t xml:space="preserve"> 3.1.1 </t>
  </si>
  <si>
    <t xml:space="preserve"> 100577 </t>
  </si>
  <si>
    <t>REGULARIZAÇÃO E COMPACTAÇÃO DE SUBLEITO DE SOLO PREDOMINANTEMENTE ARENOSO. AF_11/2019</t>
  </si>
  <si>
    <t xml:space="preserve"> 3.1.2 </t>
  </si>
  <si>
    <t xml:space="preserve"> 100565 </t>
  </si>
  <si>
    <t>EXECUÇÃO E COMPACTAÇÃO DE BASE E OU SUB-BASE PARA PAVIMENTAÇÃO DE SOLO (PREDOMINANTEMENTE ARENOSO) BRITA - 50/50 - EXCLUSIVE SOLO, ESCAVAÇÃO, CARGA E TRANSPORTE. AF_11/2019</t>
  </si>
  <si>
    <t xml:space="preserve"> 96396 </t>
  </si>
  <si>
    <t>EXECUÇÃO E COMPACTAÇÃO DE BASE E OU SUB BASE PARA PAVIMENTAÇÃO DE BRITA GRADUADA SIMPLES - EXCLUSIVE CARGA E TRANSPORTE. AF_11/2019</t>
  </si>
  <si>
    <t xml:space="preserve"> 95875 </t>
  </si>
  <si>
    <t>TRANSPORTE COM CAMINHÃO BASCULANTE DE 10 M³, EM VIA URBANA PAVIMENTADA, DMT ATÉ 30 KM (UNIDADE: M3XKM). AF_07/2020</t>
  </si>
  <si>
    <t xml:space="preserve"> 3.2 </t>
  </si>
  <si>
    <t>PAVIMENTAÇÃO</t>
  </si>
  <si>
    <t xml:space="preserve"> 4011463 </t>
  </si>
  <si>
    <t>t</t>
  </si>
  <si>
    <t xml:space="preserve"> 4011352 </t>
  </si>
  <si>
    <t xml:space="preserve"> 4011353 </t>
  </si>
  <si>
    <t xml:space="preserve"> 102330 </t>
  </si>
  <si>
    <t>TRANSPORTE COM CAMINHÃO TANQUE DE TRANSPORTE DE MATERIAL ASFÁLTICO DE 30000 L, EM VIA URBANA PAVIMENTADA, DMT ATÉ 30KM (UNIDADE: TXKM). AF_07/2020</t>
  </si>
  <si>
    <t>TXKM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</si>
  <si>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</si>
  <si>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</si>
  <si>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 xml:space="preserve"> CPU 02 </t>
  </si>
  <si>
    <t>LIMPEZA DE SUPERFICIE (VARRIÇÃO E REMOÇÃO DE ENTULHOS)</t>
  </si>
  <si>
    <t xml:space="preserve"> 4 </t>
  </si>
  <si>
    <t>MEIO FIO E SARJETA</t>
  </si>
  <si>
    <t xml:space="preserve"> 4.1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</si>
  <si>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</si>
  <si>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</si>
  <si>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M</t>
  </si>
  <si>
    <t xml:space="preserve"> 4.2 </t>
  </si>
  <si>
    <t xml:space="preserve"> 94289 </t>
  </si>
  <si>
    <t>EXECUÇÃO DE SARJETA DE CONCRETO USINADO, MOLDADA  IN LOCO  EM TRECHO RETO, 45 CM BASE X 10 CM ALTURA. AF_01/2024</t>
  </si>
  <si>
    <t xml:space="preserve"> 5 </t>
  </si>
  <si>
    <t>PASSEIO</t>
  </si>
  <si>
    <t xml:space="preserve"> 93679 </t>
  </si>
  <si>
    <t>EXECUÇÃO DE PASSEIO EM PISO INTERTRAVADO, COM BLOCO RETANGULAR COLORIDO DE 20 X 10 CM, ESPESSURA 6 CM. AF_10/2022</t>
  </si>
  <si>
    <t>un</t>
  </si>
  <si>
    <t xml:space="preserve"> 6.1 </t>
  </si>
  <si>
    <t xml:space="preserve"> 7.1 </t>
  </si>
  <si>
    <t>ADMINISTRAÇÃO</t>
  </si>
  <si>
    <t xml:space="preserve"> CPU 03 </t>
  </si>
  <si>
    <t>ADMINISTRAÇÃO LOCAL</t>
  </si>
  <si>
    <t>MÊS</t>
  </si>
  <si>
    <t>Planilha Orçamentária Analítica</t>
  </si>
  <si>
    <t>Tipo</t>
  </si>
  <si>
    <t>Composição</t>
  </si>
  <si>
    <t>SERP - SERVIÇOS PRELIMINARES</t>
  </si>
  <si>
    <t>Composição Auxiliar</t>
  </si>
  <si>
    <t xml:space="preserve"> 94962 </t>
  </si>
  <si>
    <t>CONCRETO MAGRO PARA LASTRO, TRAÇO 1:4,5:4,5 (EM MASSA SECA DE CIMENTO/ AREIA MÉDIA/ BRITA 1) - PREPARO MECÂNICO COM BETONEIRA 400 L. AF_05/2021</t>
  </si>
  <si>
    <t>FUES - FUNDAÇÕES E ESTRUTURAS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</si>
  <si>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</si>
  <si>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</si>
  <si>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</si>
  <si>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</si>
  <si>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</si>
  <si>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</si>
  <si>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</si>
  <si>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00004491 </t>
  </si>
  <si>
    <t>PONTALETE *7,5 X 7,5* CM EM PINUS, MISTA OU EQUIVALENTE DA REGIAO - BRUTA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</si>
  <si>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</si>
  <si>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</si>
  <si>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</si>
  <si>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00005075 </t>
  </si>
  <si>
    <t>PREGO DE ACO POLIDO COM CABECA 18 X 30 (2 3/4 X 10)</t>
  </si>
  <si>
    <t>KG</t>
  </si>
  <si>
    <t xml:space="preserve"> 00004417 </t>
  </si>
  <si>
    <t>SARRAFO NAO APARELHADO *2,5 X 7* CM, EM MACARANDUBA/MASSARANDUBA, ANGELIM, PEROBA-ROSA OU EQUIVALENTE DA REGIAO - BRUTA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</si>
  <si>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</si>
  <si>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</si>
  <si>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</si>
  <si>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</si>
  <si>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</si>
  <si>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</si>
  <si>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</si>
  <si>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5631 </t>
  </si>
  <si>
    <t>ESCAVADEIRA HIDRÁULICA SOBRE ESTEIRAS, CAÇAMBA 0,80 M3, PESO OPERACIONAL 17 T, POTENCIA BRUTA 111 HP - CHP DIURNO. AF_06/2014</t>
  </si>
  <si>
    <t>CHOR - CUSTOS HORÁRIOS DE MÁQUINAS E EQUIPAMENTOS</t>
  </si>
  <si>
    <t>CHP</t>
  </si>
  <si>
    <t xml:space="preserve"> 5632 </t>
  </si>
  <si>
    <t>ESCAVADEIRA HIDRÁULICA SOBRE ESTEIRAS, CAÇAMBA 0,80 M3, PESO OPERACIONAL 17 T, POTENCIA BRUTA 111 HP - CHI DIURNO. AF_06/2014</t>
  </si>
  <si>
    <t>CHI</t>
  </si>
  <si>
    <t xml:space="preserve"> 88309 </t>
  </si>
  <si>
    <t>PEDREIRO COM ENCARGOS COMPLEMENTARES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</si>
  <si>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</si>
  <si>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</si>
  <si>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</si>
  <si>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</si>
  <si>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/>
  </si>
  <si>
    <t>A</t>
  </si>
  <si>
    <t>Equipamentos</t>
  </si>
  <si>
    <t>Quantidade</t>
  </si>
  <si>
    <t>Utilização</t>
  </si>
  <si>
    <t>Custo Operacional</t>
  </si>
  <si>
    <t>Custo Horário</t>
  </si>
  <si>
    <t>Operativa</t>
  </si>
  <si>
    <t>Improdutiva</t>
  </si>
  <si>
    <t>Custo Horário de Equipamentos =&gt;</t>
  </si>
  <si>
    <t>B</t>
  </si>
  <si>
    <t>Mão de Obra</t>
  </si>
  <si>
    <t>Salário Hora</t>
  </si>
  <si>
    <t>Servente</t>
  </si>
  <si>
    <t>Custo Horário da Mão de Obra =&gt;</t>
  </si>
  <si>
    <t>Adc.M.O. - Ferramentas (0,0%) =&gt;</t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</si>
  <si>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</si>
  <si>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</si>
  <si>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</si>
  <si>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</si>
  <si>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</si>
  <si>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C</t>
  </si>
  <si>
    <t>Unidade</t>
  </si>
  <si>
    <t>Preço Unitário</t>
  </si>
  <si>
    <t>Custo Total do Material =&gt;</t>
  </si>
  <si>
    <t>E</t>
  </si>
  <si>
    <t>Tempos Fixos</t>
  </si>
  <si>
    <t>Tempo Fixo</t>
  </si>
  <si>
    <t>Custo Total dos Tempos Fixos =&gt;</t>
  </si>
  <si>
    <t>F</t>
  </si>
  <si>
    <t>Momento de Transporte</t>
  </si>
  <si>
    <t>Distância Média de Transporte (DMT)</t>
  </si>
  <si>
    <t>LN</t>
  </si>
  <si>
    <t>RP</t>
  </si>
  <si>
    <t>P</t>
  </si>
  <si>
    <t>tkm</t>
  </si>
  <si>
    <t>Custo total dos Momentos de Transportes =&gt;</t>
  </si>
  <si>
    <t>Demolições / Remoções</t>
  </si>
  <si>
    <t xml:space="preserve"> 10549 </t>
  </si>
  <si>
    <t>Encargos Complementares - Servente</t>
  </si>
  <si>
    <t>Provisórios</t>
  </si>
  <si>
    <t>h</t>
  </si>
  <si>
    <t xml:space="preserve"> 10550 </t>
  </si>
  <si>
    <t>Encargos Complementares - Pedreiro</t>
  </si>
  <si>
    <t xml:space="preserve"> 00004750/SINAPI </t>
  </si>
  <si>
    <t>Pedreiro (horista)</t>
  </si>
  <si>
    <t xml:space="preserve"> 00006111/SINAPI </t>
  </si>
  <si>
    <t>Servente de obras (horista)</t>
  </si>
  <si>
    <t>TRAN - TRANSPORTES, CARGAS E DESCARGAS</t>
  </si>
  <si>
    <t xml:space="preserve"> 67826 </t>
  </si>
  <si>
    <t>CAMINHÃO BASCULANTE 6 M3 TOCO, PESO BRUTO TOTAL 16.000 KG, CARGA ÚTIL MÁXIMA 11.130 KG, DISTÂNCIA ENTRE EIXOS 5,36 M, POTÊNCIA 185 CV, INCLUSIVE CAÇAMBA METÁLICA - CHP DIURNO. AF_06/2014</t>
  </si>
  <si>
    <t xml:space="preserve"> 67827 </t>
  </si>
  <si>
    <t>CAMINHÃO BASCULANTE 6 M3 TOCO, PESO BRUTO TOTAL 16.000 KG, CARGA ÚTIL MÁXIMA 11.130 KG, DISTÂNCIA ENTRE EIXOS 5,36 M, POTÊNCIA 185 CV, INCLUSIVE CAÇAMBA METÁLICA - CHI DIURNO. AF_06/2014</t>
  </si>
  <si>
    <t>MOVT - MOVIMENTO DE TERRA</t>
  </si>
  <si>
    <t>E9571</t>
  </si>
  <si>
    <t>Caminhão tanque com capacidade de 10.000 l - 188 kW</t>
  </si>
  <si>
    <t>E9518</t>
  </si>
  <si>
    <t>Grade de 24 discos rebocável de D = 60 cm (24")</t>
  </si>
  <si>
    <t>E9524</t>
  </si>
  <si>
    <t>Motoniveladora - 93 kW</t>
  </si>
  <si>
    <t>E9685</t>
  </si>
  <si>
    <t>Rolo compactador pé de carneiro vibratório autopropelido por pneus de 11,6 t - 82 kW</t>
  </si>
  <si>
    <t>E9577</t>
  </si>
  <si>
    <t>Trator agrícola sobre pneus - 77 kW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</si>
  <si>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</si>
  <si>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</si>
  <si>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</si>
  <si>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</si>
  <si>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>PAVI - PAVIMENTAÇÃO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</si>
  <si>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</si>
  <si>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</si>
  <si>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</si>
  <si>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</si>
  <si>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</si>
  <si>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</si>
  <si>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</si>
  <si>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</si>
  <si>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</si>
  <si>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>ROLO COMPACTADOR DE PNEUS, ESTATICO, PRESSAO VARIAVEL, POTENCIA 110 HP, PESO SEM/COM LASTRO 10,8/27 T, LARGURA DE ROLAGEM 2,30 M - CHP DIURNO. AF_06/2017</t>
  </si>
  <si>
    <t xml:space="preserve"> 96464 </t>
  </si>
  <si>
    <t>ROLO COMPACTADOR DE PNEUS, ESTATICO, PRESSAO VARIAVEL, POTENCIA 110 HP, PESO SEM/COM LASTRO 10,8/27 T, LARGURA DE ROLAGEM 2,30 M - CHI DIURNO. AF_06/2017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</si>
  <si>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</si>
  <si>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</si>
  <si>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</si>
  <si>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</si>
  <si>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5921 </t>
  </si>
  <si>
    <t>GRADE DE DISCO REBOCÁVEL COM 20 DISCOS 24" X 6 MM COM PNEUS PARA TRANSPORTE - CHP DIURNO. AF_06/2014</t>
  </si>
  <si>
    <t xml:space="preserve"> 5923 </t>
  </si>
  <si>
    <t>GRADE DE DISCO REBOCÁVEL COM 20 DISCOS 24" X 6 MM COM PNEUS PARA TRANSPORTE - CHI DIURNO. AF_06/2014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</si>
  <si>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</si>
  <si>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</si>
  <si>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</si>
  <si>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</si>
  <si>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 xml:space="preserve"> 00004721 </t>
  </si>
  <si>
    <t>PEDRA BRITADA N. 1 (9,5 A 19 MM) POSTO PEDREIRA/FORNECEDOR, SEM FRETE</t>
  </si>
  <si>
    <t xml:space="preserve"> 96393 </t>
  </si>
  <si>
    <t>USINAGEM DE BRITA GRADUADA SIMPLES. AF_03/2020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</si>
  <si>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</si>
  <si>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</si>
  <si>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</si>
  <si>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</si>
  <si>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88260 </t>
  </si>
  <si>
    <t>CALCETEIRO COM ENCARGOS COMPLEMENTARES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</si>
  <si>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</si>
  <si>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</si>
  <si>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</si>
  <si>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</si>
  <si>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00000370 </t>
  </si>
  <si>
    <t>AREIA MEDIA - POSTO JAZIDA/FORNECEDOR (RETIRADO NA JAZIDA, SEM TRANSPORTE)</t>
  </si>
  <si>
    <t xml:space="preserve"> 00004741 </t>
  </si>
  <si>
    <t>PO DE PEDRA (POSTO PEDREIRA/FORNECEDOR, SEM FRETE)</t>
  </si>
  <si>
    <t>E9762</t>
  </si>
  <si>
    <t>Rolo compactador de pneus autopropelido de 27 t - 85 kW</t>
  </si>
  <si>
    <t>E9681</t>
  </si>
  <si>
    <t>Rolo compactador liso tandem vibratório autopropelido de 10,4 t - 82 kW</t>
  </si>
  <si>
    <t>E9545</t>
  </si>
  <si>
    <t>Vibroacabadora de asfalto sobre esteiras - 82 kW</t>
  </si>
  <si>
    <t>D</t>
  </si>
  <si>
    <t>Atividades Auxiliares</t>
  </si>
  <si>
    <t>Atividade Auxiliar</t>
  </si>
  <si>
    <t>Usinagem de concreto asfáltico - faixa C - areia e brita comerciais</t>
  </si>
  <si>
    <t>Custo Total das Atividades =&gt;</t>
  </si>
  <si>
    <t>Carga, manobra e descarga de mistura betuminosa a quente em caminhão basculante de 10 m³ - carga em usina de asfalto 100/140 t/h e descarga em vibroacabadora</t>
  </si>
  <si>
    <t>Usinagem de concreto asfáltico - faixa C - areia e brita comerciais - Caminhão basculante com capacidade de 10 m³ - 210 kW</t>
  </si>
  <si>
    <t>5914359
0,000
R$ 1,20</t>
  </si>
  <si>
    <t>5914374
0,000
R$ 0,96</t>
  </si>
  <si>
    <t>5914389
0,000
R$ 0,79</t>
  </si>
  <si>
    <t>E9509</t>
  </si>
  <si>
    <t>Caminhão tanque distribuidor de asfalto com capacidade de 6.000 l - 7 kW/136 kW</t>
  </si>
  <si>
    <t>E9558</t>
  </si>
  <si>
    <t>Tanque de estocagem de asfalto com capacidade de 30.000 l</t>
  </si>
  <si>
    <t>M2092</t>
  </si>
  <si>
    <t>Emulsão asfáltica para imprimação</t>
  </si>
  <si>
    <t>M1946</t>
  </si>
  <si>
    <t>Emulsão asfáltica - RR-1C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</si>
  <si>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</si>
  <si>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</si>
  <si>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</si>
  <si>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</si>
  <si>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>DROP - DRENAGEM/OBRAS DE CONTENÇÃO / POÇOS DE VISITA E CAIXAS</t>
  </si>
  <si>
    <t xml:space="preserve"> 88629 </t>
  </si>
  <si>
    <t>ARGAMASSA TRAÇO 1:3 (EM VOLUME DE CIMENTO E AREIA MÉDIA ÚMIDA), PREPARO MANUAL. AF_08/2019</t>
  </si>
  <si>
    <t xml:space="preserve"> 00004059 </t>
  </si>
  <si>
    <t>MEIO-FIO OU GUIA DE CONCRETO, PRE-MOLDADO, COMP 1 M, *30 X 12/15* CM (H X L1/L2)</t>
  </si>
  <si>
    <t xml:space="preserve"> 00004517 </t>
  </si>
  <si>
    <t>SARRAFO *2,5 X 7,5* CM EM PINUS, MISTA OU EQUIVALENTE DA REGIAO - BRUTA</t>
  </si>
  <si>
    <t xml:space="preserve"> 00006212 </t>
  </si>
  <si>
    <t>TABUA *2,5 X 30 CM EM PINUS, MISTA OU EQUIVALENTE DA REGIAO - BRUTA</t>
  </si>
  <si>
    <t xml:space="preserve"> 00034492 </t>
  </si>
  <si>
    <t>CONCRETO USINADO BOMBEAVEL, CLASSE DE RESISTENCIA C20, COM BRITA 0 E 1, SLUMP = 100 +/- 20 MM, EXCLUI SERVICO DE BOMBEAMENTO (NBR 8953)</t>
  </si>
  <si>
    <t xml:space="preserve"> 00036156 </t>
  </si>
  <si>
    <t>BLOQUETE/PISO INTERTRAVADO DE CONCRETO - MODELO ONDA/16 FACES/RETANGULAR/TIJOLINHO/PAVER/HOLANDES/PARALELEPIPEDO, *20 X 10* CM, E = 6 CM, RESISTENCIA DE 35 MPA, COLORIDO</t>
  </si>
  <si>
    <t>L</t>
  </si>
  <si>
    <t xml:space="preserve"> 93567 </t>
  </si>
  <si>
    <t>ENGENHEIRO CIVIL DE OBRA PLENO COM ENCARGOS COMPLEMENTARES</t>
  </si>
  <si>
    <t>MES</t>
  </si>
  <si>
    <t xml:space="preserve"> 94295 </t>
  </si>
  <si>
    <t>MESTRE DE OBRAS COM ENCARGOS COMPLEMENTARES</t>
  </si>
  <si>
    <t xml:space="preserve"> 93572 </t>
  </si>
  <si>
    <t>ENCARREGADO GERAL DE OBRAS COM ENCARGOS COMPLEMENTARES</t>
  </si>
  <si>
    <t xml:space="preserve"> 100321 </t>
  </si>
  <si>
    <t>TÉCNICO EM SEGURANÇA DO TRABALHO COM ENCARGOS COMPLEMENTARES</t>
  </si>
  <si>
    <t xml:space="preserve"> 93563 </t>
  </si>
  <si>
    <t>ALMOXARIFE COM ENCARGOS COMPLEMENTARES</t>
  </si>
  <si>
    <t xml:space="preserve"> 101460 </t>
  </si>
  <si>
    <t>VIGIA DIURNO COM ENCARGOS COMPLEMENTARES</t>
  </si>
  <si>
    <t xml:space="preserve"> CPU 01</t>
  </si>
  <si>
    <t xml:space="preserve">ANP </t>
  </si>
  <si>
    <t>EMULSÕES ASFÁLTICAS RR-2C</t>
  </si>
  <si>
    <t>EMULSÃO ASFÁLTICA PARA SERVIÇO DE IMPRIMAÇÃO - EAI</t>
  </si>
  <si>
    <t>T</t>
  </si>
  <si>
    <t xml:space="preserve"> 00004743 </t>
  </si>
  <si>
    <t>CASCALHO DE CAVA</t>
  </si>
  <si>
    <t xml:space="preserve"> 3.1.4</t>
  </si>
  <si>
    <t>CIMENTO ASFÁLTICO DE PETRÓLEO - CAP 50/70</t>
  </si>
  <si>
    <t>ROTATÓRIA 02</t>
  </si>
  <si>
    <t>Comp. (m)</t>
  </si>
  <si>
    <t>Larg. (m)</t>
  </si>
  <si>
    <t>Esp. (m)</t>
  </si>
  <si>
    <t>Área (m2)</t>
  </si>
  <si>
    <t>Vol. (m3)</t>
  </si>
  <si>
    <t>Taxa (%)</t>
  </si>
  <si>
    <t>Quant. (Und)</t>
  </si>
  <si>
    <t>Distância (km)</t>
  </si>
  <si>
    <t>ROTATÓRIA 01</t>
  </si>
  <si>
    <t>AREIA</t>
  </si>
  <si>
    <t>PÓ DE PEDRA</t>
  </si>
  <si>
    <t>PAVIMENTO ASFÁLTICO</t>
  </si>
  <si>
    <t>MEIO FIO</t>
  </si>
  <si>
    <t>Massa (t)</t>
  </si>
  <si>
    <t xml:space="preserve"> 3.1.5 </t>
  </si>
  <si>
    <t xml:space="preserve"> 3.1.6 </t>
  </si>
  <si>
    <t>Total:</t>
  </si>
  <si>
    <t>SINALIZAÇÃO</t>
  </si>
  <si>
    <t xml:space="preserve"> 102512 </t>
  </si>
  <si>
    <t>PINTURA DE EIXO VIÁRIO SOBRE ASFALTO COM TINTA RETRORREFLETIVA A BASE DE RESINA ACRÍLICA COM MICROESFERAS DE VIDRO, APLICAÇÃO MECÂNICA COM DEMARCADORA AUTOPROPELIDA. AF_05/2021</t>
  </si>
  <si>
    <t xml:space="preserve"> 1.3</t>
  </si>
  <si>
    <t xml:space="preserve"> 1.4</t>
  </si>
  <si>
    <t xml:space="preserve"> 1.5</t>
  </si>
  <si>
    <t xml:space="preserve"> 3.2.1</t>
  </si>
  <si>
    <t xml:space="preserve"> 3.2.2</t>
  </si>
  <si>
    <t xml:space="preserve"> 3.2.3</t>
  </si>
  <si>
    <t xml:space="preserve"> 3.2.4</t>
  </si>
  <si>
    <t xml:space="preserve"> 3.2.5</t>
  </si>
  <si>
    <t xml:space="preserve"> 3.2.6</t>
  </si>
  <si>
    <t xml:space="preserve"> 3.2.7</t>
  </si>
  <si>
    <t xml:space="preserve"> 3.2.8</t>
  </si>
  <si>
    <t xml:space="preserve"> 3.2.9</t>
  </si>
  <si>
    <t xml:space="preserve"> 3.2.10</t>
  </si>
  <si>
    <t>Memória de Cálculo</t>
  </si>
  <si>
    <t>PINT - PINTURAS</t>
  </si>
  <si>
    <t xml:space="preserve"> 88310 </t>
  </si>
  <si>
    <t>PINTOR COM ENCARGOS COMPLEMENTARES</t>
  </si>
  <si>
    <t xml:space="preserve"> 95133 </t>
  </si>
  <si>
    <t>MÁQUINA DEMARCADORA DE FAIXA DE TRÁFEGO À FRIO, AUTOPROPELIDA, POTÊNCIA 38 HP - CHP DIURNO. AF_07/2016</t>
  </si>
  <si>
    <t xml:space="preserve"> 96159 </t>
  </si>
  <si>
    <t>MÁQUINA DEMARCADORA DE FAIXA DE TRÁFEGO À FRIO, AUTOPROPELIDA, POTÊNCIA 38 HP - CHI DIURNO. AF_07/2016</t>
  </si>
  <si>
    <t xml:space="preserve"> 00005318 </t>
  </si>
  <si>
    <t>DILUENTE AGUARRAS</t>
  </si>
  <si>
    <t xml:space="preserve"> 00007343 </t>
  </si>
  <si>
    <t>TINTA ACRILICA A BASE DE SOLVENTE, PARA SINALIZACAO HORIZONTAL VIARIA (NBR 11862)</t>
  </si>
  <si>
    <t xml:space="preserve"> 00044477 </t>
  </si>
  <si>
    <t>MICROESFERAS DE VIDRO PARA SINALIZACAO HORIZONTAL VIARIA, TIPO II-A (DROP-ON) - NBR  16184</t>
  </si>
  <si>
    <t xml:space="preserve"> 00044478 </t>
  </si>
  <si>
    <t>MICROESFERAS DE VIDRO PARA SINALIZACAO HORIZONTAL VIARIA, TIPO I-B (PREMIX) - NBR  16184</t>
  </si>
  <si>
    <t xml:space="preserve"> 1600441 </t>
  </si>
  <si>
    <t xml:space="preserve"> 1600989 </t>
  </si>
  <si>
    <t>Demolição de concreto simples com martelete</t>
  </si>
  <si>
    <t xml:space="preserve"> 1.6</t>
  </si>
  <si>
    <t xml:space="preserve"> 1.7</t>
  </si>
  <si>
    <t>PAVIMENTO EM PARALELEPÍPEDO</t>
  </si>
  <si>
    <t>SARJETA</t>
  </si>
  <si>
    <t xml:space="preserve"> 3.1.3</t>
  </si>
  <si>
    <t>CANTEIRO CENTRAL</t>
  </si>
  <si>
    <t>ENTORNOS - ROTATÓRIA 01</t>
  </si>
  <si>
    <t>ENTORNOS - ROTATÓRIA 02</t>
  </si>
  <si>
    <t xml:space="preserve"> 5.1</t>
  </si>
  <si>
    <t xml:space="preserve"> 5.2</t>
  </si>
  <si>
    <t xml:space="preserve"> 5.3</t>
  </si>
  <si>
    <t>6.1</t>
  </si>
  <si>
    <t>7.1</t>
  </si>
  <si>
    <t>E9071</t>
  </si>
  <si>
    <t>Transportador manual carrinho de mão com capacidade de 80 l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</si>
  <si>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</si>
  <si>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</si>
  <si>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</si>
  <si>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</si>
  <si>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M1391</t>
  </si>
  <si>
    <t>Ponteiro para martelete - D = 22 mm e C = 1,00 m</t>
  </si>
  <si>
    <t>M3505</t>
  </si>
  <si>
    <t>Carga, manobra e descarga de material demolido em caminhão basculante de 6 m³ - carga manual e descarga livre</t>
  </si>
  <si>
    <t>Material demolido - concreto simples - Caminhão basculante com capacidade de 6 m³ - 136 kW</t>
  </si>
  <si>
    <t>5914314
0,000
R$ 1,25</t>
  </si>
  <si>
    <t>5914329
0,000
R$ 1,00</t>
  </si>
  <si>
    <t>5914344
0,000
R$ 0,82</t>
  </si>
  <si>
    <t>PARTE 01 - BORDOS</t>
  </si>
  <si>
    <t>PARTE 01 - EIXO</t>
  </si>
  <si>
    <t>PARTE 02 - BORDOS</t>
  </si>
  <si>
    <t>PARTE 02 - EIXO</t>
  </si>
  <si>
    <t>Planilha Orçamentária Sintética</t>
  </si>
  <si>
    <t xml:space="preserve"> 2.3</t>
  </si>
  <si>
    <t>ESCAVAÇÃO HORIZONTAL, INCLUINDO CARGA E DESCARGA EM SOLO DE 1A CATEGORIA COM TRATOR DE ESTEIRAS (100HP/LÂMINA: 2,19M3). AF_07/2020</t>
  </si>
  <si>
    <t>88316</t>
  </si>
  <si>
    <t>89031</t>
  </si>
  <si>
    <t>89032</t>
  </si>
  <si>
    <t>TRATOR DE ESTEIRAS, POTÊNCIA 100 HP, PESO OPERACIONAL 9,4 T, COM LÂMINA 2,19 M3 - CHI DIURNO. AF_06/2014</t>
  </si>
  <si>
    <t>TRATOR DE ESTEIRAS, POTÊNCIA 100 HP, PESO OPERACIONAL 9,4 T, COM LÂMINA 2,19 M3 - CHP DIURNO. AF_06/2014</t>
  </si>
  <si>
    <t>CARGA, MANOBRA E DESCARGA DE SOLOS E MATERIAIS GRANULARES EM CAMINHÃO BASCULANTE 10 M³ - CARGA COM PÁ CARREGADEIRA (CAÇAMBA DE 1,7 A 2,8 M³ / 128 HP) E DESCARGA LIVRE (UNIDADE: M3). AF_07/2020</t>
  </si>
  <si>
    <t>M3</t>
  </si>
  <si>
    <t>0,0310000</t>
  </si>
  <si>
    <t>21,05</t>
  </si>
  <si>
    <t>0,0195000</t>
  </si>
  <si>
    <t>0,0115000</t>
  </si>
  <si>
    <t>1,2500000</t>
  </si>
  <si>
    <t xml:space="preserve"> 1.2</t>
  </si>
  <si>
    <t xml:space="preserve"> 3.1.3 </t>
  </si>
  <si>
    <t>EXECUÇÃO E COMPACTAÇÃO DE BASE E OU SUB BASE PARA PAVIMENTAÇÃO DE BRITA GRADUADA SIMPLES TRATADA COM CIMENTO - EXCLUSIVE CARGA E TRANSPORTE. AF_11/2019</t>
  </si>
  <si>
    <t>72,92</t>
  </si>
  <si>
    <t xml:space="preserve"> 3.2.2 </t>
  </si>
  <si>
    <t xml:space="preserve"> 3.2.3 </t>
  </si>
  <si>
    <t xml:space="preserve"> 3.2.4 </t>
  </si>
  <si>
    <t xml:space="preserve"> 3.2.5 </t>
  </si>
  <si>
    <t>TRANSPORTE COM CAMINHÃO BASCULANTE DE 10 M³, EM VIA URBANA PAVIMENTADA, DMT ATÉ 30 KM (UNIDADE: M3XKM). AF_07/2020 - CBUQ</t>
  </si>
  <si>
    <t>TRANSPORTE COM CAMINHÃO BASCULANTE DE 10 M³, EM VIA URBANA PAVIMENTADA, DMT ATÉ 30 KM (UNIDADE: M3XKM). AF_07/2020 - BRITA</t>
  </si>
  <si>
    <t xml:space="preserve"> 3.2.11</t>
  </si>
  <si>
    <t xml:space="preserve"> 3.2.12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</si>
  <si>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</si>
  <si>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</si>
  <si>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5.4</t>
  </si>
  <si>
    <t>Massa 
(t)</t>
  </si>
  <si>
    <t>Taxa
 (%)</t>
  </si>
  <si>
    <t>Quant.
 (Und)</t>
  </si>
  <si>
    <t>Distância
 (km)</t>
  </si>
  <si>
    <t>FAIXA LADO ESQUERDO</t>
  </si>
  <si>
    <t>FAIXA LADO DIREITO</t>
  </si>
  <si>
    <t>ROTATÓRIA</t>
  </si>
  <si>
    <t>CASCALHO</t>
  </si>
  <si>
    <t>BGS</t>
  </si>
  <si>
    <t xml:space="preserve"> 96394 </t>
  </si>
  <si>
    <t>USINAGEM DE BRITA GRADUADA TRATADA COM CIMENTO. AF_03/2020</t>
  </si>
  <si>
    <t>E9514</t>
  </si>
  <si>
    <t>Distribuidor de agregados sobre pneus autopropelido - 130 kW</t>
  </si>
  <si>
    <t>E9020</t>
  </si>
  <si>
    <t>Recicladora a frio - 455 kW</t>
  </si>
  <si>
    <t>E9530</t>
  </si>
  <si>
    <t>Rolo compactador liso vibratório autopropelido por pneus de 11 t - 97 kW</t>
  </si>
  <si>
    <t>M0191</t>
  </si>
  <si>
    <t>Brita 1</t>
  </si>
  <si>
    <t>M2147</t>
  </si>
  <si>
    <t>Dente de corte para recicladora</t>
  </si>
  <si>
    <t>M2148</t>
  </si>
  <si>
    <t>Porta-dente de corte para fresadora e recicladora a frio</t>
  </si>
  <si>
    <t>PISO - PISOS</t>
  </si>
  <si>
    <t xml:space="preserve"> 94964 </t>
  </si>
  <si>
    <t>CONCRETO FCK = 20MPA, TRAÇO 1:2,7:3 (EM MASSA SECA DE CIMENTO/ AREIA MÉDIA/ BRITA 1) - PREPARO MECÂNICO COM BETONEIRA 400 L. AF_05/2021</t>
  </si>
  <si>
    <t xml:space="preserve"> 00005068 </t>
  </si>
  <si>
    <t>PREGO DE ACO POLIDO COM CABECA 17 X 21 (2 X 11)</t>
  </si>
  <si>
    <t xml:space="preserve"> 00007156 </t>
  </si>
  <si>
    <t>TELA DE ACO SOLDADA NERVURADA, CA-60, Q-196, (3,11 KG/M2), DIAMETRO DO FIO = 5,0 MM, LARGURA = 2,45 M, ESPACAMENTO DA MALHA = 10 X 10 CM</t>
  </si>
  <si>
    <t xml:space="preserve"> 1.4 </t>
  </si>
  <si>
    <t xml:space="preserve"> 1.5 </t>
  </si>
  <si>
    <t xml:space="preserve"> 3.2.1 </t>
  </si>
  <si>
    <t xml:space="preserve"> 92398 </t>
  </si>
  <si>
    <t>EXECUÇÃO DE PAVIMENTO EM PISO INTERTRAVADO, COM BLOCO RETANGULAR COR NATURAL DE 20 X 10 CM, ESPESSURA 8 CM. AF_10/2022</t>
  </si>
  <si>
    <t xml:space="preserve"> 3.2.6 </t>
  </si>
  <si>
    <t xml:space="preserve"> 3.2.7 </t>
  </si>
  <si>
    <t xml:space="preserve"> 3.2.8 </t>
  </si>
  <si>
    <t xml:space="preserve"> 3.2.9 </t>
  </si>
  <si>
    <t xml:space="preserve"> 3.2.10 </t>
  </si>
  <si>
    <t xml:space="preserve"> 3.2.13</t>
  </si>
  <si>
    <t xml:space="preserve"> 5.1 </t>
  </si>
  <si>
    <t xml:space="preserve"> 92396 </t>
  </si>
  <si>
    <t>EXECUÇÃO DE PASSEIO EM PISO INTERTRAVADO, COM BLOCO RETANGULAR COR NATURAL DE 20 X 10 CM, ESPESSURA 6 CM. AF_10/2022</t>
  </si>
  <si>
    <t xml:space="preserve"> 5.2 </t>
  </si>
  <si>
    <t xml:space="preserve"> 5.3 </t>
  </si>
  <si>
    <t xml:space="preserve"> 5.4 </t>
  </si>
  <si>
    <t xml:space="preserve"> 12214 </t>
  </si>
  <si>
    <t xml:space="preserve"> 5.5 </t>
  </si>
  <si>
    <t xml:space="preserve"> 5.6 </t>
  </si>
  <si>
    <t xml:space="preserve"> 6 </t>
  </si>
  <si>
    <t>PAISAGISMO</t>
  </si>
  <si>
    <t xml:space="preserve"> 103946 </t>
  </si>
  <si>
    <t>PLANTIO DE GRAMA ESMERALDA OU SÃO CARLOS OU CURITIBANA, EM PLACAS. AF_05/2022</t>
  </si>
  <si>
    <t xml:space="preserve"> 6.2 </t>
  </si>
  <si>
    <t xml:space="preserve"> 00003322 </t>
  </si>
  <si>
    <t>GRAMA ESMERALDA OU SAO CARLOS OU CURITIBANA, EM PLACAS, SEM PLANTIO</t>
  </si>
  <si>
    <t xml:space="preserve"> 7 </t>
  </si>
  <si>
    <t xml:space="preserve"> 8.1 </t>
  </si>
  <si>
    <t>Massa
 (t)</t>
  </si>
  <si>
    <t>ESTACIONAMENTO</t>
  </si>
  <si>
    <t>CICLOVIA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</si>
  <si>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</si>
  <si>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</si>
  <si>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>Pisos : Cimentados, em Concreto Simples, tipo Tech-Stone e de Alta Resistência</t>
  </si>
  <si>
    <t xml:space="preserve"> 2323 </t>
  </si>
  <si>
    <t>Pintura p/ piso c/ aplicação de 2 demãos tinta novacor, cores cerâmica, concreto, verde ou azul - aplicação c/ rôlo - R1</t>
  </si>
  <si>
    <t>Outras Pinturas</t>
  </si>
  <si>
    <t xml:space="preserve"> 2497 </t>
  </si>
  <si>
    <t>Escavação manual de vala ou cava em material de 1ª categoria, profundidade até 1,50m</t>
  </si>
  <si>
    <t>Escavação Manual em Área Urbana</t>
  </si>
  <si>
    <t xml:space="preserve"> 2624 </t>
  </si>
  <si>
    <t>Remoção e reposição de meio-fio</t>
  </si>
  <si>
    <t>Meios-Fios e Guias</t>
  </si>
  <si>
    <t xml:space="preserve"> 3644 </t>
  </si>
  <si>
    <t>Acabamento de superfície de piso de concreto com desempolamento manual</t>
  </si>
  <si>
    <t>Pavimentações Externas</t>
  </si>
  <si>
    <t xml:space="preserve"> 77 </t>
  </si>
  <si>
    <t>Aterro de caixão de ediificação, com fornec. de areia, adensada com água</t>
  </si>
  <si>
    <t>Aterros / Reaterros / Compactações</t>
  </si>
  <si>
    <t xml:space="preserve"> 9182 </t>
  </si>
  <si>
    <t>Demolição de concreto com martelete e compressor</t>
  </si>
  <si>
    <t xml:space="preserve"> 98 </t>
  </si>
  <si>
    <t>Concreto simples usinado fck=25mpa, bombeado, lançado e adensado em superestrutura</t>
  </si>
  <si>
    <t>Alvenarias de Pedra e Concretos para Fundações</t>
  </si>
  <si>
    <t>URBA - URBANIZAÇÃO</t>
  </si>
  <si>
    <t xml:space="preserve"> 88441 </t>
  </si>
  <si>
    <t>JARDINEIRO COM ENCARGOS COMPLEMENTARES</t>
  </si>
  <si>
    <t xml:space="preserve"> 8 </t>
  </si>
  <si>
    <t xml:space="preserve"> 2.2</t>
  </si>
  <si>
    <t>PASSEIO E SARJETA</t>
  </si>
  <si>
    <t>CANTEIROS</t>
  </si>
  <si>
    <t xml:space="preserve"> 2.1</t>
  </si>
  <si>
    <t xml:space="preserve"> 2.4</t>
  </si>
  <si>
    <t xml:space="preserve"> 2.5</t>
  </si>
  <si>
    <t xml:space="preserve"> 2.6</t>
  </si>
  <si>
    <t xml:space="preserve"> 2.7</t>
  </si>
  <si>
    <t xml:space="preserve"> 2.8</t>
  </si>
  <si>
    <t xml:space="preserve"> 2.9</t>
  </si>
  <si>
    <t xml:space="preserve"> 2.10</t>
  </si>
  <si>
    <t xml:space="preserve"> 3.2</t>
  </si>
  <si>
    <t xml:space="preserve"> 4.1</t>
  </si>
  <si>
    <t xml:space="preserve"> 4.2</t>
  </si>
  <si>
    <t xml:space="preserve"> 4.3</t>
  </si>
  <si>
    <t>5.1</t>
  </si>
  <si>
    <t>2.1</t>
  </si>
  <si>
    <t>2.2</t>
  </si>
  <si>
    <t>1 - RETORNO AV. DAS NAÇÕES X FERNANDO FARIAS</t>
  </si>
  <si>
    <t>2 -  DUPLICAÇÃO AV. 18 (ACESSO ÃO JOÃO DE DEUS)</t>
  </si>
  <si>
    <t>3 -  REQUALIFICAÇÃO AV. DA INTEGRAÇÃO (G. BARBOSDA AO POSTO CATAVENTO)</t>
  </si>
  <si>
    <t>4 - AV. PEDRINHAS(COLÉGIO MILITAR)</t>
  </si>
  <si>
    <t>5 - SÃO GONÇALO/JARDIM PETROPOLES</t>
  </si>
  <si>
    <t>PLANILHA ORÇAMENTÁRIA</t>
  </si>
  <si>
    <t>Bancos Referenias</t>
  </si>
  <si>
    <t>TOTAL</t>
  </si>
  <si>
    <t>VALOR (R$)</t>
  </si>
  <si>
    <t>I</t>
  </si>
  <si>
    <t>II</t>
  </si>
  <si>
    <t>III</t>
  </si>
  <si>
    <t>IV</t>
  </si>
  <si>
    <t>V</t>
  </si>
  <si>
    <t xml:space="preserve">VALOR TOTAL </t>
  </si>
  <si>
    <t>ITEM</t>
  </si>
  <si>
    <t>CÓDIGO</t>
  </si>
  <si>
    <t>BANCO</t>
  </si>
  <si>
    <t>DESCRIÇÃO</t>
  </si>
  <si>
    <t>UNID</t>
  </si>
  <si>
    <t>QUANT.</t>
  </si>
  <si>
    <t>V. UNIT</t>
  </si>
  <si>
    <t>V. UNIT
C/ BDI</t>
  </si>
  <si>
    <t>,</t>
  </si>
  <si>
    <t>PESO (%)</t>
  </si>
  <si>
    <t xml:space="preserve">QUANTIDADES </t>
  </si>
  <si>
    <t>VALORES (R$)</t>
  </si>
  <si>
    <t>REMOÇÃO DE PARALELEPÍPEDOS</t>
  </si>
  <si>
    <t>DEMOLIÇÃO DE MEIO-FIO GRANÍTICO OU PRE-MOLDADO</t>
  </si>
  <si>
    <t>DEMOLIÇÃO DE CONCRETO SIMPLES COM MARTELETE</t>
  </si>
  <si>
    <t>COMPACTAÇÃO DE ATERROS A 100% DO PROCTOR NORMAL</t>
  </si>
  <si>
    <t>IMPRIMAÇÃO COM EMULSÃO ASFÁLTICA</t>
  </si>
  <si>
    <t>PINTURA DE LIGAÇÃO</t>
  </si>
  <si>
    <t>CONCRETO ASFÁLTICO - FAIXA C - AREIA E BRITA COMERCIAIS</t>
  </si>
  <si>
    <t>RECICLAGEM COM INCORPORAÇÃO DO REVESTIMENTO ASFÁLTICO À BASE E ADIÇÃO DE BRITA COMERCIAL</t>
  </si>
  <si>
    <t>RAMPA PADRÃO PARA ACESSO DE DEFICIENTES A PASSEIO PÚBLICO, EM CONCRETO SIMPLES FCK=25MPA, DESEMPOLADA, COM PINTURA INDICATIVA EM NOVACOR, 02 DEMÃOS</t>
  </si>
  <si>
    <t>QUANT
TOTAL</t>
  </si>
  <si>
    <t>ITENS</t>
  </si>
  <si>
    <t>1.1</t>
  </si>
  <si>
    <t>1.2</t>
  </si>
  <si>
    <t>1.3</t>
  </si>
  <si>
    <t>1.4</t>
  </si>
  <si>
    <t>1.5</t>
  </si>
  <si>
    <t>1.6</t>
  </si>
  <si>
    <t>1.7</t>
  </si>
  <si>
    <t>3.1</t>
  </si>
  <si>
    <t>3.2</t>
  </si>
  <si>
    <t>3.3</t>
  </si>
  <si>
    <t>3.4</t>
  </si>
  <si>
    <t>3.5</t>
  </si>
  <si>
    <t>3.6</t>
  </si>
  <si>
    <t>3.7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</si>
  <si>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</si>
  <si>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</si>
  <si>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</si>
  <si>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</si>
  <si>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</si>
  <si>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</si>
  <si>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</si>
  <si>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</si>
  <si>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</si>
  <si>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</si>
  <si>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</si>
  <si>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</si>
  <si>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4.1</t>
  </si>
  <si>
    <t>4.2</t>
  </si>
  <si>
    <t>5.2</t>
  </si>
  <si>
    <t>5.3</t>
  </si>
  <si>
    <t>5.4</t>
  </si>
  <si>
    <t>8.1</t>
  </si>
  <si>
    <t>P. UNIT
C/ BDI</t>
  </si>
  <si>
    <t xml:space="preserve"> 4011486 </t>
  </si>
  <si>
    <t xml:space="preserve"> CPU - 002 </t>
  </si>
  <si>
    <t xml:space="preserve"> 1.6 </t>
  </si>
  <si>
    <t xml:space="preserve"> 2.3 </t>
  </si>
  <si>
    <t xml:space="preserve"> 3.1.4 </t>
  </si>
  <si>
    <t>E9027</t>
  </si>
  <si>
    <t>Caminhão distribuidor de cimento e cal com capacidade de 17 m³ - 210 kW</t>
  </si>
  <si>
    <t>M1954</t>
  </si>
  <si>
    <t>Cimento Portland CP II - 32 - a granel</t>
  </si>
  <si>
    <t>kg</t>
  </si>
  <si>
    <t>Carga, manobra e descarga de agregados ou solos em caminhão basculante de 10 m³ - carga com carregadeira de 3,40 m³ (exclusa) e descarga em distribuidor autopropelido</t>
  </si>
  <si>
    <t>Carga, manobra e descarga de cimento ou cal hidratada a granel em caminhão silo de 30 m³</t>
  </si>
  <si>
    <t>Brita 1 - Caminhão basculante com capacidade de 10 m³ - 210 kW</t>
  </si>
  <si>
    <t>Cimento Portland CP II - 32 - a granel - Caminhão silo com capacidade de 30 m³ - 265 kW</t>
  </si>
  <si>
    <t>5914364
0,000
R$ 0,87</t>
  </si>
  <si>
    <t>5914365
0,000
R$ 0,70</t>
  </si>
  <si>
    <t>5914366
0,000
R$ 0,57</t>
  </si>
  <si>
    <t xml:space="preserve"> 00001 </t>
  </si>
  <si>
    <t>TON</t>
  </si>
  <si>
    <t xml:space="preserve"> 00002 </t>
  </si>
  <si>
    <t xml:space="preserve"> 3.2.11 </t>
  </si>
  <si>
    <t xml:space="preserve"> 00003 </t>
  </si>
  <si>
    <t>Total Geral</t>
  </si>
  <si>
    <t xml:space="preserve"> 101124 </t>
  </si>
  <si>
    <t xml:space="preserve"> 100974 </t>
  </si>
  <si>
    <t xml:space="preserve"> 89031 </t>
  </si>
  <si>
    <t xml:space="preserve"> 89032 </t>
  </si>
  <si>
    <t>RECICLAGEM COM INCORPORAÇÃO DO REVESTIMENTO ASFÁLTICO À BASE E ADIÇÃO DE 3% DE CIMENTO E DE BRITA COMERCIAL</t>
  </si>
  <si>
    <t xml:space="preserve">SINAPI - 10/2024 - Pernambuco
SICRO3 - 07/2024 - Pernambuco
ORSE - 07/2024 - Sergipe
SEINFRA - 028 - Ceará
</t>
  </si>
  <si>
    <t>ok</t>
  </si>
  <si>
    <t>sinapi</t>
  </si>
  <si>
    <t>*(1+h2)</t>
  </si>
  <si>
    <t>CALÇADA</t>
  </si>
  <si>
    <t xml:space="preserve">REMOÇÃO DE PARALELEPÍPEDOS </t>
  </si>
  <si>
    <t>RECAPEAMENTO</t>
  </si>
  <si>
    <t>LATERAL CANTEIRO CENTRAL</t>
  </si>
  <si>
    <t>ROTATÓRIA E ILHA CENTRAL</t>
  </si>
  <si>
    <t>CANTEIRO  E CALÇADA CEFET</t>
  </si>
  <si>
    <t>CALÇADA CEFET</t>
  </si>
  <si>
    <t>DEMOLIÇÃO DE MEIO-FIO GRANÍTICO OU PRÉ-MOLDADO</t>
  </si>
  <si>
    <t>COMPACTAÇÃO DE ATERRO A 100% DO PROCTOR NORMAL</t>
  </si>
  <si>
    <t>RAMPA PADRÃO PARA ACESSO DE DEFICIENTES EM PASSEIO PÚBLICO, EM CONCRETO SIMPLES FCK=25MPa, DESEMPOLADA, COM PINTURA INDICATIVA EM NOVACOR, 02 DEMÃOS</t>
  </si>
  <si>
    <t>CANTEIRO</t>
  </si>
  <si>
    <t>ROTATÓRIA E CANTEIROS</t>
  </si>
  <si>
    <t>PAVIMENTO EM PARALELEPIPEDO</t>
  </si>
  <si>
    <t>PAVIMENTO NOVO</t>
  </si>
  <si>
    <t>PAVIMENTO ASFÁLTICO NOVO</t>
  </si>
  <si>
    <t>RECICLAGEM COM INCORPORAÇÃO DE REVESTIMENTO ASFÁLTICOÀ BASE E ADIÇÃO DE BRITA COMERCIAL</t>
  </si>
  <si>
    <t>P9824</t>
  </si>
  <si>
    <t xml:space="preserve"> 3.2.12 </t>
  </si>
  <si>
    <t>TRANSPORTE COM CAMINHÃO BASCULANTE DE 10 M³, EM VIA URBANA PAVIMENTADA, DMT ATÉ 30 KM (UNIDADE: M3XKM). AF_07/2020 - AREIA E PÓ DE PEDRA</t>
  </si>
  <si>
    <t>TRANSPORTE COM CAMINHÃO BASCULANTE DE 6 M³, EM VIA URBANA PAVIMENTADA, DMT ATÉ 30 KM (UNIDADE: M3XKM). AF_07/2020 - SOLO</t>
  </si>
  <si>
    <t>CAMINHÃO BASCULANTE 6 M3 TOCO, PESO BRUTO TOTAL 16.000 KG, CARGA ÚTIL MÁXIMA 11.130 KG, DISTÂNCIA ENTRE EIXOS 5,36 M, POTÊNCIA 185 CV, INCLUSIVE CAÇAMBA METÁLICA - CHI DIURNO. AF_06/2014 - METRALHA</t>
  </si>
  <si>
    <t>TRANSPORTE COM CAMINHÃO BASCULANTE DE 6 M³, EM VIA URBANA PAVIMENTADA, DMT ATÉ 30 KM (UNIDADE: M3XKM). AF_07/2020 - ENTULHO</t>
  </si>
  <si>
    <t>2.3</t>
  </si>
  <si>
    <t>TRANSPORTE COM CAMINHÃO BASCULANTE DE 10 M³, EM VIA URBANA PAVIMENTADA, DMT ATÉ 30 KM (UNIDADE: M3XKM). AF_07/2020 - BASE</t>
  </si>
  <si>
    <t>CARGA, MANOBRA E DESCARGA DE SOLOS E MATERIAIS GRANULARES EM CAMINHÃO BASCULANTE 6 M³ - CARGA COM ESCAVADEIRA HIDRÁULICA (CAÇAMBA DE 1,20 M³ / 155 HP) E DESCARGA LIVRE (UNIDADE: M3). AF_07/2020 - BASE</t>
  </si>
  <si>
    <t>CARGA, MANOBRA E DESCARGA DE SOLOS E MATERIAIS GRANULARES EM CAMINHÃO BASCULANTE 6 M³ - CARGA COM ESCAVADEIRA HIDRÁULICA (CAÇAMBA DE 1,20 M³ / 155 HP) E DESCARGA LIVRE (UNIDADE: M3). AF_07/2020 BASE</t>
  </si>
  <si>
    <t>3.8</t>
  </si>
  <si>
    <t>IMPRIIMAÇÃO COM EMULSÃO ASFÁLTICA</t>
  </si>
  <si>
    <t>DEMOLIÇÃO DE CONCRETO SIMPLESW COM MARTELETE</t>
  </si>
  <si>
    <t>DEMOLIÇÃO DE MEIO-FIO GRANILÍTICO OU PRE-MOLDADO</t>
  </si>
  <si>
    <t>RECICLAGEM COM INCORPORAÇÃO DO REVESTIMENTO ASFÁLTICO À BASE E ADIÇÃO 3% DE CIMENTO E DE BRITA COMERCIAL</t>
  </si>
  <si>
    <t>5.5</t>
  </si>
  <si>
    <t>CARGA, MANOBRA E DESCARGA DE SOLOS E MATERIAIS GRANULARES EM CAMINHÃO BASCULANTE 6 M³ - CARGA COM ESCAVADEIRA HIDRÁULICA (CAÇAMBA DE 1,20 M³ / 155 HP) E DESCARGA LIVRE (UNIDADE: M3). AF_07/2020 - AREIA E PÓ DE PEDRA</t>
  </si>
  <si>
    <t>TRANSPORTE COM CAMINHÃO BASCULANTE DE 10 M³, EM VIA URBANA PAVIMENTADA, DMT ATÉ 30 KM (UNIDADE: M3XKM). AF_07/2020 - AREIA E PÓ DE PEDRA - PAVIMENTO</t>
  </si>
  <si>
    <t>CARGA, MANOBRA E DESCARGA DE SOLOS E MATERIAIS GRANULARES EM CAMINHÃO BASCULANTE 6 M³ - CARGA COM ESCAVADEIRA HIDRÁULICA (CAÇAMBA DE 1,20 M³ / 155 HP) E DESCARGA LIVRE (UNIDADE: M3). AF_07/2020 - ENTULHO</t>
  </si>
  <si>
    <t>TOT</t>
  </si>
  <si>
    <t>DIF</t>
  </si>
  <si>
    <t>Valor Total</t>
  </si>
  <si>
    <t>% do item</t>
  </si>
  <si>
    <t>% acumulada</t>
  </si>
  <si>
    <t>Valor do item + BDI</t>
  </si>
  <si>
    <t>Valor Final do Item</t>
  </si>
  <si>
    <t>Quantitativo Obras</t>
  </si>
  <si>
    <t>Quantitativo Total</t>
  </si>
  <si>
    <t>Serviço</t>
  </si>
  <si>
    <t>Classe</t>
  </si>
  <si>
    <t>%</t>
  </si>
  <si>
    <t>CARGA, MANOBRA E DESCARGA DE SOLOS E MATERIAIS GRANULARES EM CAMINHÃO BASCULANTE 6 M³ - CARGA COM ESCAVADEIRA HIDRÁULICA (CAÇAMBA DE 1,20 M³ / 155 HP) E DESCARGA LIVRE (UNIDADE: M3). AF_07/2020 - BASE2</t>
  </si>
  <si>
    <t>M³</t>
  </si>
  <si>
    <t>OK</t>
  </si>
  <si>
    <t>PESO(%)</t>
  </si>
  <si>
    <t>VALOR TOTAL</t>
  </si>
  <si>
    <t>R$</t>
  </si>
  <si>
    <t>TOTAL GLOBAL</t>
  </si>
  <si>
    <t>CRONOGRAMA       FÍSICO     -    FINANCEIRO</t>
  </si>
  <si>
    <t>SERVIÇOS</t>
  </si>
  <si>
    <t>DESEMBOLSO PARCIAL  R$</t>
  </si>
  <si>
    <t>DESEMBOLSO PARCIAL  %</t>
  </si>
  <si>
    <t>DESEMBOLSO ACUMULADO  R$</t>
  </si>
  <si>
    <t>DESEMBOLSO ACUMULADO %</t>
  </si>
  <si>
    <t>MEIO-FIO E SARJETA</t>
  </si>
  <si>
    <t>ADMINISTRAÇÃO DA OBRA</t>
  </si>
  <si>
    <t>PERCENTUAL</t>
  </si>
  <si>
    <t>MESES</t>
  </si>
  <si>
    <t>Sem 1</t>
  </si>
  <si>
    <t>Sem 2</t>
  </si>
  <si>
    <t>Sem 3</t>
  </si>
  <si>
    <t>Sem 4</t>
  </si>
  <si>
    <t>Mês 1</t>
  </si>
  <si>
    <t xml:space="preserve">Mês 2 </t>
  </si>
  <si>
    <t>Mês 3</t>
  </si>
  <si>
    <t>Mês 4</t>
  </si>
  <si>
    <t>Mês 6</t>
  </si>
  <si>
    <t>Mês 7</t>
  </si>
  <si>
    <t>Mês 8</t>
  </si>
  <si>
    <t>Mês 9</t>
  </si>
  <si>
    <t>Mês 10</t>
  </si>
  <si>
    <t>soma</t>
  </si>
  <si>
    <t>Mês 5</t>
  </si>
  <si>
    <t>OBRA 1</t>
  </si>
  <si>
    <t>OBRA 2</t>
  </si>
  <si>
    <t>OBRA 3</t>
  </si>
  <si>
    <t>OBRA 4</t>
  </si>
  <si>
    <t>Valor Consolidado</t>
  </si>
  <si>
    <t>EXECUÇÃO DE BASE E SUB-BASE</t>
  </si>
  <si>
    <t>DEMOLIÇÃO</t>
  </si>
  <si>
    <t>IMPRIMAÇÃO ASFÁLTICA</t>
  </si>
  <si>
    <t>Curva</t>
  </si>
  <si>
    <t>CONCRETO ASFÁLTICO USINADO À QUENTE (CAUQ)</t>
  </si>
  <si>
    <t xml:space="preserve">SERVIÇOS </t>
  </si>
  <si>
    <t>CARGA</t>
  </si>
  <si>
    <t>TRANSPORTES CAMINHÃO BASCULANTE</t>
  </si>
  <si>
    <t>TRANSPORTE COM CAMINHÃO TANQUE 30000L</t>
  </si>
  <si>
    <t>EXECUÇÃO DE PISO E PASSEIO INTERTRAVADO</t>
  </si>
  <si>
    <r>
      <t>m</t>
    </r>
    <r>
      <rPr>
        <sz val="11"/>
        <rFont val="Arial"/>
        <family val="2"/>
      </rPr>
      <t>³</t>
    </r>
    <r>
      <rPr>
        <sz val="11"/>
        <rFont val="Arial"/>
        <family val="1"/>
      </rPr>
      <t>xKm</t>
    </r>
  </si>
  <si>
    <t>TxKm</t>
  </si>
  <si>
    <t>Mês</t>
  </si>
  <si>
    <t>LOCAL</t>
  </si>
  <si>
    <t>Av. das Nações / AV. Fernando Farias</t>
  </si>
  <si>
    <t>ENGARGOS SOCIAIS</t>
  </si>
  <si>
    <t>BANCOS</t>
  </si>
  <si>
    <t>Av. 18 / Av. Donizete Lopes Santos</t>
  </si>
  <si>
    <t>Av. da Integração</t>
  </si>
  <si>
    <t>ENCARGOS SOCIAIS</t>
  </si>
  <si>
    <t>Av. Pedrinhas</t>
  </si>
  <si>
    <t xml:space="preserve">00006111/SINAPI </t>
  </si>
  <si>
    <t>8.2</t>
  </si>
  <si>
    <t>RESUMO DOS ITENS DE CADA ETAPA DA OBRA</t>
  </si>
  <si>
    <t>Consta o preço individual cada etapa da obra incluso o BDI, seja para serviço, seja para fornecimento de material, cujo está detalhado em composição de custos</t>
  </si>
  <si>
    <t>ATESTAÇÃO DOS ITENS DE MAIOR RELEVAÇÃO PARA O CONJUNTO DE OBRAS</t>
  </si>
  <si>
    <t>CURVA ABC CONSOLIDADA, COM AS RESPECTIVA PORCENTAGEM DE IMPORTÂNCIA</t>
  </si>
  <si>
    <t>ITENS DA COMPOSIÇÃO DETALHADA PARA ELABORAÇÃO DA CURVA ABC CONSOLIDADA</t>
  </si>
  <si>
    <t>PLANILHA CONSOLIDADA DO CONJUNTO DAS DUAS OBRAS COM QUANTITATIVOS E VALORES TOTAIS</t>
  </si>
  <si>
    <t>ISS</t>
  </si>
  <si>
    <t>PIS</t>
  </si>
  <si>
    <t>Tipo de obra, conforme Acórdão nº 2622/2013 - TCU: CONSTRUÇÃO DE RODOVIAS E FERROVIAS</t>
  </si>
  <si>
    <t>SIGLA</t>
  </si>
  <si>
    <t>AC</t>
  </si>
  <si>
    <t>Administração central</t>
  </si>
  <si>
    <t>DF</t>
  </si>
  <si>
    <t>Despesas financeiras</t>
  </si>
  <si>
    <t>R</t>
  </si>
  <si>
    <t>Riscos</t>
  </si>
  <si>
    <t>S + G</t>
  </si>
  <si>
    <t>Seguro + Garantia</t>
  </si>
  <si>
    <t>Lucro</t>
  </si>
  <si>
    <t>Tributos (soma)</t>
  </si>
  <si>
    <t>COFINS</t>
  </si>
  <si>
    <t>BDI ADOTADO ------------------------------------------------------------</t>
  </si>
  <si>
    <t>Fórmula de Cálculo do BDI com base no TCU:</t>
  </si>
  <si>
    <t>BDI=</t>
  </si>
  <si>
    <t>(1+(AC+R+S+G))*(1+DF)*(1+L)</t>
  </si>
  <si>
    <t>(1-T)</t>
  </si>
  <si>
    <t>Em caso de obra pública, faz-se necessário verificar os seguintes limites para o BDI:</t>
  </si>
  <si>
    <t>MÍNIMO</t>
  </si>
  <si>
    <t>% ADOTADO</t>
  </si>
  <si>
    <t>MÁXIMO</t>
  </si>
  <si>
    <t>OBRAS CIVIS NA CIDADE DE PETROLINA</t>
  </si>
  <si>
    <t>SINAPI (12/2024 - PE - NÃO DESONERADA) / SICRO OUTUBRO DE 2024 / ORSE DEZEMBRO DE 2024</t>
  </si>
  <si>
    <t>BDI PRINCIPAL</t>
  </si>
  <si>
    <t>BDI DIFERENCIADO</t>
  </si>
  <si>
    <t xml:space="preserve">      BONIFICAÇÃO E DESPESAS INDIRETAS - BDI PRINCIPAL E DIFERENCIADO</t>
  </si>
  <si>
    <t>CRONOGRAMA FÍSICO-FINANCEIRO CONSOLIDADO DAS DUAS OBRAS</t>
  </si>
  <si>
    <t>B.D.I. PRINCIPAL</t>
  </si>
  <si>
    <t>B.D.I DIFERENCIADO</t>
  </si>
  <si>
    <t>CRONOGRAMA       FÍSICO     -    FINANCEIRO OBRA 01</t>
  </si>
  <si>
    <t>CRONOGRAMA       FÍSICO     -    FINANCEIRO OBRA 02</t>
  </si>
  <si>
    <t>CONSTRUÇÃO DO BDI PRINCIPAL</t>
  </si>
  <si>
    <t>CONSTRUÇÃO DOBDI DIFERENCIADO</t>
  </si>
  <si>
    <t>BDI</t>
  </si>
  <si>
    <t>PLANILHA ORÇAMENTÁRIA SINTÉTICA DA OBRA 01</t>
  </si>
  <si>
    <t>MEMORIAL DE CÁLCULO PARA OBRA 01</t>
  </si>
  <si>
    <t>CRONOGRAMA FÍSICO-FINANCEIRO DA OBRA 01</t>
  </si>
  <si>
    <t>PLANILHA ORÇAMENTÁRIA ANÁLITICA DA OBRA 02</t>
  </si>
  <si>
    <t>PLANILHA ORÇAMENTÁRIA SINTÉTICA DA OBRA 02</t>
  </si>
  <si>
    <t>MEMORIAL DE CÁLCULO PARA A OBRA 02</t>
  </si>
  <si>
    <t>PLANILHA ORÇAMENTÁRIA ANÁLITICA PARA OBRA 02</t>
  </si>
  <si>
    <t>CRONOGRAMA FÍSICO-FINANCEIRO PARA OBRA 02</t>
  </si>
  <si>
    <t>LEGENDA</t>
  </si>
  <si>
    <t>Utilizado o BDI principal</t>
  </si>
  <si>
    <t>Utilizado o BDI diferenciado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</si>
</sst>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"/>
    <numFmt numFmtId="166" formatCode="#,##0.0000000"/>
    <numFmt numFmtId="167" formatCode="#,##0.00000"/>
    <numFmt numFmtId="168" formatCode="0.000000"/>
    <numFmt numFmtId="169" formatCode="_([$€]* #,##0.00_);_([$€]* \(#,##0.00\);_([$€]* &quot;-&quot;??_);_(@_)"/>
    <numFmt numFmtId="170" formatCode="0.000%"/>
    <numFmt numFmtId="171" formatCode="#,##0.000000"/>
    <numFmt numFmtId="172" formatCode="#,##0.00000000"/>
    <numFmt numFmtId="173" formatCode="#,##0.0000000000"/>
    <numFmt numFmtId="174" formatCode="#,##0.00000000000"/>
    <numFmt numFmtId="175" formatCode="#,##0.000000000000"/>
    <numFmt numFmtId="176" formatCode="#,##0.0000000000000"/>
    <numFmt numFmtId="177" formatCode="#,##0.00000000000000"/>
    <numFmt numFmtId="178" formatCode="#,##0.0000000000000000"/>
    <numFmt numFmtId="179" formatCode="#,##0.00000000000000000"/>
    <numFmt numFmtId="180" formatCode="0.00000000000"/>
    <numFmt numFmtId="181" formatCode="0.00000"/>
    <numFmt numFmtId="182" formatCode="_-* #,##0.00000_-;\-* #,##0.00000_-;_-* &quot;-&quot;??_-;_-@_-"/>
    <numFmt numFmtId="183" formatCode="0.00000000%"/>
    <numFmt numFmtId="184" formatCode="0.0000000%"/>
    <numFmt numFmtId="185" formatCode="_-&quot;R$&quot;* #,##0.00_-;\-&quot;R$&quot;* #,##0.00_-;_-&quot;R$&quot;* &quot;-&quot;??_-;_-@_-"/>
    <numFmt numFmtId="186" formatCode="_(&quot;R$ &quot;* #,##0.00_);_(&quot;R$ &quot;* \(#,##0.00\);_(&quot;R$ &quot;* &quot;-&quot;??_);_(@_)"/>
    <numFmt numFmtId="187" formatCode="&quot;R$&quot;#,##0.00;[Red]&quot;R$&quot;#,##0.00"/>
    <numFmt numFmtId="188" formatCode="_ * #,##0.00_)\ _R_$_ ;_ * \(#,##0.00\)\ _R_$_ ;_ * &quot;-&quot;??_)\ _R_$_ ;_ @_ "/>
    <numFmt numFmtId="189" formatCode="#,"/>
  </numFmts>
  <fonts count="80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8"/>
      <name val="Arial"/>
      <family val="1"/>
    </font>
    <font>
      <b/>
      <sz val="10"/>
      <color rgb="FF000000"/>
      <name val="Arial"/>
      <family val="2"/>
    </font>
    <font>
      <b/>
      <sz val="14"/>
      <name val="Arial"/>
      <family val="1"/>
    </font>
    <font>
      <sz val="14"/>
      <name val="Arial"/>
      <family val="1"/>
    </font>
    <font>
      <sz val="11"/>
      <name val="Arial"/>
      <family val="1"/>
    </font>
    <font>
      <b/>
      <sz val="10"/>
      <color rgb="FF3333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1"/>
    </font>
    <font>
      <b/>
      <sz val="10"/>
      <color theme="0"/>
      <name val="Arial"/>
      <family val="1"/>
    </font>
    <font>
      <sz val="10"/>
      <color theme="0"/>
      <name val="Arial"/>
      <family val="1"/>
    </font>
    <font>
      <b/>
      <sz val="11"/>
      <color theme="0"/>
      <name val="Arial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1"/>
    </font>
    <font>
      <b/>
      <sz val="10"/>
      <color rgb="FF3333FF"/>
      <name val="Arial"/>
      <family val="1"/>
    </font>
    <font>
      <sz val="11"/>
      <color rgb="FFFF0000"/>
      <name val="Arial"/>
      <family val="1"/>
    </font>
    <font>
      <sz val="11"/>
      <color theme="0"/>
      <name val="Arial"/>
      <family val="2"/>
    </font>
    <font>
      <sz val="14"/>
      <color theme="0"/>
      <name val="Arial"/>
      <family val="2"/>
    </font>
    <font>
      <b/>
      <sz val="13"/>
      <color theme="0"/>
      <name val="Arial"/>
      <family val="2"/>
    </font>
    <font>
      <sz val="11"/>
      <color rgb="FFFF0000"/>
      <name val="Arial"/>
      <family val="2"/>
    </font>
    <font>
      <b/>
      <sz val="14"/>
      <color theme="0"/>
      <name val="Arial"/>
      <family val="1"/>
    </font>
    <font>
      <b/>
      <sz val="14"/>
      <color theme="0"/>
      <name val="Arial"/>
      <family val="2"/>
    </font>
    <font>
      <sz val="14"/>
      <color theme="0"/>
      <name val="Arial"/>
      <family val="1"/>
    </font>
    <font>
      <sz val="11"/>
      <color rgb="FF9C0006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Helv"/>
    </font>
    <font>
      <sz val="10"/>
      <name val="Ottawa"/>
    </font>
    <font>
      <sz val="10"/>
      <name val="Times New Roman"/>
      <family val="1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9C6500"/>
      <name val="Calibri"/>
      <family val="2"/>
      <scheme val="minor"/>
    </font>
    <font>
      <sz val="11"/>
      <color indexed="20"/>
      <name val="Calibri"/>
      <family val="2"/>
    </font>
    <font>
      <sz val="10"/>
      <name val="Courier"/>
      <family val="3"/>
    </font>
    <font>
      <sz val="11"/>
      <color indexed="60"/>
      <name val="Calibri"/>
      <family val="2"/>
    </font>
    <font>
      <sz val="1"/>
      <color indexed="18"/>
      <name val="Courier"/>
      <family val="3"/>
    </font>
    <font>
      <b/>
      <sz val="14"/>
      <name val="Nunito"/>
    </font>
    <font>
      <sz val="10"/>
      <name val="Nunito"/>
    </font>
    <font>
      <sz val="8"/>
      <name val="Nunito"/>
    </font>
    <font>
      <b/>
      <sz val="10"/>
      <name val="Nunito"/>
    </font>
    <font>
      <sz val="10"/>
      <color rgb="FF666666"/>
      <name val="Nunito"/>
    </font>
    <font>
      <sz val="10"/>
      <color rgb="FFFFFFFF"/>
      <name val="Nunito"/>
    </font>
    <font>
      <sz val="11"/>
      <color rgb="FFFF6D18"/>
      <name val="Nunito"/>
    </font>
    <font>
      <b/>
      <sz val="14"/>
      <name val="Arial"/>
      <family val="2"/>
    </font>
    <font>
      <sz val="14"/>
      <name val="Arial"/>
      <family val="2"/>
    </font>
    <font>
      <b/>
      <sz val="9"/>
      <name val="Arial"/>
      <family val="1"/>
    </font>
  </fonts>
  <fills count="7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D9D9D9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00B050"/>
        <bgColor indexed="64"/>
      </patternFill>
    </fill>
  </fills>
  <borders count="159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ck">
        <color theme="4" tint="0.39982299264503923"/>
      </left>
      <right style="hair">
        <color theme="4" tint="0.39982299264503923"/>
      </right>
      <top style="thick">
        <color theme="4" tint="0.39982299264503923"/>
      </top>
      <bottom style="hair">
        <color theme="4" tint="0.39982299264503923"/>
      </bottom>
      <diagonal/>
    </border>
    <border>
      <left style="hair">
        <color theme="4" tint="0.39982299264503923"/>
      </left>
      <right style="hair">
        <color theme="4" tint="0.39982299264503923"/>
      </right>
      <top style="thick">
        <color theme="4" tint="0.39982299264503923"/>
      </top>
      <bottom style="hair">
        <color theme="4" tint="0.39982299264503923"/>
      </bottom>
      <diagonal/>
    </border>
    <border>
      <left style="hair">
        <color theme="4" tint="0.39982299264503923"/>
      </left>
      <right style="thick">
        <color theme="4" tint="0.39982299264503923"/>
      </right>
      <top style="thick">
        <color theme="4" tint="0.39982299264503923"/>
      </top>
      <bottom style="hair">
        <color theme="4" tint="0.39982299264503923"/>
      </bottom>
      <diagonal/>
    </border>
    <border>
      <left style="thick">
        <color theme="4" tint="0.39982299264503923"/>
      </left>
      <right style="hair">
        <color theme="4" tint="0.39982299264503923"/>
      </right>
      <top style="hair">
        <color theme="4" tint="0.39982299264503923"/>
      </top>
      <bottom style="hair">
        <color theme="4" tint="0.39982299264503923"/>
      </bottom>
      <diagonal/>
    </border>
    <border>
      <left style="hair">
        <color theme="4" tint="0.39982299264503923"/>
      </left>
      <right style="hair">
        <color theme="4" tint="0.39982299264503923"/>
      </right>
      <top style="hair">
        <color theme="4" tint="0.39982299264503923"/>
      </top>
      <bottom style="hair">
        <color theme="4" tint="0.39982299264503923"/>
      </bottom>
      <diagonal/>
    </border>
    <border>
      <left style="hair">
        <color theme="4" tint="0.39982299264503923"/>
      </left>
      <right style="thick">
        <color theme="4" tint="0.39982299264503923"/>
      </right>
      <top style="hair">
        <color theme="4" tint="0.39982299264503923"/>
      </top>
      <bottom style="hair">
        <color theme="4" tint="0.39982299264503923"/>
      </bottom>
      <diagonal/>
    </border>
    <border>
      <left style="thick">
        <color theme="4" tint="0.39982299264503923"/>
      </left>
      <right style="hair">
        <color theme="4" tint="0.39982299264503923"/>
      </right>
      <top style="hair">
        <color theme="4" tint="0.39982299264503923"/>
      </top>
      <bottom style="thick">
        <color theme="4" tint="0.39985351115451523"/>
      </bottom>
      <diagonal/>
    </border>
    <border>
      <left style="hair">
        <color theme="4" tint="0.39982299264503923"/>
      </left>
      <right style="hair">
        <color theme="4" tint="0.39982299264503923"/>
      </right>
      <top style="hair">
        <color theme="4" tint="0.39982299264503923"/>
      </top>
      <bottom style="thick">
        <color theme="4" tint="0.39985351115451523"/>
      </bottom>
      <diagonal/>
    </border>
    <border>
      <left style="hair">
        <color theme="4" tint="0.39982299264503923"/>
      </left>
      <right style="thick">
        <color theme="4" tint="0.39982299264503923"/>
      </right>
      <top style="hair">
        <color theme="4" tint="0.39982299264503923"/>
      </top>
      <bottom style="thick">
        <color theme="4" tint="0.39985351115451523"/>
      </bottom>
      <diagonal/>
    </border>
    <border>
      <left style="hair">
        <color theme="4" tint="0.39991454817346722"/>
      </left>
      <right style="hair">
        <color theme="4" tint="0.39991454817346722"/>
      </right>
      <top style="hair">
        <color theme="4" tint="0.39991454817346722"/>
      </top>
      <bottom style="hair">
        <color theme="4" tint="0.39991454817346722"/>
      </bottom>
      <diagonal/>
    </border>
    <border>
      <left style="hair">
        <color theme="4" tint="0.39991454817346722"/>
      </left>
      <right style="medium">
        <color theme="4" tint="0.39991454817346722"/>
      </right>
      <top style="hair">
        <color theme="4" tint="0.39991454817346722"/>
      </top>
      <bottom style="hair">
        <color theme="4" tint="0.39991454817346722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/>
      <right/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 style="hair">
        <color theme="4" tint="0.39991454817346722"/>
      </top>
      <bottom style="hair">
        <color theme="4" tint="0.399914548173467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/>
      <top style="medium">
        <color theme="2" tint="-9.9948118533890809E-2"/>
      </top>
      <bottom/>
      <diagonal/>
    </border>
    <border>
      <left style="medium">
        <color theme="2" tint="-9.9948118533890809E-2"/>
      </left>
      <right/>
      <top/>
      <bottom/>
      <diagonal/>
    </border>
    <border>
      <left style="medium">
        <color theme="2" tint="-9.9948118533890809E-2"/>
      </left>
      <right/>
      <top/>
      <bottom style="medium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theme="2" tint="-9.9948118533890809E-2"/>
      </bottom>
      <diagonal/>
    </border>
    <border>
      <left/>
      <right/>
      <top style="medium">
        <color indexed="64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indexed="64"/>
      </top>
      <bottom style="medium">
        <color theme="2" tint="-9.9948118533890809E-2"/>
      </bottom>
      <diagonal/>
    </border>
    <border>
      <left style="medium">
        <color theme="2" tint="-9.9948118533890809E-2"/>
      </left>
      <right/>
      <top style="medium">
        <color indexed="64"/>
      </top>
      <bottom style="medium">
        <color theme="2" tint="-9.9948118533890809E-2"/>
      </bottom>
      <diagonal/>
    </border>
    <border>
      <left/>
      <right style="medium">
        <color indexed="64"/>
      </right>
      <top style="medium">
        <color indexed="64"/>
      </top>
      <bottom style="medium">
        <color theme="2" tint="-9.9948118533890809E-2"/>
      </bottom>
      <diagonal/>
    </border>
    <border>
      <left style="medium">
        <color indexed="64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indexed="64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indexed="64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indexed="64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indexed="64"/>
      </left>
      <right style="medium">
        <color theme="2" tint="-9.9948118533890809E-2"/>
      </right>
      <top style="medium">
        <color theme="2" tint="-9.9948118533890809E-2"/>
      </top>
      <bottom style="medium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indexed="64"/>
      </bottom>
      <diagonal/>
    </border>
    <border>
      <left style="medium">
        <color theme="2" tint="-9.9948118533890809E-2"/>
      </left>
      <right style="medium">
        <color indexed="64"/>
      </right>
      <top style="medium">
        <color theme="2" tint="-9.9948118533890809E-2"/>
      </top>
      <bottom style="medium">
        <color indexed="64"/>
      </bottom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theme="2" tint="-9.9948118533890809E-2"/>
      </bottom>
      <diagonal/>
    </border>
    <border>
      <left/>
      <right/>
      <top/>
      <bottom style="medium">
        <color theme="2" tint="-9.9948118533890809E-2"/>
      </bottom>
      <diagonal/>
    </border>
    <border>
      <left/>
      <right style="medium">
        <color theme="2" tint="-9.9948118533890809E-2"/>
      </right>
      <top/>
      <bottom style="medium">
        <color theme="2" tint="-9.9948118533890809E-2"/>
      </bottom>
      <diagonal/>
    </border>
    <border>
      <left/>
      <right style="medium">
        <color indexed="64"/>
      </right>
      <top/>
      <bottom style="medium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  <border>
      <left style="thin">
        <color theme="2" tint="-9.9948118533890809E-2"/>
      </left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/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auto="1"/>
      </left>
      <right/>
      <top/>
      <bottom style="thin">
        <color rgb="FFCCCCCC"/>
      </bottom>
      <diagonal/>
    </border>
    <border>
      <left style="thin">
        <color auto="1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auto="1"/>
      </right>
      <top style="thin">
        <color rgb="FFCCCCCC"/>
      </top>
      <bottom/>
      <diagonal/>
    </border>
    <border>
      <left style="thin">
        <color auto="1"/>
      </left>
      <right/>
      <top style="thin">
        <color rgb="FFCCCCCC"/>
      </top>
      <bottom style="thin">
        <color rgb="FFCCCCCC"/>
      </bottom>
      <diagonal/>
    </border>
    <border>
      <left style="thin">
        <color auto="1"/>
      </left>
      <right/>
      <top style="thin">
        <color rgb="FFCCCCCC"/>
      </top>
      <bottom/>
      <diagonal/>
    </border>
    <border>
      <left/>
      <right/>
      <top style="medium">
        <color theme="2" tint="-9.9948118533890809E-2"/>
      </top>
      <bottom/>
      <diagonal/>
    </border>
    <border>
      <left/>
      <right style="medium">
        <color theme="2" tint="-9.9948118533890809E-2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theme="2" tint="-9.9948118533890809E-2"/>
      </bottom>
      <diagonal/>
    </border>
    <border>
      <left/>
      <right/>
      <top style="thin">
        <color indexed="64"/>
      </top>
      <bottom style="medium">
        <color theme="2" tint="-9.9948118533890809E-2"/>
      </bottom>
      <diagonal/>
    </border>
    <border>
      <left/>
      <right style="thin">
        <color indexed="64"/>
      </right>
      <top style="thin">
        <color indexed="64"/>
      </top>
      <bottom style="medium">
        <color theme="2" tint="-9.9948118533890809E-2"/>
      </bottom>
      <diagonal/>
    </border>
    <border>
      <left style="thin">
        <color indexed="64"/>
      </left>
      <right/>
      <top style="medium">
        <color theme="2" tint="-9.9948118533890809E-2"/>
      </top>
      <bottom/>
      <diagonal/>
    </border>
    <border>
      <left/>
      <right style="thin">
        <color indexed="64"/>
      </right>
      <top style="medium">
        <color theme="2" tint="-9.9948118533890809E-2"/>
      </top>
      <bottom/>
      <diagonal/>
    </border>
    <border>
      <left style="thin">
        <color indexed="64"/>
      </left>
      <right/>
      <top/>
      <bottom style="medium">
        <color theme="2" tint="-9.9948118533890809E-2"/>
      </bottom>
      <diagonal/>
    </border>
    <border>
      <left/>
      <right style="thin">
        <color indexed="64"/>
      </right>
      <top/>
      <bottom style="medium">
        <color theme="2" tint="-9.9948118533890809E-2"/>
      </bottom>
      <diagonal/>
    </border>
    <border>
      <left style="thin">
        <color indexed="64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thin">
        <color indexed="64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thin">
        <color indexed="64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thin">
        <color indexed="64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thin">
        <color indexed="64"/>
      </left>
      <right style="medium">
        <color theme="2" tint="-9.9948118533890809E-2"/>
      </right>
      <top/>
      <bottom/>
      <diagonal/>
    </border>
    <border>
      <left style="thin">
        <color indexed="64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thin">
        <color indexed="64"/>
      </left>
      <right style="medium">
        <color theme="2" tint="-9.9948118533890809E-2"/>
      </right>
      <top style="medium">
        <color theme="2" tint="-9.9948118533890809E-2"/>
      </top>
      <bottom style="thin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thin">
        <color indexed="64"/>
      </bottom>
      <diagonal/>
    </border>
    <border>
      <left style="medium">
        <color theme="2" tint="-9.9948118533890809E-2"/>
      </left>
      <right style="thin">
        <color indexed="64"/>
      </right>
      <top style="medium">
        <color theme="2" tint="-9.9948118533890809E-2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theme="2" tint="-9.9948118533890809E-2"/>
      </bottom>
      <diagonal/>
    </border>
    <border>
      <left/>
      <right/>
      <top style="thin">
        <color auto="1"/>
      </top>
      <bottom style="thin">
        <color theme="2" tint="-9.9948118533890809E-2"/>
      </bottom>
      <diagonal/>
    </border>
    <border>
      <left/>
      <right style="thin">
        <color auto="1"/>
      </right>
      <top style="thin">
        <color auto="1"/>
      </top>
      <bottom style="thin">
        <color theme="2" tint="-9.9948118533890809E-2"/>
      </bottom>
      <diagonal/>
    </border>
    <border>
      <left style="thin">
        <color auto="1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auto="1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auto="1"/>
      </left>
      <right/>
      <top style="thin">
        <color theme="2" tint="-9.9948118533890809E-2"/>
      </top>
      <bottom/>
      <diagonal/>
    </border>
    <border>
      <left style="thin">
        <color auto="1"/>
      </left>
      <right/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  <border>
      <left/>
      <right style="thin">
        <color theme="2" tint="-9.9948118533890809E-2"/>
      </right>
      <top style="thin">
        <color auto="1"/>
      </top>
      <bottom style="thin">
        <color theme="2" tint="-9.9948118533890809E-2"/>
      </bottom>
      <diagonal/>
    </border>
    <border>
      <left style="thin">
        <color auto="1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auto="1"/>
      </right>
      <top/>
      <bottom/>
      <diagonal/>
    </border>
    <border>
      <left style="thin">
        <color auto="1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auto="1"/>
      </left>
      <right style="thin">
        <color theme="4" tint="0.79998168889431442"/>
      </right>
      <top style="thin">
        <color theme="4" tint="0.79998168889431442"/>
      </top>
      <bottom style="thin">
        <color auto="1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auto="1"/>
      </bottom>
      <diagonal/>
    </border>
    <border>
      <left style="thin">
        <color theme="2" tint="-9.9948118533890809E-2"/>
      </left>
      <right style="thin">
        <color auto="1"/>
      </right>
      <top style="thin">
        <color theme="2" tint="-9.9948118533890809E-2"/>
      </top>
      <bottom/>
      <diagonal/>
    </border>
    <border>
      <left style="thin">
        <color auto="1"/>
      </left>
      <right/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auto="1"/>
      </right>
      <top/>
      <bottom style="thin">
        <color theme="2" tint="-9.9948118533890809E-2"/>
      </bottom>
      <diagonal/>
    </border>
    <border>
      <left style="thin">
        <color auto="1"/>
      </left>
      <right style="thin">
        <color theme="2" tint="-9.9948118533890809E-2"/>
      </right>
      <top style="thin">
        <color theme="2" tint="-9.9948118533890809E-2"/>
      </top>
      <bottom style="thin">
        <color auto="1"/>
      </bottom>
      <diagonal/>
    </border>
    <border>
      <left style="thin">
        <color theme="2" tint="-9.9948118533890809E-2"/>
      </left>
      <right/>
      <top style="thin">
        <color auto="1"/>
      </top>
      <bottom style="thin">
        <color theme="2" tint="-9.9948118533890809E-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F3F3F3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medium">
        <color indexed="64"/>
      </right>
      <top/>
      <bottom style="medium">
        <color rgb="FFFFFFFF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/>
      <top/>
      <bottom style="medium">
        <color indexed="64"/>
      </bottom>
      <diagonal/>
    </border>
    <border>
      <left/>
      <right style="medium">
        <color theme="2" tint="-9.9948118533890809E-2"/>
      </right>
      <top/>
      <bottom style="medium">
        <color indexed="64"/>
      </bottom>
      <diagonal/>
    </border>
  </borders>
  <cellStyleXfs count="295">
    <xf numFmtId="0" fontId="0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9" fontId="34" fillId="0" borderId="0"/>
    <xf numFmtId="169" fontId="24" fillId="0" borderId="0"/>
    <xf numFmtId="44" fontId="2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4" fontId="3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53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4" fillId="56" borderId="0" applyNumberFormat="0" applyBorder="0" applyAlignment="0" applyProtection="0"/>
    <xf numFmtId="0" fontId="34" fillId="57" borderId="0" applyNumberFormat="0" applyBorder="0" applyAlignment="0" applyProtection="0"/>
    <xf numFmtId="0" fontId="34" fillId="52" borderId="0" applyNumberFormat="0" applyBorder="0" applyAlignment="0" applyProtection="0"/>
    <xf numFmtId="0" fontId="34" fillId="55" borderId="0" applyNumberFormat="0" applyBorder="0" applyAlignment="0" applyProtection="0"/>
    <xf numFmtId="0" fontId="34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9" fillId="51" borderId="0" applyNumberFormat="0" applyBorder="0" applyAlignment="0" applyProtection="0"/>
    <xf numFmtId="0" fontId="50" fillId="63" borderId="135" applyNumberFormat="0" applyAlignment="0" applyProtection="0"/>
    <xf numFmtId="0" fontId="51" fillId="64" borderId="136" applyNumberFormat="0" applyAlignment="0" applyProtection="0"/>
    <xf numFmtId="0" fontId="52" fillId="0" borderId="137" applyNumberFormat="0" applyFill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8" borderId="0" applyNumberFormat="0" applyBorder="0" applyAlignment="0" applyProtection="0"/>
    <xf numFmtId="0" fontId="53" fillId="54" borderId="135" applyNumberFormat="0" applyAlignment="0" applyProtection="0"/>
    <xf numFmtId="0" fontId="54" fillId="0" borderId="0"/>
    <xf numFmtId="0" fontId="34" fillId="0" borderId="0"/>
    <xf numFmtId="186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186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5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85" fontId="55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56" fillId="0" borderId="0"/>
    <xf numFmtId="0" fontId="56" fillId="0" borderId="0"/>
    <xf numFmtId="0" fontId="56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55" fillId="0" borderId="0"/>
    <xf numFmtId="0" fontId="24" fillId="0" borderId="0"/>
    <xf numFmtId="0" fontId="24" fillId="0" borderId="0"/>
    <xf numFmtId="0" fontId="24" fillId="0" borderId="0" applyProtection="0"/>
    <xf numFmtId="0" fontId="24" fillId="69" borderId="138" applyNumberFormat="0" applyFont="0" applyAlignment="0" applyProtection="0"/>
    <xf numFmtId="0" fontId="24" fillId="69" borderId="138" applyNumberFormat="0" applyFont="0" applyAlignment="0" applyProtection="0"/>
    <xf numFmtId="0" fontId="24" fillId="69" borderId="138" applyNumberFormat="0" applyFont="0" applyAlignment="0" applyProtection="0"/>
    <xf numFmtId="0" fontId="24" fillId="69" borderId="138" applyNumberFormat="0" applyFon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57" fillId="63" borderId="139" applyNumberFormat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56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40" applyNumberFormat="0" applyFill="0" applyAlignment="0" applyProtection="0"/>
    <xf numFmtId="0" fontId="61" fillId="0" borderId="141" applyNumberFormat="0" applyFill="0" applyAlignment="0" applyProtection="0"/>
    <xf numFmtId="0" fontId="62" fillId="0" borderId="142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143" applyNumberFormat="0" applyFill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8" fontId="5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4" fillId="49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4" fillId="51" borderId="0" applyNumberFormat="0" applyBorder="0" applyAlignment="0" applyProtection="0"/>
    <xf numFmtId="0" fontId="34" fillId="52" borderId="0" applyNumberFormat="0" applyBorder="0" applyAlignment="0" applyProtection="0"/>
    <xf numFmtId="0" fontId="34" fillId="52" borderId="0" applyNumberFormat="0" applyBorder="0" applyAlignment="0" applyProtection="0"/>
    <xf numFmtId="0" fontId="34" fillId="53" borderId="0" applyNumberFormat="0" applyBorder="0" applyAlignment="0" applyProtection="0"/>
    <xf numFmtId="0" fontId="34" fillId="53" borderId="0" applyNumberFormat="0" applyBorder="0" applyAlignment="0" applyProtection="0"/>
    <xf numFmtId="0" fontId="34" fillId="54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4" fillId="55" borderId="0" applyNumberFormat="0" applyBorder="0" applyAlignment="0" applyProtection="0"/>
    <xf numFmtId="0" fontId="34" fillId="56" borderId="0" applyNumberFormat="0" applyBorder="0" applyAlignment="0" applyProtection="0"/>
    <xf numFmtId="0" fontId="34" fillId="56" borderId="0" applyNumberFormat="0" applyBorder="0" applyAlignment="0" applyProtection="0"/>
    <xf numFmtId="0" fontId="34" fillId="57" borderId="0" applyNumberFormat="0" applyBorder="0" applyAlignment="0" applyProtection="0"/>
    <xf numFmtId="0" fontId="34" fillId="57" borderId="0" applyNumberFormat="0" applyBorder="0" applyAlignment="0" applyProtection="0"/>
    <xf numFmtId="0" fontId="34" fillId="52" borderId="0" applyNumberFormat="0" applyBorder="0" applyAlignment="0" applyProtection="0"/>
    <xf numFmtId="0" fontId="34" fillId="52" borderId="0" applyNumberFormat="0" applyBorder="0" applyAlignment="0" applyProtection="0"/>
    <xf numFmtId="0" fontId="34" fillId="55" borderId="0" applyNumberFormat="0" applyBorder="0" applyAlignment="0" applyProtection="0"/>
    <xf numFmtId="0" fontId="34" fillId="55" borderId="0" applyNumberFormat="0" applyBorder="0" applyAlignment="0" applyProtection="0"/>
    <xf numFmtId="0" fontId="34" fillId="58" borderId="0" applyNumberFormat="0" applyBorder="0" applyAlignment="0" applyProtection="0"/>
    <xf numFmtId="0" fontId="34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9" fillId="51" borderId="0" applyNumberFormat="0" applyBorder="0" applyAlignment="0" applyProtection="0"/>
    <xf numFmtId="0" fontId="50" fillId="63" borderId="135" applyNumberFormat="0" applyAlignment="0" applyProtection="0"/>
    <xf numFmtId="0" fontId="51" fillId="64" borderId="136" applyNumberFormat="0" applyAlignment="0" applyProtection="0"/>
    <xf numFmtId="0" fontId="52" fillId="0" borderId="137" applyNumberFormat="0" applyFill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8" borderId="0" applyNumberFormat="0" applyBorder="0" applyAlignment="0" applyProtection="0"/>
    <xf numFmtId="0" fontId="53" fillId="54" borderId="135" applyNumberFormat="0" applyAlignment="0" applyProtection="0"/>
    <xf numFmtId="0" fontId="47" fillId="47" borderId="0" applyNumberFormat="0" applyBorder="0" applyAlignment="0" applyProtection="0"/>
    <xf numFmtId="0" fontId="66" fillId="50" borderId="0" applyNumberFormat="0" applyBorder="0" applyAlignment="0" applyProtection="0"/>
    <xf numFmtId="0" fontId="67" fillId="0" borderId="0"/>
    <xf numFmtId="186" fontId="3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3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65" fillId="48" borderId="0" applyNumberFormat="0" applyBorder="0" applyAlignment="0" applyProtection="0"/>
    <xf numFmtId="0" fontId="68" fillId="70" borderId="0" applyNumberFormat="0" applyBorder="0" applyAlignment="0" applyProtection="0"/>
    <xf numFmtId="0" fontId="24" fillId="0" borderId="0"/>
    <xf numFmtId="0" fontId="24" fillId="0" borderId="0"/>
    <xf numFmtId="0" fontId="1" fillId="0" borderId="0"/>
    <xf numFmtId="39" fontId="67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69" borderId="138" applyNumberFormat="0" applyFont="0" applyAlignment="0" applyProtection="0"/>
    <xf numFmtId="0" fontId="24" fillId="69" borderId="138" applyNumberFormat="0" applyFont="0" applyAlignment="0" applyProtection="0"/>
    <xf numFmtId="0" fontId="57" fillId="63" borderId="139" applyNumberFormat="0" applyAlignment="0" applyProtection="0"/>
    <xf numFmtId="189" fontId="69" fillId="0" borderId="0">
      <protection locked="0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40" applyNumberFormat="0" applyFill="0" applyAlignment="0" applyProtection="0"/>
    <xf numFmtId="0" fontId="61" fillId="0" borderId="141" applyNumberFormat="0" applyFill="0" applyAlignment="0" applyProtection="0"/>
    <xf numFmtId="0" fontId="62" fillId="0" borderId="142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143" applyNumberFormat="0" applyFill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</cellStyleXfs>
  <cellXfs count="1250">
    <xf numFmtId="0" fontId="0" fillId="0" borderId="0" xfId="0"/>
    <xf numFmtId="0" fontId="4" fillId="19" borderId="2" xfId="0" applyFont="1" applyFill="1" applyBorder="1" applyAlignment="1">
      <alignment horizontal="right" vertical="top" wrapText="1"/>
    </xf>
    <xf numFmtId="4" fontId="4" fillId="19" borderId="2" xfId="0" applyNumberFormat="1" applyFont="1" applyFill="1" applyBorder="1" applyAlignment="1">
      <alignment horizontal="right" vertical="top" wrapText="1"/>
    </xf>
    <xf numFmtId="0" fontId="9" fillId="20" borderId="2" xfId="0" applyFont="1" applyFill="1" applyBorder="1" applyAlignment="1">
      <alignment horizontal="right" vertical="top" wrapText="1"/>
    </xf>
    <xf numFmtId="0" fontId="9" fillId="20" borderId="2" xfId="0" applyFont="1" applyFill="1" applyBorder="1" applyAlignment="1">
      <alignment horizontal="center" vertical="top" wrapText="1"/>
    </xf>
    <xf numFmtId="166" fontId="9" fillId="20" borderId="2" xfId="0" applyNumberFormat="1" applyFont="1" applyFill="1" applyBorder="1" applyAlignment="1">
      <alignment horizontal="right" vertical="top" wrapText="1"/>
    </xf>
    <xf numFmtId="4" fontId="9" fillId="20" borderId="2" xfId="0" applyNumberFormat="1" applyFont="1" applyFill="1" applyBorder="1" applyAlignment="1">
      <alignment horizontal="right" vertical="top" wrapText="1"/>
    </xf>
    <xf numFmtId="0" fontId="14" fillId="12" borderId="2" xfId="0" applyFont="1" applyFill="1" applyBorder="1" applyAlignment="1">
      <alignment horizontal="right" vertical="top" wrapText="1"/>
    </xf>
    <xf numFmtId="0" fontId="14" fillId="12" borderId="2" xfId="0" applyFont="1" applyFill="1" applyBorder="1" applyAlignment="1">
      <alignment horizontal="center" vertical="top" wrapText="1"/>
    </xf>
    <xf numFmtId="166" fontId="14" fillId="12" borderId="2" xfId="0" applyNumberFormat="1" applyFont="1" applyFill="1" applyBorder="1" applyAlignment="1">
      <alignment horizontal="right" vertical="top" wrapText="1"/>
    </xf>
    <xf numFmtId="4" fontId="14" fillId="12" borderId="2" xfId="0" applyNumberFormat="1" applyFont="1" applyFill="1" applyBorder="1" applyAlignment="1">
      <alignment horizontal="right" vertical="top" wrapText="1"/>
    </xf>
    <xf numFmtId="0" fontId="14" fillId="13" borderId="2" xfId="0" applyFont="1" applyFill="1" applyBorder="1" applyAlignment="1">
      <alignment horizontal="center" vertical="top" wrapText="1"/>
    </xf>
    <xf numFmtId="166" fontId="14" fillId="13" borderId="2" xfId="0" applyNumberFormat="1" applyFont="1" applyFill="1" applyBorder="1" applyAlignment="1">
      <alignment horizontal="right" vertical="top" wrapText="1"/>
    </xf>
    <xf numFmtId="4" fontId="14" fillId="13" borderId="2" xfId="0" applyNumberFormat="1" applyFont="1" applyFill="1" applyBorder="1" applyAlignment="1">
      <alignment horizontal="right" vertical="top" wrapText="1"/>
    </xf>
    <xf numFmtId="0" fontId="8" fillId="22" borderId="0" xfId="0" applyFont="1" applyFill="1" applyAlignment="1">
      <alignment horizontal="right" vertical="top" wrapText="1"/>
    </xf>
    <xf numFmtId="0" fontId="9" fillId="20" borderId="1" xfId="0" applyFont="1" applyFill="1" applyBorder="1" applyAlignment="1">
      <alignment horizontal="left" vertical="top" wrapText="1"/>
    </xf>
    <xf numFmtId="0" fontId="9" fillId="21" borderId="2" xfId="0" applyFont="1" applyFill="1" applyBorder="1" applyAlignment="1">
      <alignment horizontal="right" vertical="top" wrapText="1"/>
    </xf>
    <xf numFmtId="0" fontId="9" fillId="21" borderId="2" xfId="0" applyFont="1" applyFill="1" applyBorder="1" applyAlignment="1">
      <alignment horizontal="center" vertical="top" wrapText="1"/>
    </xf>
    <xf numFmtId="166" fontId="9" fillId="21" borderId="2" xfId="0" applyNumberFormat="1" applyFont="1" applyFill="1" applyBorder="1" applyAlignment="1">
      <alignment horizontal="right" vertical="top" wrapText="1"/>
    </xf>
    <xf numFmtId="4" fontId="9" fillId="21" borderId="2" xfId="0" applyNumberFormat="1" applyFont="1" applyFill="1" applyBorder="1" applyAlignment="1">
      <alignment horizontal="right" vertical="top" wrapText="1"/>
    </xf>
    <xf numFmtId="0" fontId="14" fillId="22" borderId="0" xfId="0" applyFont="1" applyFill="1" applyAlignment="1">
      <alignment horizontal="center" vertical="top" wrapText="1"/>
    </xf>
    <xf numFmtId="0" fontId="14" fillId="22" borderId="0" xfId="0" applyFont="1" applyFill="1" applyAlignment="1">
      <alignment horizontal="left" vertical="top" wrapText="1"/>
    </xf>
    <xf numFmtId="4" fontId="12" fillId="10" borderId="2" xfId="0" applyNumberFormat="1" applyFont="1" applyFill="1" applyBorder="1" applyAlignment="1">
      <alignment horizontal="right" vertical="top" wrapText="1"/>
    </xf>
    <xf numFmtId="0" fontId="14" fillId="12" borderId="2" xfId="0" applyFont="1" applyFill="1" applyBorder="1" applyAlignment="1">
      <alignment horizontal="left" vertical="top" wrapText="1"/>
    </xf>
    <xf numFmtId="0" fontId="14" fillId="13" borderId="2" xfId="0" applyFont="1" applyFill="1" applyBorder="1" applyAlignment="1">
      <alignment horizontal="left" vertical="top" wrapText="1"/>
    </xf>
    <xf numFmtId="0" fontId="4" fillId="19" borderId="2" xfId="0" applyFont="1" applyFill="1" applyBorder="1" applyAlignment="1">
      <alignment horizontal="left" vertical="top" wrapText="1"/>
    </xf>
    <xf numFmtId="0" fontId="3" fillId="22" borderId="2" xfId="0" applyFont="1" applyFill="1" applyBorder="1" applyAlignment="1">
      <alignment horizontal="left" vertical="top" wrapText="1"/>
    </xf>
    <xf numFmtId="0" fontId="9" fillId="20" borderId="2" xfId="0" applyFont="1" applyFill="1" applyBorder="1" applyAlignment="1">
      <alignment horizontal="left" vertical="top" wrapText="1"/>
    </xf>
    <xf numFmtId="0" fontId="9" fillId="21" borderId="2" xfId="0" applyFont="1" applyFill="1" applyBorder="1" applyAlignment="1">
      <alignment horizontal="left" vertical="top" wrapText="1"/>
    </xf>
    <xf numFmtId="0" fontId="3" fillId="22" borderId="2" xfId="0" applyFont="1" applyFill="1" applyBorder="1" applyAlignment="1">
      <alignment horizontal="right" vertical="top" wrapText="1"/>
    </xf>
    <xf numFmtId="165" fontId="14" fillId="13" borderId="2" xfId="0" applyNumberFormat="1" applyFont="1" applyFill="1" applyBorder="1" applyAlignment="1">
      <alignment horizontal="right" vertical="top" wrapText="1"/>
    </xf>
    <xf numFmtId="0" fontId="3" fillId="22" borderId="2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top" wrapText="1"/>
    </xf>
    <xf numFmtId="0" fontId="10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right" vertical="top" wrapText="1"/>
    </xf>
    <xf numFmtId="4" fontId="12" fillId="0" borderId="2" xfId="0" applyNumberFormat="1" applyFont="1" applyBorder="1" applyAlignment="1">
      <alignment horizontal="right" vertical="top" wrapText="1"/>
    </xf>
    <xf numFmtId="0" fontId="9" fillId="0" borderId="2" xfId="0" applyFont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right" vertical="top" wrapText="1"/>
    </xf>
    <xf numFmtId="2" fontId="11" fillId="0" borderId="2" xfId="0" applyNumberFormat="1" applyFont="1" applyBorder="1" applyAlignment="1">
      <alignment horizontal="right" vertical="top" wrapText="1"/>
    </xf>
    <xf numFmtId="0" fontId="19" fillId="19" borderId="2" xfId="0" applyFont="1" applyFill="1" applyBorder="1" applyAlignment="1">
      <alignment horizontal="left" vertical="top" wrapText="1"/>
    </xf>
    <xf numFmtId="0" fontId="19" fillId="19" borderId="2" xfId="0" applyFont="1" applyFill="1" applyBorder="1" applyAlignment="1">
      <alignment horizontal="right" vertical="top" wrapText="1"/>
    </xf>
    <xf numFmtId="4" fontId="19" fillId="19" borderId="2" xfId="0" applyNumberFormat="1" applyFont="1" applyFill="1" applyBorder="1" applyAlignment="1">
      <alignment horizontal="right" vertical="top" wrapText="1"/>
    </xf>
    <xf numFmtId="0" fontId="26" fillId="20" borderId="2" xfId="0" applyFont="1" applyFill="1" applyBorder="1" applyAlignment="1">
      <alignment horizontal="left" vertical="top" wrapText="1"/>
    </xf>
    <xf numFmtId="0" fontId="26" fillId="20" borderId="2" xfId="0" applyFont="1" applyFill="1" applyBorder="1" applyAlignment="1">
      <alignment horizontal="right" vertical="top" wrapText="1"/>
    </xf>
    <xf numFmtId="0" fontId="26" fillId="20" borderId="2" xfId="0" applyFont="1" applyFill="1" applyBorder="1" applyAlignment="1">
      <alignment horizontal="center" vertical="top" wrapText="1"/>
    </xf>
    <xf numFmtId="4" fontId="26" fillId="20" borderId="2" xfId="0" applyNumberFormat="1" applyFont="1" applyFill="1" applyBorder="1" applyAlignment="1">
      <alignment horizontal="right" vertical="top" wrapText="1"/>
    </xf>
    <xf numFmtId="0" fontId="25" fillId="15" borderId="0" xfId="0" applyFont="1" applyFill="1" applyAlignment="1">
      <alignment horizontal="right" vertical="top" wrapText="1"/>
    </xf>
    <xf numFmtId="0" fontId="24" fillId="17" borderId="0" xfId="0" applyFont="1" applyFill="1" applyAlignment="1">
      <alignment horizontal="left" vertical="top" wrapText="1"/>
    </xf>
    <xf numFmtId="0" fontId="25" fillId="2" borderId="0" xfId="0" applyFont="1" applyFill="1" applyAlignment="1">
      <alignment vertical="top" wrapText="1"/>
    </xf>
    <xf numFmtId="0" fontId="24" fillId="0" borderId="0" xfId="0" applyFont="1"/>
    <xf numFmtId="43" fontId="24" fillId="0" borderId="0" xfId="1" applyFont="1"/>
    <xf numFmtId="43" fontId="24" fillId="0" borderId="0" xfId="0" applyNumberFormat="1" applyFont="1"/>
    <xf numFmtId="0" fontId="27" fillId="23" borderId="2" xfId="0" applyFont="1" applyFill="1" applyBorder="1" applyAlignment="1">
      <alignment horizontal="center" vertical="center" wrapText="1"/>
    </xf>
    <xf numFmtId="4" fontId="24" fillId="0" borderId="0" xfId="0" applyNumberFormat="1" applyFont="1"/>
    <xf numFmtId="0" fontId="26" fillId="24" borderId="2" xfId="0" applyFont="1" applyFill="1" applyBorder="1" applyAlignment="1">
      <alignment horizontal="left" vertical="top" wrapText="1"/>
    </xf>
    <xf numFmtId="0" fontId="26" fillId="24" borderId="2" xfId="0" applyFont="1" applyFill="1" applyBorder="1" applyAlignment="1">
      <alignment horizontal="right" vertical="top" wrapText="1"/>
    </xf>
    <xf numFmtId="0" fontId="26" fillId="24" borderId="2" xfId="0" applyFont="1" applyFill="1" applyBorder="1" applyAlignment="1">
      <alignment horizontal="center" vertical="top" wrapText="1"/>
    </xf>
    <xf numFmtId="4" fontId="26" fillId="24" borderId="2" xfId="0" applyNumberFormat="1" applyFont="1" applyFill="1" applyBorder="1" applyAlignment="1">
      <alignment horizontal="right" vertical="top" wrapText="1"/>
    </xf>
    <xf numFmtId="0" fontId="26" fillId="20" borderId="2" xfId="0" applyFont="1" applyFill="1" applyBorder="1" applyAlignment="1">
      <alignment horizontal="left" vertical="top"/>
    </xf>
    <xf numFmtId="0" fontId="26" fillId="20" borderId="2" xfId="0" applyFont="1" applyFill="1" applyBorder="1" applyAlignment="1">
      <alignment horizontal="right" vertical="top"/>
    </xf>
    <xf numFmtId="0" fontId="26" fillId="20" borderId="2" xfId="0" applyFont="1" applyFill="1" applyBorder="1" applyAlignment="1">
      <alignment horizontal="center" vertical="top"/>
    </xf>
    <xf numFmtId="4" fontId="26" fillId="20" borderId="2" xfId="0" applyNumberFormat="1" applyFont="1" applyFill="1" applyBorder="1" applyAlignment="1">
      <alignment horizontal="right" vertical="top"/>
    </xf>
    <xf numFmtId="4" fontId="26" fillId="20" borderId="2" xfId="0" applyNumberFormat="1" applyFont="1" applyFill="1" applyBorder="1" applyAlignment="1">
      <alignment horizontal="right" vertical="center" wrapText="1"/>
    </xf>
    <xf numFmtId="0" fontId="25" fillId="22" borderId="0" xfId="0" applyFont="1" applyFill="1" applyAlignment="1">
      <alignment horizontal="right" vertical="top" wrapText="1"/>
    </xf>
    <xf numFmtId="0" fontId="24" fillId="22" borderId="0" xfId="0" applyFont="1" applyFill="1" applyAlignment="1">
      <alignment horizontal="left" vertical="top" wrapText="1"/>
    </xf>
    <xf numFmtId="0" fontId="29" fillId="23" borderId="2" xfId="0" applyFont="1" applyFill="1" applyBorder="1" applyAlignment="1">
      <alignment horizontal="center" vertical="center" wrapText="1"/>
    </xf>
    <xf numFmtId="167" fontId="9" fillId="0" borderId="2" xfId="0" applyNumberFormat="1" applyFont="1" applyBorder="1" applyAlignment="1">
      <alignment horizontal="right" vertical="top" wrapText="1"/>
    </xf>
    <xf numFmtId="165" fontId="9" fillId="0" borderId="2" xfId="0" applyNumberFormat="1" applyFont="1" applyBorder="1" applyAlignment="1">
      <alignment horizontal="right" vertical="top" wrapText="1"/>
    </xf>
    <xf numFmtId="168" fontId="14" fillId="12" borderId="2" xfId="0" applyNumberFormat="1" applyFont="1" applyFill="1" applyBorder="1" applyAlignment="1">
      <alignment horizontal="right" vertical="top" wrapText="1"/>
    </xf>
    <xf numFmtId="0" fontId="9" fillId="24" borderId="2" xfId="0" applyFont="1" applyFill="1" applyBorder="1" applyAlignment="1">
      <alignment horizontal="left" vertical="top" wrapText="1"/>
    </xf>
    <xf numFmtId="0" fontId="9" fillId="24" borderId="2" xfId="0" applyFont="1" applyFill="1" applyBorder="1" applyAlignment="1">
      <alignment horizontal="right" vertical="top" wrapText="1"/>
    </xf>
    <xf numFmtId="0" fontId="9" fillId="24" borderId="2" xfId="0" applyFont="1" applyFill="1" applyBorder="1" applyAlignment="1">
      <alignment horizontal="center" vertical="top" wrapText="1"/>
    </xf>
    <xf numFmtId="4" fontId="9" fillId="24" borderId="2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center"/>
    </xf>
    <xf numFmtId="2" fontId="9" fillId="20" borderId="2" xfId="0" applyNumberFormat="1" applyFont="1" applyFill="1" applyBorder="1" applyAlignment="1">
      <alignment horizontal="right" vertical="top" wrapText="1"/>
    </xf>
    <xf numFmtId="2" fontId="9" fillId="0" borderId="2" xfId="0" applyNumberFormat="1" applyFont="1" applyBorder="1" applyAlignment="1">
      <alignment horizontal="right" vertical="top" wrapText="1"/>
    </xf>
    <xf numFmtId="43" fontId="0" fillId="0" borderId="0" xfId="1" applyFont="1"/>
    <xf numFmtId="4" fontId="0" fillId="0" borderId="0" xfId="0" applyNumberFormat="1"/>
    <xf numFmtId="0" fontId="9" fillId="20" borderId="2" xfId="0" applyFont="1" applyFill="1" applyBorder="1" applyAlignment="1">
      <alignment horizontal="right" vertical="top"/>
    </xf>
    <xf numFmtId="4" fontId="9" fillId="20" borderId="2" xfId="0" applyNumberFormat="1" applyFont="1" applyFill="1" applyBorder="1" applyAlignment="1">
      <alignment horizontal="right" vertical="top"/>
    </xf>
    <xf numFmtId="43" fontId="0" fillId="0" borderId="0" xfId="0" applyNumberFormat="1"/>
    <xf numFmtId="0" fontId="4" fillId="19" borderId="2" xfId="0" applyFont="1" applyFill="1" applyBorder="1" applyAlignment="1">
      <alignment horizontal="left" vertical="center" wrapText="1"/>
    </xf>
    <xf numFmtId="0" fontId="25" fillId="14" borderId="0" xfId="0" applyFont="1" applyFill="1" applyAlignment="1">
      <alignment vertical="top" wrapText="1"/>
    </xf>
    <xf numFmtId="0" fontId="0" fillId="0" borderId="0" xfId="0" applyAlignment="1">
      <alignment horizontal="center"/>
    </xf>
    <xf numFmtId="0" fontId="25" fillId="2" borderId="0" xfId="0" applyFont="1" applyFill="1" applyAlignment="1">
      <alignment horizontal="center" vertical="center" wrapText="1"/>
    </xf>
    <xf numFmtId="0" fontId="25" fillId="1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14" borderId="0" xfId="0" applyFont="1" applyFill="1" applyAlignment="1">
      <alignment horizontal="center" vertical="center" wrapText="1"/>
    </xf>
    <xf numFmtId="0" fontId="27" fillId="23" borderId="8" xfId="0" applyFont="1" applyFill="1" applyBorder="1" applyAlignment="1">
      <alignment horizontal="center" vertical="center" wrapText="1"/>
    </xf>
    <xf numFmtId="0" fontId="27" fillId="23" borderId="9" xfId="0" applyFont="1" applyFill="1" applyBorder="1" applyAlignment="1">
      <alignment horizontal="center" vertical="center" wrapText="1"/>
    </xf>
    <xf numFmtId="0" fontId="27" fillId="23" borderId="9" xfId="0" applyFont="1" applyFill="1" applyBorder="1" applyAlignment="1">
      <alignment vertical="center" wrapText="1"/>
    </xf>
    <xf numFmtId="0" fontId="27" fillId="23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32" fillId="25" borderId="8" xfId="0" applyFont="1" applyFill="1" applyBorder="1" applyAlignment="1">
      <alignment horizontal="center" vertical="center"/>
    </xf>
    <xf numFmtId="0" fontId="32" fillId="25" borderId="9" xfId="0" applyFont="1" applyFill="1" applyBorder="1" applyAlignment="1">
      <alignment horizontal="center" vertical="center"/>
    </xf>
    <xf numFmtId="0" fontId="32" fillId="25" borderId="9" xfId="0" applyFont="1" applyFill="1" applyBorder="1" applyAlignment="1">
      <alignment horizontal="left" vertical="center"/>
    </xf>
    <xf numFmtId="4" fontId="32" fillId="25" borderId="9" xfId="0" applyNumberFormat="1" applyFont="1" applyFill="1" applyBorder="1" applyAlignment="1">
      <alignment horizontal="center" vertical="center"/>
    </xf>
    <xf numFmtId="10" fontId="32" fillId="25" borderId="10" xfId="2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23" borderId="9" xfId="0" applyFont="1" applyFill="1" applyBorder="1" applyAlignment="1">
      <alignment vertical="top" wrapText="1"/>
    </xf>
    <xf numFmtId="4" fontId="27" fillId="23" borderId="9" xfId="0" applyNumberFormat="1" applyFont="1" applyFill="1" applyBorder="1" applyAlignment="1">
      <alignment horizontal="center" vertical="center" wrapText="1"/>
    </xf>
    <xf numFmtId="164" fontId="27" fillId="23" borderId="10" xfId="0" applyNumberFormat="1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top" wrapText="1"/>
    </xf>
    <xf numFmtId="4" fontId="19" fillId="0" borderId="9" xfId="0" applyNumberFormat="1" applyFont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vertical="top" wrapText="1"/>
    </xf>
    <xf numFmtId="4" fontId="26" fillId="0" borderId="9" xfId="0" applyNumberFormat="1" applyFont="1" applyBorder="1" applyAlignment="1">
      <alignment horizontal="center" vertical="center" wrapText="1"/>
    </xf>
    <xf numFmtId="164" fontId="26" fillId="0" borderId="10" xfId="0" applyNumberFormat="1" applyFont="1" applyBorder="1" applyAlignment="1">
      <alignment horizontal="center" vertical="center" wrapText="1"/>
    </xf>
    <xf numFmtId="0" fontId="19" fillId="19" borderId="8" xfId="0" applyFont="1" applyFill="1" applyBorder="1" applyAlignment="1">
      <alignment horizontal="center" vertical="center" wrapText="1"/>
    </xf>
    <xf numFmtId="0" fontId="19" fillId="19" borderId="9" xfId="0" applyFont="1" applyFill="1" applyBorder="1" applyAlignment="1">
      <alignment horizontal="center" vertical="center" wrapText="1"/>
    </xf>
    <xf numFmtId="0" fontId="19" fillId="19" borderId="9" xfId="0" applyFont="1" applyFill="1" applyBorder="1" applyAlignment="1">
      <alignment vertical="top" wrapText="1"/>
    </xf>
    <xf numFmtId="4" fontId="19" fillId="19" borderId="9" xfId="0" applyNumberFormat="1" applyFont="1" applyFill="1" applyBorder="1" applyAlignment="1">
      <alignment horizontal="center" vertical="center" wrapText="1"/>
    </xf>
    <xf numFmtId="164" fontId="19" fillId="19" borderId="10" xfId="0" applyNumberFormat="1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left" vertical="center"/>
    </xf>
    <xf numFmtId="0" fontId="32" fillId="0" borderId="9" xfId="0" applyFont="1" applyBorder="1" applyAlignment="1">
      <alignment horizontal="center" vertical="center"/>
    </xf>
    <xf numFmtId="0" fontId="32" fillId="0" borderId="9" xfId="0" applyFont="1" applyBorder="1"/>
    <xf numFmtId="4" fontId="32" fillId="0" borderId="9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4" fontId="26" fillId="0" borderId="9" xfId="0" applyNumberFormat="1" applyFont="1" applyBorder="1" applyAlignment="1">
      <alignment horizontal="center" vertical="center"/>
    </xf>
    <xf numFmtId="0" fontId="24" fillId="22" borderId="8" xfId="0" applyFont="1" applyFill="1" applyBorder="1" applyAlignment="1">
      <alignment horizontal="center" vertical="center" wrapText="1"/>
    </xf>
    <xf numFmtId="0" fontId="24" fillId="22" borderId="9" xfId="0" applyFont="1" applyFill="1" applyBorder="1" applyAlignment="1">
      <alignment horizontal="center" vertical="center" wrapText="1"/>
    </xf>
    <xf numFmtId="0" fontId="24" fillId="22" borderId="9" xfId="0" applyFont="1" applyFill="1" applyBorder="1" applyAlignment="1">
      <alignment vertical="top" wrapText="1"/>
    </xf>
    <xf numFmtId="4" fontId="24" fillId="22" borderId="9" xfId="0" applyNumberFormat="1" applyFont="1" applyFill="1" applyBorder="1" applyAlignment="1">
      <alignment horizontal="center" vertical="center" wrapText="1"/>
    </xf>
    <xf numFmtId="0" fontId="24" fillId="22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4" fontId="4" fillId="0" borderId="9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top" wrapText="1"/>
    </xf>
    <xf numFmtId="4" fontId="9" fillId="0" borderId="9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0" fontId="4" fillId="19" borderId="8" xfId="0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vertical="top" wrapText="1"/>
    </xf>
    <xf numFmtId="4" fontId="4" fillId="19" borderId="9" xfId="0" applyNumberFormat="1" applyFont="1" applyFill="1" applyBorder="1" applyAlignment="1">
      <alignment horizontal="center" vertical="center" wrapText="1"/>
    </xf>
    <xf numFmtId="164" fontId="4" fillId="19" borderId="10" xfId="0" applyNumberFormat="1" applyFont="1" applyFill="1" applyBorder="1" applyAlignment="1">
      <alignment horizontal="center" vertical="center" wrapText="1"/>
    </xf>
    <xf numFmtId="0" fontId="14" fillId="22" borderId="8" xfId="0" applyFont="1" applyFill="1" applyBorder="1" applyAlignment="1">
      <alignment horizontal="center" vertical="center" wrapText="1"/>
    </xf>
    <xf numFmtId="0" fontId="14" fillId="22" borderId="9" xfId="0" applyFont="1" applyFill="1" applyBorder="1" applyAlignment="1">
      <alignment horizontal="center" vertical="center" wrapText="1"/>
    </xf>
    <xf numFmtId="0" fontId="14" fillId="22" borderId="9" xfId="0" applyFont="1" applyFill="1" applyBorder="1" applyAlignment="1">
      <alignment vertical="top" wrapText="1"/>
    </xf>
    <xf numFmtId="0" fontId="14" fillId="22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4" fontId="9" fillId="0" borderId="9" xfId="0" applyNumberFormat="1" applyFont="1" applyBorder="1" applyAlignment="1">
      <alignment horizontal="center" vertical="center"/>
    </xf>
    <xf numFmtId="4" fontId="14" fillId="22" borderId="9" xfId="0" applyNumberFormat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vertical="top" wrapText="1"/>
    </xf>
    <xf numFmtId="4" fontId="27" fillId="0" borderId="9" xfId="0" applyNumberFormat="1" applyFont="1" applyBorder="1" applyAlignment="1">
      <alignment horizontal="center" vertical="center" wrapText="1"/>
    </xf>
    <xf numFmtId="164" fontId="27" fillId="0" borderId="10" xfId="0" applyNumberFormat="1" applyFont="1" applyBorder="1" applyAlignment="1">
      <alignment horizontal="center" vertical="center" wrapText="1"/>
    </xf>
    <xf numFmtId="0" fontId="27" fillId="26" borderId="11" xfId="0" applyFont="1" applyFill="1" applyBorder="1" applyAlignment="1">
      <alignment vertical="top" wrapText="1"/>
    </xf>
    <xf numFmtId="0" fontId="27" fillId="26" borderId="12" xfId="0" applyFont="1" applyFill="1" applyBorder="1" applyAlignment="1">
      <alignment vertical="top" wrapText="1"/>
    </xf>
    <xf numFmtId="0" fontId="27" fillId="26" borderId="12" xfId="0" applyFont="1" applyFill="1" applyBorder="1" applyAlignment="1">
      <alignment horizontal="center" vertical="top" wrapText="1"/>
    </xf>
    <xf numFmtId="4" fontId="27" fillId="26" borderId="12" xfId="0" applyNumberFormat="1" applyFont="1" applyFill="1" applyBorder="1" applyAlignment="1">
      <alignment vertical="top" wrapText="1"/>
    </xf>
    <xf numFmtId="10" fontId="32" fillId="25" borderId="13" xfId="2" applyNumberFormat="1" applyFont="1" applyFill="1" applyBorder="1" applyAlignment="1">
      <alignment horizontal="center" vertical="center"/>
    </xf>
    <xf numFmtId="43" fontId="0" fillId="0" borderId="14" xfId="1" applyFont="1" applyBorder="1" applyAlignment="1">
      <alignment vertical="center"/>
    </xf>
    <xf numFmtId="43" fontId="36" fillId="0" borderId="15" xfId="0" applyNumberFormat="1" applyFont="1" applyBorder="1" applyAlignment="1">
      <alignment vertical="center"/>
    </xf>
    <xf numFmtId="43" fontId="0" fillId="0" borderId="0" xfId="0" applyNumberFormat="1" applyAlignment="1">
      <alignment vertical="center"/>
    </xf>
    <xf numFmtId="165" fontId="0" fillId="0" borderId="0" xfId="0" applyNumberFormat="1"/>
    <xf numFmtId="166" fontId="0" fillId="0" borderId="0" xfId="0" applyNumberFormat="1"/>
    <xf numFmtId="0" fontId="14" fillId="28" borderId="2" xfId="0" applyFont="1" applyFill="1" applyBorder="1" applyAlignment="1">
      <alignment horizontal="left" vertical="top" wrapText="1"/>
    </xf>
    <xf numFmtId="0" fontId="14" fillId="28" borderId="2" xfId="0" applyFont="1" applyFill="1" applyBorder="1" applyAlignment="1">
      <alignment horizontal="center" vertical="top" wrapText="1"/>
    </xf>
    <xf numFmtId="166" fontId="14" fillId="28" borderId="2" xfId="0" applyNumberFormat="1" applyFont="1" applyFill="1" applyBorder="1" applyAlignment="1">
      <alignment horizontal="right" vertical="top" wrapText="1"/>
    </xf>
    <xf numFmtId="4" fontId="14" fillId="29" borderId="2" xfId="0" applyNumberFormat="1" applyFont="1" applyFill="1" applyBorder="1" applyAlignment="1">
      <alignment horizontal="right" vertical="top" wrapText="1"/>
    </xf>
    <xf numFmtId="10" fontId="0" fillId="0" borderId="0" xfId="2" applyNumberFormat="1" applyFont="1"/>
    <xf numFmtId="44" fontId="0" fillId="0" borderId="0" xfId="5" applyFont="1"/>
    <xf numFmtId="10" fontId="0" fillId="0" borderId="0" xfId="0" applyNumberFormat="1"/>
    <xf numFmtId="10" fontId="0" fillId="0" borderId="0" xfId="0" applyNumberFormat="1" applyAlignment="1">
      <alignment vertical="center"/>
    </xf>
    <xf numFmtId="10" fontId="0" fillId="0" borderId="0" xfId="2" applyNumberFormat="1" applyFont="1" applyAlignment="1">
      <alignment vertical="center"/>
    </xf>
    <xf numFmtId="4" fontId="26" fillId="27" borderId="2" xfId="0" applyNumberFormat="1" applyFont="1" applyFill="1" applyBorder="1" applyAlignment="1">
      <alignment horizontal="right" vertical="top" wrapText="1"/>
    </xf>
    <xf numFmtId="4" fontId="6" fillId="5" borderId="2" xfId="0" applyNumberFormat="1" applyFont="1" applyFill="1" applyBorder="1" applyAlignment="1">
      <alignment horizontal="right" vertical="center" wrapText="1"/>
    </xf>
    <xf numFmtId="4" fontId="12" fillId="1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right" vertical="center" wrapText="1"/>
    </xf>
    <xf numFmtId="4" fontId="12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9" fillId="20" borderId="2" xfId="0" applyFont="1" applyFill="1" applyBorder="1" applyAlignment="1">
      <alignment horizontal="right" vertical="center" wrapText="1"/>
    </xf>
    <xf numFmtId="0" fontId="9" fillId="20" borderId="2" xfId="0" applyFont="1" applyFill="1" applyBorder="1" applyAlignment="1">
      <alignment horizontal="left" vertical="center" wrapText="1"/>
    </xf>
    <xf numFmtId="0" fontId="9" fillId="20" borderId="2" xfId="0" applyFont="1" applyFill="1" applyBorder="1" applyAlignment="1">
      <alignment horizontal="center" vertical="center" wrapText="1"/>
    </xf>
    <xf numFmtId="0" fontId="9" fillId="21" borderId="2" xfId="0" applyFont="1" applyFill="1" applyBorder="1" applyAlignment="1">
      <alignment horizontal="left" vertical="center" wrapText="1"/>
    </xf>
    <xf numFmtId="0" fontId="9" fillId="21" borderId="2" xfId="0" applyFont="1" applyFill="1" applyBorder="1" applyAlignment="1">
      <alignment horizontal="center" vertical="center" wrapText="1"/>
    </xf>
    <xf numFmtId="2" fontId="9" fillId="21" borderId="2" xfId="0" applyNumberFormat="1" applyFont="1" applyFill="1" applyBorder="1" applyAlignment="1">
      <alignment horizontal="right" vertical="center" wrapText="1"/>
    </xf>
    <xf numFmtId="4" fontId="9" fillId="21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right" vertical="center" wrapText="1"/>
    </xf>
    <xf numFmtId="4" fontId="9" fillId="0" borderId="2" xfId="0" applyNumberFormat="1" applyFont="1" applyBorder="1" applyAlignment="1">
      <alignment horizontal="right" vertical="center" wrapText="1"/>
    </xf>
    <xf numFmtId="0" fontId="26" fillId="20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right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center" vertical="center" wrapText="1"/>
    </xf>
    <xf numFmtId="2" fontId="11" fillId="9" borderId="2" xfId="0" applyNumberFormat="1" applyFont="1" applyFill="1" applyBorder="1" applyAlignment="1">
      <alignment horizontal="right" vertical="center" wrapText="1"/>
    </xf>
    <xf numFmtId="167" fontId="9" fillId="0" borderId="2" xfId="0" applyNumberFormat="1" applyFont="1" applyBorder="1" applyAlignment="1">
      <alignment horizontal="right" vertical="center" wrapText="1"/>
    </xf>
    <xf numFmtId="165" fontId="12" fillId="0" borderId="2" xfId="0" applyNumberFormat="1" applyFont="1" applyBorder="1" applyAlignment="1">
      <alignment horizontal="right" vertical="center" wrapText="1"/>
    </xf>
    <xf numFmtId="2" fontId="4" fillId="19" borderId="2" xfId="0" applyNumberFormat="1" applyFont="1" applyFill="1" applyBorder="1" applyAlignment="1">
      <alignment horizontal="right" vertical="center" wrapText="1"/>
    </xf>
    <xf numFmtId="4" fontId="4" fillId="19" borderId="2" xfId="0" applyNumberFormat="1" applyFont="1" applyFill="1" applyBorder="1" applyAlignment="1">
      <alignment horizontal="right" vertical="center" wrapText="1"/>
    </xf>
    <xf numFmtId="2" fontId="9" fillId="20" borderId="2" xfId="0" applyNumberFormat="1" applyFont="1" applyFill="1" applyBorder="1" applyAlignment="1">
      <alignment horizontal="right" vertical="center" wrapText="1"/>
    </xf>
    <xf numFmtId="4" fontId="9" fillId="20" borderId="2" xfId="0" applyNumberFormat="1" applyFont="1" applyFill="1" applyBorder="1" applyAlignment="1">
      <alignment horizontal="right" vertical="center" wrapText="1"/>
    </xf>
    <xf numFmtId="0" fontId="17" fillId="18" borderId="0" xfId="0" applyFont="1" applyFill="1" applyAlignment="1">
      <alignment horizontal="center" vertical="center" wrapText="1"/>
    </xf>
    <xf numFmtId="2" fontId="17" fillId="18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vertical="center"/>
    </xf>
    <xf numFmtId="4" fontId="9" fillId="27" borderId="2" xfId="0" applyNumberFormat="1" applyFont="1" applyFill="1" applyBorder="1" applyAlignment="1">
      <alignment horizontal="right" vertical="top" wrapText="1"/>
    </xf>
    <xf numFmtId="0" fontId="4" fillId="31" borderId="2" xfId="0" applyFont="1" applyFill="1" applyBorder="1" applyAlignment="1">
      <alignment horizontal="left" vertical="top" wrapText="1"/>
    </xf>
    <xf numFmtId="4" fontId="9" fillId="31" borderId="2" xfId="0" applyNumberFormat="1" applyFont="1" applyFill="1" applyBorder="1" applyAlignment="1">
      <alignment horizontal="right" vertical="top" wrapText="1"/>
    </xf>
    <xf numFmtId="4" fontId="26" fillId="31" borderId="2" xfId="0" applyNumberFormat="1" applyFont="1" applyFill="1" applyBorder="1" applyAlignment="1">
      <alignment horizontal="right" vertical="top" wrapText="1"/>
    </xf>
    <xf numFmtId="0" fontId="9" fillId="27" borderId="2" xfId="0" applyFont="1" applyFill="1" applyBorder="1" applyAlignment="1">
      <alignment horizontal="right" vertical="top" wrapText="1"/>
    </xf>
    <xf numFmtId="4" fontId="19" fillId="31" borderId="2" xfId="0" applyNumberFormat="1" applyFont="1" applyFill="1" applyBorder="1" applyAlignment="1">
      <alignment horizontal="right" vertical="top" wrapText="1"/>
    </xf>
    <xf numFmtId="0" fontId="9" fillId="31" borderId="2" xfId="0" applyFont="1" applyFill="1" applyBorder="1" applyAlignment="1">
      <alignment horizontal="center" vertical="top" wrapText="1"/>
    </xf>
    <xf numFmtId="4" fontId="4" fillId="31" borderId="2" xfId="0" applyNumberFormat="1" applyFont="1" applyFill="1" applyBorder="1" applyAlignment="1">
      <alignment horizontal="right" vertical="top" wrapText="1"/>
    </xf>
    <xf numFmtId="4" fontId="14" fillId="28" borderId="2" xfId="0" applyNumberFormat="1" applyFont="1" applyFill="1" applyBorder="1" applyAlignment="1">
      <alignment horizontal="right" vertical="top" wrapText="1"/>
    </xf>
    <xf numFmtId="4" fontId="14" fillId="0" borderId="2" xfId="0" applyNumberFormat="1" applyFont="1" applyBorder="1" applyAlignment="1">
      <alignment horizontal="right" vertical="top" wrapText="1"/>
    </xf>
    <xf numFmtId="4" fontId="24" fillId="20" borderId="2" xfId="0" applyNumberFormat="1" applyFont="1" applyFill="1" applyBorder="1" applyAlignment="1">
      <alignment horizontal="right" vertical="top" wrapText="1"/>
    </xf>
    <xf numFmtId="4" fontId="14" fillId="20" borderId="2" xfId="0" applyNumberFormat="1" applyFont="1" applyFill="1" applyBorder="1" applyAlignment="1">
      <alignment horizontal="right" vertical="top" wrapText="1"/>
    </xf>
    <xf numFmtId="0" fontId="14" fillId="29" borderId="2" xfId="0" applyFont="1" applyFill="1" applyBorder="1" applyAlignment="1">
      <alignment horizontal="left" vertical="top" wrapText="1"/>
    </xf>
    <xf numFmtId="0" fontId="14" fillId="29" borderId="2" xfId="0" applyFont="1" applyFill="1" applyBorder="1" applyAlignment="1">
      <alignment horizontal="center" vertical="top" wrapText="1"/>
    </xf>
    <xf numFmtId="166" fontId="14" fillId="29" borderId="2" xfId="0" applyNumberFormat="1" applyFont="1" applyFill="1" applyBorder="1" applyAlignment="1">
      <alignment horizontal="right" vertical="top" wrapText="1"/>
    </xf>
    <xf numFmtId="0" fontId="4" fillId="19" borderId="2" xfId="0" applyFont="1" applyFill="1" applyBorder="1" applyAlignment="1">
      <alignment horizontal="center" vertical="top" wrapText="1"/>
    </xf>
    <xf numFmtId="0" fontId="9" fillId="20" borderId="1" xfId="0" applyFont="1" applyFill="1" applyBorder="1" applyAlignment="1">
      <alignment horizontal="center" vertical="top" wrapText="1"/>
    </xf>
    <xf numFmtId="0" fontId="14" fillId="13" borderId="2" xfId="0" applyFont="1" applyFill="1" applyBorder="1" applyAlignment="1">
      <alignment horizontal="center" wrapText="1"/>
    </xf>
    <xf numFmtId="10" fontId="0" fillId="0" borderId="0" xfId="2" applyNumberFormat="1" applyFont="1" applyFill="1" applyAlignment="1">
      <alignment vertical="center"/>
    </xf>
    <xf numFmtId="180" fontId="0" fillId="0" borderId="0" xfId="0" applyNumberFormat="1"/>
    <xf numFmtId="0" fontId="26" fillId="27" borderId="14" xfId="0" applyFont="1" applyFill="1" applyBorder="1" applyAlignment="1">
      <alignment vertical="center" wrapText="1"/>
    </xf>
    <xf numFmtId="0" fontId="0" fillId="27" borderId="14" xfId="0" applyFill="1" applyBorder="1" applyAlignment="1">
      <alignment vertical="center"/>
    </xf>
    <xf numFmtId="167" fontId="26" fillId="20" borderId="2" xfId="0" applyNumberFormat="1" applyFont="1" applyFill="1" applyBorder="1" applyAlignment="1">
      <alignment horizontal="right" vertical="top" wrapText="1"/>
    </xf>
    <xf numFmtId="182" fontId="0" fillId="0" borderId="0" xfId="0" applyNumberFormat="1" applyAlignment="1">
      <alignment vertical="center"/>
    </xf>
    <xf numFmtId="44" fontId="0" fillId="0" borderId="0" xfId="5" applyFont="1" applyAlignment="1">
      <alignment vertical="center"/>
    </xf>
    <xf numFmtId="0" fontId="0" fillId="30" borderId="0" xfId="0" applyFill="1"/>
    <xf numFmtId="44" fontId="0" fillId="0" borderId="0" xfId="0" applyNumberFormat="1"/>
    <xf numFmtId="44" fontId="37" fillId="0" borderId="0" xfId="0" applyNumberFormat="1" applyFont="1"/>
    <xf numFmtId="0" fontId="0" fillId="0" borderId="21" xfId="0" applyBorder="1" applyAlignment="1">
      <alignment horizontal="center" vertical="center"/>
    </xf>
    <xf numFmtId="9" fontId="0" fillId="0" borderId="21" xfId="2" applyFont="1" applyFill="1" applyBorder="1" applyAlignment="1">
      <alignment horizontal="center" vertical="center"/>
    </xf>
    <xf numFmtId="9" fontId="0" fillId="0" borderId="21" xfId="2" applyFont="1" applyBorder="1" applyAlignment="1">
      <alignment horizontal="center" vertical="center"/>
    </xf>
    <xf numFmtId="43" fontId="32" fillId="0" borderId="0" xfId="1" applyFont="1" applyFill="1" applyBorder="1" applyAlignment="1">
      <alignment vertical="center"/>
    </xf>
    <xf numFmtId="43" fontId="36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172" fontId="26" fillId="20" borderId="2" xfId="0" applyNumberFormat="1" applyFont="1" applyFill="1" applyBorder="1" applyAlignment="1">
      <alignment horizontal="right" vertical="top" wrapText="1"/>
    </xf>
    <xf numFmtId="0" fontId="19" fillId="38" borderId="1" xfId="0" applyFont="1" applyFill="1" applyBorder="1" applyAlignment="1">
      <alignment horizontal="left" vertical="top" wrapText="1"/>
    </xf>
    <xf numFmtId="167" fontId="9" fillId="20" borderId="2" xfId="0" applyNumberFormat="1" applyFont="1" applyFill="1" applyBorder="1" applyAlignment="1">
      <alignment horizontal="right" vertical="top" wrapText="1"/>
    </xf>
    <xf numFmtId="4" fontId="14" fillId="27" borderId="2" xfId="0" applyNumberFormat="1" applyFont="1" applyFill="1" applyBorder="1" applyAlignment="1">
      <alignment horizontal="right" vertical="top" wrapText="1"/>
    </xf>
    <xf numFmtId="43" fontId="39" fillId="0" borderId="0" xfId="0" applyNumberFormat="1" applyFont="1"/>
    <xf numFmtId="0" fontId="26" fillId="27" borderId="2" xfId="0" applyFont="1" applyFill="1" applyBorder="1" applyAlignment="1">
      <alignment horizontal="left" vertical="top" wrapText="1"/>
    </xf>
    <xf numFmtId="4" fontId="14" fillId="24" borderId="2" xfId="0" applyNumberFormat="1" applyFont="1" applyFill="1" applyBorder="1" applyAlignment="1">
      <alignment horizontal="right" vertical="top" wrapText="1"/>
    </xf>
    <xf numFmtId="0" fontId="27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/>
    </xf>
    <xf numFmtId="43" fontId="35" fillId="0" borderId="0" xfId="1" applyFont="1" applyFill="1" applyBorder="1" applyAlignment="1">
      <alignment vertical="center"/>
    </xf>
    <xf numFmtId="0" fontId="32" fillId="32" borderId="22" xfId="0" applyFont="1" applyFill="1" applyBorder="1" applyAlignment="1">
      <alignment horizontal="center" vertical="center"/>
    </xf>
    <xf numFmtId="0" fontId="0" fillId="39" borderId="22" xfId="0" applyFill="1" applyBorder="1" applyAlignment="1">
      <alignment horizontal="center"/>
    </xf>
    <xf numFmtId="0" fontId="26" fillId="27" borderId="22" xfId="0" applyFont="1" applyFill="1" applyBorder="1" applyAlignment="1">
      <alignment vertical="center" wrapText="1"/>
    </xf>
    <xf numFmtId="0" fontId="0" fillId="27" borderId="22" xfId="0" applyFill="1" applyBorder="1" applyAlignment="1">
      <alignment horizontal="center" vertical="center"/>
    </xf>
    <xf numFmtId="2" fontId="0" fillId="27" borderId="22" xfId="0" applyNumberFormat="1" applyFill="1" applyBorder="1" applyAlignment="1">
      <alignment vertical="center"/>
    </xf>
    <xf numFmtId="2" fontId="0" fillId="30" borderId="22" xfId="0" applyNumberFormat="1" applyFill="1" applyBorder="1" applyAlignment="1">
      <alignment vertical="center"/>
    </xf>
    <xf numFmtId="44" fontId="0" fillId="30" borderId="22" xfId="5" applyFont="1" applyFill="1" applyBorder="1" applyAlignment="1">
      <alignment vertical="center"/>
    </xf>
    <xf numFmtId="10" fontId="0" fillId="35" borderId="22" xfId="2" applyNumberFormat="1" applyFont="1" applyFill="1" applyBorder="1" applyAlignment="1">
      <alignment horizontal="center" vertical="center"/>
    </xf>
    <xf numFmtId="0" fontId="0" fillId="37" borderId="22" xfId="0" applyFill="1" applyBorder="1" applyAlignment="1">
      <alignment horizontal="center" vertical="center"/>
    </xf>
    <xf numFmtId="44" fontId="0" fillId="27" borderId="22" xfId="5" applyFont="1" applyFill="1" applyBorder="1"/>
    <xf numFmtId="0" fontId="9" fillId="27" borderId="22" xfId="0" applyFont="1" applyFill="1" applyBorder="1" applyAlignment="1">
      <alignment vertical="center" wrapText="1"/>
    </xf>
    <xf numFmtId="2" fontId="0" fillId="33" borderId="22" xfId="0" applyNumberFormat="1" applyFill="1" applyBorder="1" applyAlignment="1">
      <alignment vertical="center"/>
    </xf>
    <xf numFmtId="2" fontId="0" fillId="34" borderId="22" xfId="0" applyNumberFormat="1" applyFill="1" applyBorder="1" applyAlignment="1">
      <alignment vertical="center"/>
    </xf>
    <xf numFmtId="0" fontId="0" fillId="0" borderId="22" xfId="0" applyBorder="1" applyAlignment="1">
      <alignment vertical="center"/>
    </xf>
    <xf numFmtId="44" fontId="0" fillId="0" borderId="22" xfId="0" applyNumberFormat="1" applyBorder="1" applyAlignment="1">
      <alignment vertical="center"/>
    </xf>
    <xf numFmtId="0" fontId="0" fillId="0" borderId="22" xfId="0" applyBorder="1"/>
    <xf numFmtId="170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44" fontId="32" fillId="36" borderId="22" xfId="5" applyFont="1" applyFill="1" applyBorder="1"/>
    <xf numFmtId="170" fontId="32" fillId="36" borderId="22" xfId="0" applyNumberFormat="1" applyFont="1" applyFill="1" applyBorder="1" applyAlignment="1">
      <alignment horizontal="center" vertical="center"/>
    </xf>
    <xf numFmtId="43" fontId="36" fillId="0" borderId="24" xfId="0" applyNumberFormat="1" applyFont="1" applyBorder="1" applyAlignment="1">
      <alignment vertical="center"/>
    </xf>
    <xf numFmtId="0" fontId="27" fillId="23" borderId="23" xfId="0" applyFont="1" applyFill="1" applyBorder="1" applyAlignment="1">
      <alignment horizontal="center" vertical="center" wrapText="1"/>
    </xf>
    <xf numFmtId="0" fontId="35" fillId="37" borderId="23" xfId="0" applyFont="1" applyFill="1" applyBorder="1" applyAlignment="1">
      <alignment horizontal="center" vertical="center"/>
    </xf>
    <xf numFmtId="0" fontId="36" fillId="37" borderId="23" xfId="0" applyFont="1" applyFill="1" applyBorder="1" applyAlignment="1">
      <alignment vertical="center"/>
    </xf>
    <xf numFmtId="0" fontId="25" fillId="37" borderId="23" xfId="0" applyFont="1" applyFill="1" applyBorder="1" applyAlignment="1">
      <alignment vertical="center" wrapText="1"/>
    </xf>
    <xf numFmtId="0" fontId="36" fillId="37" borderId="23" xfId="0" applyFont="1" applyFill="1" applyBorder="1" applyAlignment="1">
      <alignment horizontal="center" vertical="center"/>
    </xf>
    <xf numFmtId="43" fontId="36" fillId="37" borderId="23" xfId="1" applyFont="1" applyFill="1" applyBorder="1" applyAlignment="1">
      <alignment vertical="center"/>
    </xf>
    <xf numFmtId="43" fontId="35" fillId="37" borderId="23" xfId="1" applyFont="1" applyFill="1" applyBorder="1" applyAlignment="1">
      <alignment vertical="center"/>
    </xf>
    <xf numFmtId="0" fontId="0" fillId="27" borderId="23" xfId="0" applyFill="1" applyBorder="1" applyAlignment="1">
      <alignment vertical="center"/>
    </xf>
    <xf numFmtId="0" fontId="27" fillId="27" borderId="23" xfId="0" applyFont="1" applyFill="1" applyBorder="1" applyAlignment="1">
      <alignment vertical="center" wrapText="1"/>
    </xf>
    <xf numFmtId="0" fontId="0" fillId="27" borderId="23" xfId="0" applyFill="1" applyBorder="1" applyAlignment="1">
      <alignment horizontal="center" vertical="center"/>
    </xf>
    <xf numFmtId="43" fontId="0" fillId="27" borderId="23" xfId="1" applyFont="1" applyFill="1" applyBorder="1" applyAlignment="1">
      <alignment vertical="center"/>
    </xf>
    <xf numFmtId="0" fontId="36" fillId="27" borderId="23" xfId="0" applyFont="1" applyFill="1" applyBorder="1" applyAlignment="1">
      <alignment vertical="center"/>
    </xf>
    <xf numFmtId="43" fontId="22" fillId="27" borderId="23" xfId="1" applyFont="1" applyFill="1" applyBorder="1" applyAlignment="1">
      <alignment vertical="center"/>
    </xf>
    <xf numFmtId="0" fontId="22" fillId="27" borderId="23" xfId="0" applyFont="1" applyFill="1" applyBorder="1" applyAlignment="1">
      <alignment vertical="center"/>
    </xf>
    <xf numFmtId="0" fontId="26" fillId="27" borderId="23" xfId="0" applyFont="1" applyFill="1" applyBorder="1" applyAlignment="1">
      <alignment horizontal="left" vertical="center" wrapText="1"/>
    </xf>
    <xf numFmtId="43" fontId="0" fillId="27" borderId="23" xfId="0" applyNumberFormat="1" applyFill="1" applyBorder="1" applyAlignment="1">
      <alignment vertical="center"/>
    </xf>
    <xf numFmtId="43" fontId="36" fillId="27" borderId="23" xfId="0" applyNumberFormat="1" applyFont="1" applyFill="1" applyBorder="1" applyAlignment="1">
      <alignment vertical="center"/>
    </xf>
    <xf numFmtId="2" fontId="0" fillId="27" borderId="23" xfId="0" applyNumberFormat="1" applyFill="1" applyBorder="1" applyAlignment="1">
      <alignment vertical="center"/>
    </xf>
    <xf numFmtId="0" fontId="26" fillId="27" borderId="23" xfId="0" applyFont="1" applyFill="1" applyBorder="1" applyAlignment="1">
      <alignment vertical="center" wrapText="1"/>
    </xf>
    <xf numFmtId="0" fontId="9" fillId="27" borderId="23" xfId="0" applyFont="1" applyFill="1" applyBorder="1" applyAlignment="1">
      <alignment horizontal="center" vertical="center" wrapText="1"/>
    </xf>
    <xf numFmtId="0" fontId="9" fillId="27" borderId="23" xfId="0" applyFont="1" applyFill="1" applyBorder="1" applyAlignment="1">
      <alignment horizontal="right" vertical="center" wrapText="1"/>
    </xf>
    <xf numFmtId="0" fontId="9" fillId="27" borderId="23" xfId="0" applyFont="1" applyFill="1" applyBorder="1" applyAlignment="1">
      <alignment horizontal="left" vertical="center" wrapText="1"/>
    </xf>
    <xf numFmtId="0" fontId="26" fillId="27" borderId="23" xfId="0" applyFont="1" applyFill="1" applyBorder="1" applyAlignment="1">
      <alignment horizontal="left" vertical="top" wrapText="1"/>
    </xf>
    <xf numFmtId="181" fontId="0" fillId="27" borderId="23" xfId="0" applyNumberFormat="1" applyFill="1" applyBorder="1" applyAlignment="1">
      <alignment vertical="center"/>
    </xf>
    <xf numFmtId="0" fontId="0" fillId="37" borderId="23" xfId="0" applyFill="1" applyBorder="1" applyAlignment="1">
      <alignment horizontal="center" vertical="center"/>
    </xf>
    <xf numFmtId="0" fontId="0" fillId="37" borderId="23" xfId="0" applyFill="1" applyBorder="1" applyAlignment="1">
      <alignment vertical="center"/>
    </xf>
    <xf numFmtId="0" fontId="19" fillId="37" borderId="23" xfId="0" applyFont="1" applyFill="1" applyBorder="1" applyAlignment="1">
      <alignment vertical="center" wrapText="1"/>
    </xf>
    <xf numFmtId="43" fontId="0" fillId="37" borderId="23" xfId="1" applyFont="1" applyFill="1" applyBorder="1" applyAlignment="1">
      <alignment vertical="center"/>
    </xf>
    <xf numFmtId="43" fontId="0" fillId="37" borderId="23" xfId="0" applyNumberFormat="1" applyFill="1" applyBorder="1" applyAlignment="1">
      <alignment vertical="center"/>
    </xf>
    <xf numFmtId="2" fontId="0" fillId="37" borderId="23" xfId="0" applyNumberFormat="1" applyFill="1" applyBorder="1" applyAlignment="1">
      <alignment vertical="center"/>
    </xf>
    <xf numFmtId="0" fontId="9" fillId="27" borderId="23" xfId="0" applyFont="1" applyFill="1" applyBorder="1" applyAlignment="1">
      <alignment horizontal="left" vertical="top" wrapText="1"/>
    </xf>
    <xf numFmtId="168" fontId="0" fillId="27" borderId="23" xfId="0" applyNumberFormat="1" applyFill="1" applyBorder="1" applyAlignment="1">
      <alignment vertical="center"/>
    </xf>
    <xf numFmtId="0" fontId="9" fillId="27" borderId="23" xfId="0" applyFont="1" applyFill="1" applyBorder="1" applyAlignment="1">
      <alignment vertical="center" wrapText="1"/>
    </xf>
    <xf numFmtId="4" fontId="0" fillId="27" borderId="23" xfId="0" applyNumberFormat="1" applyFill="1" applyBorder="1" applyAlignment="1">
      <alignment vertical="center"/>
    </xf>
    <xf numFmtId="2" fontId="0" fillId="27" borderId="23" xfId="0" applyNumberFormat="1" applyFill="1" applyBorder="1" applyAlignment="1">
      <alignment horizontal="right" vertical="center"/>
    </xf>
    <xf numFmtId="0" fontId="9" fillId="27" borderId="23" xfId="0" applyFont="1" applyFill="1" applyBorder="1" applyAlignment="1">
      <alignment horizontal="right" vertical="top" wrapText="1"/>
    </xf>
    <xf numFmtId="0" fontId="9" fillId="27" borderId="23" xfId="0" applyFont="1" applyFill="1" applyBorder="1" applyAlignment="1">
      <alignment horizontal="center" vertical="top" wrapText="1"/>
    </xf>
    <xf numFmtId="0" fontId="32" fillId="23" borderId="23" xfId="0" applyFont="1" applyFill="1" applyBorder="1" applyAlignment="1">
      <alignment horizontal="center" vertical="center"/>
    </xf>
    <xf numFmtId="43" fontId="32" fillId="23" borderId="23" xfId="1" applyFont="1" applyFill="1" applyBorder="1" applyAlignment="1">
      <alignment vertical="center"/>
    </xf>
    <xf numFmtId="0" fontId="27" fillId="23" borderId="22" xfId="0" applyFont="1" applyFill="1" applyBorder="1" applyAlignment="1">
      <alignment horizontal="center" vertical="center" wrapText="1"/>
    </xf>
    <xf numFmtId="0" fontId="32" fillId="23" borderId="2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37" borderId="23" xfId="0" applyFill="1" applyBorder="1"/>
    <xf numFmtId="43" fontId="0" fillId="37" borderId="23" xfId="1" applyFont="1" applyFill="1" applyBorder="1"/>
    <xf numFmtId="0" fontId="42" fillId="23" borderId="23" xfId="0" applyFont="1" applyFill="1" applyBorder="1" applyAlignment="1">
      <alignment horizontal="center" vertical="center"/>
    </xf>
    <xf numFmtId="10" fontId="24" fillId="37" borderId="23" xfId="2" applyNumberFormat="1" applyFont="1" applyFill="1" applyBorder="1" applyAlignment="1">
      <alignment horizontal="center" vertical="center"/>
    </xf>
    <xf numFmtId="43" fontId="24" fillId="37" borderId="23" xfId="1" applyFont="1" applyFill="1" applyBorder="1" applyAlignment="1">
      <alignment horizontal="center" vertical="center"/>
    </xf>
    <xf numFmtId="0" fontId="40" fillId="23" borderId="23" xfId="0" applyFont="1" applyFill="1" applyBorder="1" applyAlignment="1">
      <alignment horizontal="center" vertical="center" wrapText="1"/>
    </xf>
    <xf numFmtId="0" fontId="32" fillId="23" borderId="23" xfId="0" applyFont="1" applyFill="1" applyBorder="1" applyAlignment="1">
      <alignment horizontal="left" vertical="center" wrapText="1"/>
    </xf>
    <xf numFmtId="4" fontId="32" fillId="23" borderId="23" xfId="0" applyNumberFormat="1" applyFont="1" applyFill="1" applyBorder="1" applyAlignment="1">
      <alignment horizontal="right" vertical="center"/>
    </xf>
    <xf numFmtId="10" fontId="32" fillId="23" borderId="23" xfId="0" applyNumberFormat="1" applyFont="1" applyFill="1" applyBorder="1" applyAlignment="1">
      <alignment horizontal="right" vertical="center"/>
    </xf>
    <xf numFmtId="0" fontId="32" fillId="23" borderId="23" xfId="0" applyFont="1" applyFill="1" applyBorder="1" applyAlignment="1">
      <alignment horizontal="left" vertical="center"/>
    </xf>
    <xf numFmtId="0" fontId="32" fillId="23" borderId="23" xfId="0" applyFont="1" applyFill="1" applyBorder="1" applyAlignment="1">
      <alignment horizontal="right" vertical="center"/>
    </xf>
    <xf numFmtId="0" fontId="0" fillId="37" borderId="0" xfId="0" applyFill="1"/>
    <xf numFmtId="0" fontId="35" fillId="40" borderId="23" xfId="0" applyFont="1" applyFill="1" applyBorder="1" applyAlignment="1">
      <alignment horizontal="center" vertical="center"/>
    </xf>
    <xf numFmtId="0" fontId="42" fillId="23" borderId="23" xfId="0" applyFont="1" applyFill="1" applyBorder="1" applyAlignment="1">
      <alignment vertical="center"/>
    </xf>
    <xf numFmtId="0" fontId="32" fillId="23" borderId="31" xfId="0" applyFont="1" applyFill="1" applyBorder="1" applyAlignment="1">
      <alignment horizontal="center" vertical="center"/>
    </xf>
    <xf numFmtId="0" fontId="32" fillId="23" borderId="23" xfId="0" applyFont="1" applyFill="1" applyBorder="1" applyAlignment="1">
      <alignment vertical="center"/>
    </xf>
    <xf numFmtId="10" fontId="36" fillId="37" borderId="23" xfId="2" applyNumberFormat="1" applyFont="1" applyFill="1" applyBorder="1" applyAlignment="1">
      <alignment horizontal="center" vertical="center"/>
    </xf>
    <xf numFmtId="39" fontId="36" fillId="37" borderId="23" xfId="1" applyNumberFormat="1" applyFont="1" applyFill="1" applyBorder="1" applyAlignment="1">
      <alignment horizontal="center" vertical="center"/>
    </xf>
    <xf numFmtId="43" fontId="36" fillId="37" borderId="23" xfId="1" applyFont="1" applyFill="1" applyBorder="1" applyAlignment="1">
      <alignment horizontal="center" vertical="center"/>
    </xf>
    <xf numFmtId="183" fontId="36" fillId="37" borderId="23" xfId="2" applyNumberFormat="1" applyFont="1" applyFill="1" applyBorder="1" applyAlignment="1">
      <alignment horizontal="center" vertical="center"/>
    </xf>
    <xf numFmtId="10" fontId="43" fillId="37" borderId="23" xfId="2" applyNumberFormat="1" applyFont="1" applyFill="1" applyBorder="1" applyAlignment="1">
      <alignment horizontal="center" vertical="center"/>
    </xf>
    <xf numFmtId="0" fontId="35" fillId="31" borderId="23" xfId="0" applyFont="1" applyFill="1" applyBorder="1" applyAlignment="1">
      <alignment horizontal="center" vertical="center"/>
    </xf>
    <xf numFmtId="10" fontId="35" fillId="31" borderId="23" xfId="0" applyNumberFormat="1" applyFont="1" applyFill="1" applyBorder="1" applyAlignment="1">
      <alignment horizontal="center" vertical="center"/>
    </xf>
    <xf numFmtId="10" fontId="35" fillId="31" borderId="31" xfId="0" applyNumberFormat="1" applyFont="1" applyFill="1" applyBorder="1" applyAlignment="1">
      <alignment horizontal="center" vertical="center"/>
    </xf>
    <xf numFmtId="0" fontId="36" fillId="0" borderId="0" xfId="0" applyFont="1"/>
    <xf numFmtId="0" fontId="36" fillId="37" borderId="0" xfId="0" applyFont="1" applyFill="1"/>
    <xf numFmtId="0" fontId="32" fillId="23" borderId="0" xfId="0" applyFont="1" applyFill="1" applyAlignment="1">
      <alignment horizontal="center" vertical="center"/>
    </xf>
    <xf numFmtId="0" fontId="32" fillId="23" borderId="0" xfId="0" applyFont="1" applyFill="1" applyAlignment="1">
      <alignment vertical="center"/>
    </xf>
    <xf numFmtId="0" fontId="35" fillId="31" borderId="0" xfId="0" applyFont="1" applyFill="1" applyAlignment="1">
      <alignment horizontal="center" vertical="center"/>
    </xf>
    <xf numFmtId="9" fontId="36" fillId="31" borderId="0" xfId="2" applyFont="1" applyFill="1" applyBorder="1" applyAlignment="1">
      <alignment horizontal="center" vertical="center"/>
    </xf>
    <xf numFmtId="43" fontId="32" fillId="23" borderId="0" xfId="1" applyFont="1" applyFill="1" applyBorder="1" applyAlignment="1">
      <alignment vertical="center"/>
    </xf>
    <xf numFmtId="4" fontId="40" fillId="23" borderId="0" xfId="0" applyNumberFormat="1" applyFont="1" applyFill="1" applyAlignment="1">
      <alignment horizontal="center" vertical="center"/>
    </xf>
    <xf numFmtId="10" fontId="40" fillId="23" borderId="0" xfId="2" applyNumberFormat="1" applyFont="1" applyFill="1" applyBorder="1" applyAlignment="1">
      <alignment horizontal="center" vertical="center"/>
    </xf>
    <xf numFmtId="9" fontId="40" fillId="23" borderId="0" xfId="2" applyFont="1" applyFill="1" applyBorder="1" applyAlignment="1">
      <alignment horizontal="center" vertical="center"/>
    </xf>
    <xf numFmtId="0" fontId="32" fillId="41" borderId="23" xfId="0" applyFont="1" applyFill="1" applyBorder="1" applyAlignment="1">
      <alignment vertical="center"/>
    </xf>
    <xf numFmtId="0" fontId="32" fillId="41" borderId="42" xfId="0" applyFont="1" applyFill="1" applyBorder="1" applyAlignment="1">
      <alignment vertical="center"/>
    </xf>
    <xf numFmtId="0" fontId="35" fillId="31" borderId="42" xfId="0" applyFont="1" applyFill="1" applyBorder="1" applyAlignment="1">
      <alignment horizontal="center" vertical="center"/>
    </xf>
    <xf numFmtId="0" fontId="35" fillId="31" borderId="43" xfId="0" applyFont="1" applyFill="1" applyBorder="1" applyAlignment="1">
      <alignment horizontal="center" vertical="center"/>
    </xf>
    <xf numFmtId="10" fontId="35" fillId="31" borderId="42" xfId="0" applyNumberFormat="1" applyFont="1" applyFill="1" applyBorder="1" applyAlignment="1">
      <alignment horizontal="center" vertical="center"/>
    </xf>
    <xf numFmtId="10" fontId="35" fillId="31" borderId="43" xfId="0" applyNumberFormat="1" applyFont="1" applyFill="1" applyBorder="1" applyAlignment="1">
      <alignment horizontal="center" vertical="center"/>
    </xf>
    <xf numFmtId="0" fontId="32" fillId="44" borderId="23" xfId="0" applyFont="1" applyFill="1" applyBorder="1" applyAlignment="1">
      <alignment vertical="center"/>
    </xf>
    <xf numFmtId="0" fontId="32" fillId="35" borderId="23" xfId="0" applyFont="1" applyFill="1" applyBorder="1" applyAlignment="1">
      <alignment vertical="center"/>
    </xf>
    <xf numFmtId="0" fontId="35" fillId="31" borderId="31" xfId="0" applyFont="1" applyFill="1" applyBorder="1" applyAlignment="1">
      <alignment horizontal="center" vertical="center"/>
    </xf>
    <xf numFmtId="0" fontId="32" fillId="35" borderId="42" xfId="0" applyFont="1" applyFill="1" applyBorder="1" applyAlignment="1">
      <alignment vertical="center"/>
    </xf>
    <xf numFmtId="0" fontId="32" fillId="35" borderId="43" xfId="0" applyFont="1" applyFill="1" applyBorder="1" applyAlignment="1">
      <alignment vertical="center"/>
    </xf>
    <xf numFmtId="0" fontId="32" fillId="41" borderId="31" xfId="0" applyFont="1" applyFill="1" applyBorder="1" applyAlignment="1">
      <alignment vertical="center"/>
    </xf>
    <xf numFmtId="0" fontId="32" fillId="44" borderId="42" xfId="0" applyFont="1" applyFill="1" applyBorder="1" applyAlignment="1">
      <alignment vertical="center"/>
    </xf>
    <xf numFmtId="0" fontId="32" fillId="44" borderId="43" xfId="0" applyFont="1" applyFill="1" applyBorder="1" applyAlignment="1">
      <alignment vertical="center"/>
    </xf>
    <xf numFmtId="10" fontId="32" fillId="23" borderId="31" xfId="0" applyNumberFormat="1" applyFont="1" applyFill="1" applyBorder="1" applyAlignment="1">
      <alignment horizontal="right" vertical="center"/>
    </xf>
    <xf numFmtId="0" fontId="32" fillId="23" borderId="31" xfId="0" applyFont="1" applyFill="1" applyBorder="1" applyAlignment="1">
      <alignment horizontal="right" vertical="center"/>
    </xf>
    <xf numFmtId="9" fontId="0" fillId="0" borderId="0" xfId="2" applyFont="1" applyBorder="1" applyAlignment="1">
      <alignment horizontal="center" vertical="center"/>
    </xf>
    <xf numFmtId="44" fontId="0" fillId="30" borderId="22" xfId="5" applyFont="1" applyFill="1" applyBorder="1" applyAlignment="1">
      <alignment horizontal="center" vertical="center"/>
    </xf>
    <xf numFmtId="10" fontId="0" fillId="35" borderId="60" xfId="2" applyNumberFormat="1" applyFont="1" applyFill="1" applyBorder="1" applyAlignment="1">
      <alignment horizontal="center" vertical="center"/>
    </xf>
    <xf numFmtId="0" fontId="0" fillId="37" borderId="60" xfId="0" applyFill="1" applyBorder="1" applyAlignment="1">
      <alignment horizontal="center" vertical="center"/>
    </xf>
    <xf numFmtId="2" fontId="0" fillId="27" borderId="22" xfId="0" applyNumberFormat="1" applyFill="1" applyBorder="1" applyAlignment="1">
      <alignment horizontal="center" vertical="center"/>
    </xf>
    <xf numFmtId="0" fontId="0" fillId="27" borderId="61" xfId="0" applyFill="1" applyBorder="1" applyAlignment="1">
      <alignment horizontal="left" vertical="center" wrapText="1"/>
    </xf>
    <xf numFmtId="0" fontId="35" fillId="45" borderId="61" xfId="0" applyFont="1" applyFill="1" applyBorder="1" applyAlignment="1">
      <alignment horizontal="left" vertical="center"/>
    </xf>
    <xf numFmtId="2" fontId="35" fillId="27" borderId="61" xfId="0" applyNumberFormat="1" applyFont="1" applyFill="1" applyBorder="1" applyAlignment="1">
      <alignment horizontal="center" vertical="center"/>
    </xf>
    <xf numFmtId="0" fontId="0" fillId="45" borderId="63" xfId="0" applyFill="1" applyBorder="1" applyAlignment="1">
      <alignment horizontal="left" vertical="center"/>
    </xf>
    <xf numFmtId="2" fontId="0" fillId="45" borderId="63" xfId="0" applyNumberFormat="1" applyFill="1" applyBorder="1" applyAlignment="1">
      <alignment horizontal="right" vertical="center"/>
    </xf>
    <xf numFmtId="2" fontId="0" fillId="27" borderId="63" xfId="0" applyNumberFormat="1" applyFill="1" applyBorder="1" applyAlignment="1">
      <alignment horizontal="center" vertical="center"/>
    </xf>
    <xf numFmtId="44" fontId="0" fillId="30" borderId="22" xfId="5" applyFont="1" applyFill="1" applyBorder="1" applyAlignment="1">
      <alignment horizontal="right" vertical="center"/>
    </xf>
    <xf numFmtId="44" fontId="35" fillId="30" borderId="61" xfId="5" applyFont="1" applyFill="1" applyBorder="1" applyAlignment="1">
      <alignment horizontal="right" vertical="center"/>
    </xf>
    <xf numFmtId="44" fontId="0" fillId="30" borderId="63" xfId="5" applyFont="1" applyFill="1" applyBorder="1" applyAlignment="1">
      <alignment horizontal="right" vertical="center"/>
    </xf>
    <xf numFmtId="44" fontId="0" fillId="30" borderId="63" xfId="5" applyFont="1" applyFill="1" applyBorder="1" applyAlignment="1">
      <alignment horizontal="center" vertical="center"/>
    </xf>
    <xf numFmtId="0" fontId="26" fillId="27" borderId="2" xfId="0" applyFont="1" applyFill="1" applyBorder="1" applyAlignment="1">
      <alignment horizontal="center" vertical="top" wrapText="1"/>
    </xf>
    <xf numFmtId="44" fontId="0" fillId="30" borderId="23" xfId="5" applyFont="1" applyFill="1" applyBorder="1" applyAlignment="1">
      <alignment horizontal="right" vertical="center"/>
    </xf>
    <xf numFmtId="0" fontId="0" fillId="35" borderId="22" xfId="0" applyFill="1" applyBorder="1" applyAlignment="1">
      <alignment horizontal="center" vertical="center"/>
    </xf>
    <xf numFmtId="0" fontId="9" fillId="35" borderId="22" xfId="0" applyFont="1" applyFill="1" applyBorder="1" applyAlignment="1">
      <alignment horizontal="center" vertical="center" wrapText="1"/>
    </xf>
    <xf numFmtId="10" fontId="0" fillId="35" borderId="58" xfId="2" applyNumberFormat="1" applyFont="1" applyFill="1" applyBorder="1" applyAlignment="1">
      <alignment vertical="center"/>
    </xf>
    <xf numFmtId="10" fontId="0" fillId="35" borderId="59" xfId="2" applyNumberFormat="1" applyFont="1" applyFill="1" applyBorder="1" applyAlignment="1">
      <alignment vertical="center"/>
    </xf>
    <xf numFmtId="10" fontId="0" fillId="35" borderId="60" xfId="2" applyNumberFormat="1" applyFont="1" applyFill="1" applyBorder="1" applyAlignment="1">
      <alignment vertical="center"/>
    </xf>
    <xf numFmtId="0" fontId="35" fillId="35" borderId="54" xfId="0" applyFont="1" applyFill="1" applyBorder="1" applyAlignment="1">
      <alignment vertical="center"/>
    </xf>
    <xf numFmtId="0" fontId="35" fillId="35" borderId="63" xfId="0" applyFont="1" applyFill="1" applyBorder="1" applyAlignment="1">
      <alignment vertical="center"/>
    </xf>
    <xf numFmtId="0" fontId="35" fillId="35" borderId="55" xfId="0" applyFont="1" applyFill="1" applyBorder="1" applyAlignment="1">
      <alignment vertical="center"/>
    </xf>
    <xf numFmtId="0" fontId="35" fillId="35" borderId="61" xfId="0" applyFont="1" applyFill="1" applyBorder="1" applyAlignment="1">
      <alignment vertical="center"/>
    </xf>
    <xf numFmtId="0" fontId="35" fillId="35" borderId="62" xfId="0" applyFont="1" applyFill="1" applyBorder="1" applyAlignment="1">
      <alignment vertical="center"/>
    </xf>
    <xf numFmtId="0" fontId="19" fillId="35" borderId="61" xfId="0" applyFont="1" applyFill="1" applyBorder="1" applyAlignment="1">
      <alignment vertical="center" wrapText="1"/>
    </xf>
    <xf numFmtId="0" fontId="19" fillId="35" borderId="62" xfId="0" applyFont="1" applyFill="1" applyBorder="1" applyAlignment="1">
      <alignment vertical="center" wrapText="1"/>
    </xf>
    <xf numFmtId="0" fontId="19" fillId="35" borderId="54" xfId="0" applyFont="1" applyFill="1" applyBorder="1" applyAlignment="1">
      <alignment vertical="center" wrapText="1"/>
    </xf>
    <xf numFmtId="0" fontId="19" fillId="35" borderId="63" xfId="0" applyFont="1" applyFill="1" applyBorder="1" applyAlignment="1">
      <alignment vertical="center" wrapText="1"/>
    </xf>
    <xf numFmtId="0" fontId="19" fillId="35" borderId="55" xfId="0" applyFont="1" applyFill="1" applyBorder="1" applyAlignment="1">
      <alignment vertical="center" wrapText="1"/>
    </xf>
    <xf numFmtId="0" fontId="19" fillId="35" borderId="22" xfId="0" applyFont="1" applyFill="1" applyBorder="1" applyAlignment="1">
      <alignment vertical="center" wrapText="1"/>
    </xf>
    <xf numFmtId="0" fontId="19" fillId="35" borderId="22" xfId="0" applyFont="1" applyFill="1" applyBorder="1" applyAlignment="1">
      <alignment horizontal="left" vertical="center" wrapText="1"/>
    </xf>
    <xf numFmtId="0" fontId="32" fillId="32" borderId="0" xfId="0" applyFont="1" applyFill="1" applyAlignment="1">
      <alignment horizontal="center" vertical="center"/>
    </xf>
    <xf numFmtId="0" fontId="0" fillId="37" borderId="0" xfId="0" applyFill="1" applyAlignment="1">
      <alignment horizontal="center"/>
    </xf>
    <xf numFmtId="9" fontId="0" fillId="37" borderId="0" xfId="2" applyFont="1" applyFill="1" applyAlignment="1">
      <alignment horizontal="center"/>
    </xf>
    <xf numFmtId="0" fontId="19" fillId="37" borderId="54" xfId="0" applyFont="1" applyFill="1" applyBorder="1" applyAlignment="1">
      <alignment vertical="center" wrapText="1"/>
    </xf>
    <xf numFmtId="0" fontId="19" fillId="37" borderId="61" xfId="0" applyFont="1" applyFill="1" applyBorder="1" applyAlignment="1">
      <alignment vertical="center" wrapText="1"/>
    </xf>
    <xf numFmtId="0" fontId="25" fillId="37" borderId="61" xfId="0" applyFont="1" applyFill="1" applyBorder="1" applyAlignment="1">
      <alignment vertical="center"/>
    </xf>
    <xf numFmtId="2" fontId="0" fillId="35" borderId="22" xfId="0" applyNumberFormat="1" applyFill="1" applyBorder="1" applyAlignment="1">
      <alignment vertical="center"/>
    </xf>
    <xf numFmtId="44" fontId="0" fillId="35" borderId="22" xfId="5" applyFont="1" applyFill="1" applyBorder="1" applyAlignment="1">
      <alignment vertical="center"/>
    </xf>
    <xf numFmtId="2" fontId="0" fillId="35" borderId="22" xfId="0" applyNumberFormat="1" applyFill="1" applyBorder="1" applyAlignment="1">
      <alignment horizontal="center" vertical="center"/>
    </xf>
    <xf numFmtId="0" fontId="35" fillId="35" borderId="22" xfId="0" applyFont="1" applyFill="1" applyBorder="1" applyAlignment="1">
      <alignment horizontal="left" vertical="center"/>
    </xf>
    <xf numFmtId="2" fontId="0" fillId="35" borderId="61" xfId="0" applyNumberFormat="1" applyFill="1" applyBorder="1" applyAlignment="1">
      <alignment horizontal="center" vertical="center"/>
    </xf>
    <xf numFmtId="44" fontId="0" fillId="35" borderId="61" xfId="5" applyFont="1" applyFill="1" applyBorder="1" applyAlignment="1">
      <alignment horizontal="center" vertical="center"/>
    </xf>
    <xf numFmtId="44" fontId="0" fillId="35" borderId="62" xfId="5" applyFont="1" applyFill="1" applyBorder="1" applyAlignment="1">
      <alignment horizontal="right" vertical="center"/>
    </xf>
    <xf numFmtId="0" fontId="24" fillId="27" borderId="22" xfId="0" applyFont="1" applyFill="1" applyBorder="1" applyAlignment="1">
      <alignment vertical="center" wrapText="1"/>
    </xf>
    <xf numFmtId="0" fontId="24" fillId="27" borderId="23" xfId="0" applyFont="1" applyFill="1" applyBorder="1" applyAlignment="1">
      <alignment vertical="center" wrapText="1"/>
    </xf>
    <xf numFmtId="0" fontId="25" fillId="35" borderId="22" xfId="0" applyFont="1" applyFill="1" applyBorder="1" applyAlignment="1">
      <alignment horizontal="left" vertical="center" wrapText="1"/>
    </xf>
    <xf numFmtId="0" fontId="35" fillId="35" borderId="22" xfId="0" applyFont="1" applyFill="1" applyBorder="1" applyAlignment="1">
      <alignment horizontal="center" vertical="center"/>
    </xf>
    <xf numFmtId="0" fontId="25" fillId="35" borderId="22" xfId="0" applyFont="1" applyFill="1" applyBorder="1" applyAlignment="1">
      <alignment vertical="center" wrapText="1"/>
    </xf>
    <xf numFmtId="2" fontId="35" fillId="35" borderId="22" xfId="0" applyNumberFormat="1" applyFont="1" applyFill="1" applyBorder="1" applyAlignment="1">
      <alignment vertical="center"/>
    </xf>
    <xf numFmtId="2" fontId="35" fillId="30" borderId="22" xfId="0" applyNumberFormat="1" applyFont="1" applyFill="1" applyBorder="1" applyAlignment="1">
      <alignment vertical="center"/>
    </xf>
    <xf numFmtId="44" fontId="35" fillId="35" borderId="22" xfId="5" applyFont="1" applyFill="1" applyBorder="1" applyAlignment="1">
      <alignment vertical="center"/>
    </xf>
    <xf numFmtId="0" fontId="32" fillId="32" borderId="58" xfId="0" applyFont="1" applyFill="1" applyBorder="1" applyAlignment="1">
      <alignment horizontal="center" vertical="center"/>
    </xf>
    <xf numFmtId="0" fontId="25" fillId="35" borderId="64" xfId="0" applyFont="1" applyFill="1" applyBorder="1" applyAlignment="1">
      <alignment horizontal="left" vertical="center"/>
    </xf>
    <xf numFmtId="10" fontId="0" fillId="35" borderId="64" xfId="2" applyNumberFormat="1" applyFont="1" applyFill="1" applyBorder="1" applyAlignment="1">
      <alignment horizontal="center" vertical="center"/>
    </xf>
    <xf numFmtId="0" fontId="19" fillId="35" borderId="64" xfId="0" applyFont="1" applyFill="1" applyBorder="1" applyAlignment="1">
      <alignment vertical="center" wrapText="1"/>
    </xf>
    <xf numFmtId="0" fontId="25" fillId="35" borderId="64" xfId="0" applyFont="1" applyFill="1" applyBorder="1" applyAlignment="1">
      <alignment vertical="center"/>
    </xf>
    <xf numFmtId="44" fontId="36" fillId="35" borderId="64" xfId="2" applyNumberFormat="1" applyFont="1" applyFill="1" applyBorder="1" applyAlignment="1">
      <alignment vertical="center"/>
    </xf>
    <xf numFmtId="0" fontId="25" fillId="35" borderId="64" xfId="0" applyFont="1" applyFill="1" applyBorder="1" applyAlignment="1">
      <alignment horizontal="left" vertical="center" wrapText="1"/>
    </xf>
    <xf numFmtId="0" fontId="25" fillId="35" borderId="64" xfId="0" applyFont="1" applyFill="1" applyBorder="1" applyAlignment="1">
      <alignment vertical="center" wrapText="1"/>
    </xf>
    <xf numFmtId="44" fontId="36" fillId="35" borderId="64" xfId="0" applyNumberFormat="1" applyFont="1" applyFill="1" applyBorder="1" applyAlignment="1">
      <alignment horizontal="center" vertical="center"/>
    </xf>
    <xf numFmtId="0" fontId="19" fillId="35" borderId="64" xfId="0" applyFont="1" applyFill="1" applyBorder="1" applyAlignment="1">
      <alignment horizontal="left" vertical="center" wrapText="1"/>
    </xf>
    <xf numFmtId="0" fontId="27" fillId="32" borderId="58" xfId="0" applyFont="1" applyFill="1" applyBorder="1" applyAlignment="1">
      <alignment horizontal="center" vertical="center"/>
    </xf>
    <xf numFmtId="0" fontId="24" fillId="35" borderId="64" xfId="0" applyFont="1" applyFill="1" applyBorder="1" applyAlignment="1">
      <alignment vertical="center"/>
    </xf>
    <xf numFmtId="0" fontId="24" fillId="35" borderId="64" xfId="0" applyFont="1" applyFill="1" applyBorder="1" applyAlignment="1">
      <alignment horizontal="center" vertical="center"/>
    </xf>
    <xf numFmtId="0" fontId="26" fillId="35" borderId="6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44" fontId="36" fillId="35" borderId="64" xfId="5" applyFont="1" applyFill="1" applyBorder="1" applyAlignment="1">
      <alignment vertical="center"/>
    </xf>
    <xf numFmtId="44" fontId="36" fillId="35" borderId="64" xfId="5" applyFont="1" applyFill="1" applyBorder="1" applyAlignment="1">
      <alignment horizontal="center" vertical="center"/>
    </xf>
    <xf numFmtId="0" fontId="19" fillId="35" borderId="64" xfId="0" applyFont="1" applyFill="1" applyBorder="1" applyAlignment="1">
      <alignment horizontal="center" vertical="center" wrapText="1"/>
    </xf>
    <xf numFmtId="0" fontId="25" fillId="35" borderId="64" xfId="0" applyFont="1" applyFill="1" applyBorder="1" applyAlignment="1">
      <alignment horizontal="center" vertical="center"/>
    </xf>
    <xf numFmtId="0" fontId="19" fillId="35" borderId="63" xfId="0" applyFont="1" applyFill="1" applyBorder="1" applyAlignment="1">
      <alignment horizontal="center" vertical="center" wrapText="1"/>
    </xf>
    <xf numFmtId="0" fontId="19" fillId="35" borderId="61" xfId="0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35" fillId="35" borderId="61" xfId="0" applyFont="1" applyFill="1" applyBorder="1" applyAlignment="1">
      <alignment horizontal="center" vertical="center"/>
    </xf>
    <xf numFmtId="0" fontId="35" fillId="35" borderId="63" xfId="0" applyFont="1" applyFill="1" applyBorder="1" applyAlignment="1">
      <alignment horizontal="center" vertical="center"/>
    </xf>
    <xf numFmtId="0" fontId="24" fillId="27" borderId="23" xfId="0" applyFont="1" applyFill="1" applyBorder="1" applyAlignment="1">
      <alignment horizontal="center" vertical="center"/>
    </xf>
    <xf numFmtId="0" fontId="24" fillId="27" borderId="22" xfId="0" applyFont="1" applyFill="1" applyBorder="1" applyAlignment="1">
      <alignment horizontal="center" vertical="center"/>
    </xf>
    <xf numFmtId="1" fontId="25" fillId="0" borderId="57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37" borderId="61" xfId="0" applyFont="1" applyFill="1" applyBorder="1" applyAlignment="1">
      <alignment horizontal="center" vertical="center" wrapText="1"/>
    </xf>
    <xf numFmtId="0" fontId="19" fillId="37" borderId="63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2" fontId="27" fillId="23" borderId="22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" fontId="35" fillId="0" borderId="56" xfId="0" applyNumberFormat="1" applyFont="1" applyBorder="1" applyAlignment="1">
      <alignment horizontal="center" vertical="top"/>
    </xf>
    <xf numFmtId="0" fontId="24" fillId="0" borderId="22" xfId="0" applyFont="1" applyBorder="1" applyAlignment="1">
      <alignment horizontal="center" vertical="center"/>
    </xf>
    <xf numFmtId="0" fontId="19" fillId="0" borderId="22" xfId="0" applyFont="1" applyBorder="1" applyAlignment="1">
      <alignment vertical="center" wrapText="1"/>
    </xf>
    <xf numFmtId="0" fontId="24" fillId="0" borderId="22" xfId="0" applyFont="1" applyBorder="1"/>
    <xf numFmtId="0" fontId="35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vertical="center"/>
    </xf>
    <xf numFmtId="0" fontId="19" fillId="0" borderId="22" xfId="0" applyFont="1" applyBorder="1" applyAlignment="1">
      <alignment horizontal="left" vertical="center" wrapText="1"/>
    </xf>
    <xf numFmtId="0" fontId="24" fillId="0" borderId="22" xfId="0" applyFont="1" applyBorder="1" applyAlignment="1">
      <alignment vertical="center"/>
    </xf>
    <xf numFmtId="0" fontId="26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left" vertical="center" wrapText="1"/>
    </xf>
    <xf numFmtId="43" fontId="25" fillId="37" borderId="22" xfId="0" applyNumberFormat="1" applyFont="1" applyFill="1" applyBorder="1" applyAlignment="1">
      <alignment horizontal="center" vertical="center" wrapText="1"/>
    </xf>
    <xf numFmtId="44" fontId="24" fillId="27" borderId="22" xfId="5" applyFont="1" applyFill="1" applyBorder="1" applyAlignment="1">
      <alignment vertical="center"/>
    </xf>
    <xf numFmtId="43" fontId="24" fillId="27" borderId="22" xfId="0" applyNumberFormat="1" applyFont="1" applyFill="1" applyBorder="1" applyAlignment="1">
      <alignment vertical="center"/>
    </xf>
    <xf numFmtId="43" fontId="24" fillId="27" borderId="22" xfId="0" applyNumberFormat="1" applyFont="1" applyFill="1" applyBorder="1" applyAlignment="1">
      <alignment horizontal="center" vertical="center"/>
    </xf>
    <xf numFmtId="44" fontId="25" fillId="37" borderId="22" xfId="0" applyNumberFormat="1" applyFont="1" applyFill="1" applyBorder="1" applyAlignment="1">
      <alignment horizontal="center" vertical="center" wrapText="1"/>
    </xf>
    <xf numFmtId="0" fontId="25" fillId="37" borderId="22" xfId="0" applyFont="1" applyFill="1" applyBorder="1" applyAlignment="1">
      <alignment horizontal="center" vertical="center"/>
    </xf>
    <xf numFmtId="43" fontId="25" fillId="37" borderId="22" xfId="1" applyFont="1" applyFill="1" applyBorder="1" applyAlignment="1">
      <alignment vertical="center"/>
    </xf>
    <xf numFmtId="43" fontId="25" fillId="37" borderId="22" xfId="0" applyNumberFormat="1" applyFont="1" applyFill="1" applyBorder="1" applyAlignment="1">
      <alignment vertical="center"/>
    </xf>
    <xf numFmtId="43" fontId="25" fillId="37" borderId="22" xfId="0" applyNumberFormat="1" applyFont="1" applyFill="1" applyBorder="1" applyAlignment="1">
      <alignment horizontal="center" vertical="center"/>
    </xf>
    <xf numFmtId="0" fontId="25" fillId="37" borderId="61" xfId="0" applyFont="1" applyFill="1" applyBorder="1" applyAlignment="1">
      <alignment horizontal="center" vertical="center"/>
    </xf>
    <xf numFmtId="44" fontId="25" fillId="37" borderId="22" xfId="5" applyFont="1" applyFill="1" applyBorder="1" applyAlignment="1">
      <alignment vertical="center"/>
    </xf>
    <xf numFmtId="44" fontId="0" fillId="0" borderId="22" xfId="5" applyFont="1" applyFill="1" applyBorder="1"/>
    <xf numFmtId="10" fontId="0" fillId="0" borderId="22" xfId="2" applyNumberFormat="1" applyFont="1" applyFill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1" fontId="9" fillId="21" borderId="2" xfId="0" applyNumberFormat="1" applyFont="1" applyFill="1" applyBorder="1" applyAlignment="1">
      <alignment horizontal="right" vertical="center" wrapText="1"/>
    </xf>
    <xf numFmtId="10" fontId="23" fillId="14" borderId="21" xfId="2" applyNumberFormat="1" applyFont="1" applyFill="1" applyBorder="1" applyAlignment="1">
      <alignment horizontal="center" vertical="top" wrapText="1"/>
    </xf>
    <xf numFmtId="0" fontId="4" fillId="19" borderId="69" xfId="0" applyFont="1" applyFill="1" applyBorder="1" applyAlignment="1">
      <alignment horizontal="left" vertical="top" wrapText="1"/>
    </xf>
    <xf numFmtId="0" fontId="4" fillId="19" borderId="70" xfId="0" applyFont="1" applyFill="1" applyBorder="1" applyAlignment="1">
      <alignment horizontal="left" vertical="top" wrapText="1"/>
    </xf>
    <xf numFmtId="0" fontId="4" fillId="19" borderId="70" xfId="0" applyFont="1" applyFill="1" applyBorder="1" applyAlignment="1">
      <alignment horizontal="right" vertical="top" wrapText="1"/>
    </xf>
    <xf numFmtId="4" fontId="4" fillId="19" borderId="71" xfId="0" applyNumberFormat="1" applyFont="1" applyFill="1" applyBorder="1" applyAlignment="1">
      <alignment horizontal="right" vertical="top" wrapText="1"/>
    </xf>
    <xf numFmtId="0" fontId="3" fillId="22" borderId="72" xfId="0" applyFont="1" applyFill="1" applyBorder="1" applyAlignment="1">
      <alignment horizontal="left" vertical="top" wrapText="1"/>
    </xf>
    <xf numFmtId="0" fontId="3" fillId="22" borderId="73" xfId="0" applyFont="1" applyFill="1" applyBorder="1" applyAlignment="1">
      <alignment horizontal="right" vertical="top" wrapText="1"/>
    </xf>
    <xf numFmtId="0" fontId="9" fillId="20" borderId="72" xfId="0" applyFont="1" applyFill="1" applyBorder="1" applyAlignment="1">
      <alignment horizontal="left" vertical="top" wrapText="1"/>
    </xf>
    <xf numFmtId="4" fontId="9" fillId="20" borderId="73" xfId="0" applyNumberFormat="1" applyFont="1" applyFill="1" applyBorder="1" applyAlignment="1">
      <alignment horizontal="right" vertical="top" wrapText="1"/>
    </xf>
    <xf numFmtId="0" fontId="14" fillId="12" borderId="72" xfId="0" applyFont="1" applyFill="1" applyBorder="1" applyAlignment="1">
      <alignment horizontal="left" vertical="top" wrapText="1"/>
    </xf>
    <xf numFmtId="4" fontId="14" fillId="12" borderId="73" xfId="0" applyNumberFormat="1" applyFont="1" applyFill="1" applyBorder="1" applyAlignment="1">
      <alignment horizontal="right" vertical="top" wrapText="1"/>
    </xf>
    <xf numFmtId="0" fontId="14" fillId="13" borderId="72" xfId="0" applyFont="1" applyFill="1" applyBorder="1" applyAlignment="1">
      <alignment horizontal="left" vertical="top" wrapText="1"/>
    </xf>
    <xf numFmtId="4" fontId="14" fillId="29" borderId="73" xfId="0" applyNumberFormat="1" applyFont="1" applyFill="1" applyBorder="1" applyAlignment="1">
      <alignment horizontal="right" vertical="top" wrapText="1"/>
    </xf>
    <xf numFmtId="0" fontId="14" fillId="22" borderId="74" xfId="0" applyFont="1" applyFill="1" applyBorder="1" applyAlignment="1">
      <alignment horizontal="right" vertical="top" wrapText="1"/>
    </xf>
    <xf numFmtId="0" fontId="14" fillId="22" borderId="0" xfId="0" applyFont="1" applyFill="1" applyAlignment="1">
      <alignment horizontal="right" vertical="top" wrapText="1"/>
    </xf>
    <xf numFmtId="4" fontId="14" fillId="22" borderId="0" xfId="0" applyNumberFormat="1" applyFont="1" applyFill="1" applyAlignment="1">
      <alignment horizontal="right" vertical="top" wrapText="1"/>
    </xf>
    <xf numFmtId="4" fontId="14" fillId="22" borderId="75" xfId="0" applyNumberFormat="1" applyFont="1" applyFill="1" applyBorder="1" applyAlignment="1">
      <alignment horizontal="right" vertical="top" wrapText="1"/>
    </xf>
    <xf numFmtId="173" fontId="14" fillId="22" borderId="75" xfId="0" applyNumberFormat="1" applyFont="1" applyFill="1" applyBorder="1" applyAlignment="1">
      <alignment horizontal="right" vertical="top" wrapText="1"/>
    </xf>
    <xf numFmtId="0" fontId="8" fillId="22" borderId="74" xfId="0" applyFont="1" applyFill="1" applyBorder="1" applyAlignment="1">
      <alignment horizontal="right" vertical="top" wrapText="1"/>
    </xf>
    <xf numFmtId="166" fontId="8" fillId="22" borderId="0" xfId="0" applyNumberFormat="1" applyFont="1" applyFill="1" applyAlignment="1">
      <alignment horizontal="right" vertical="top" wrapText="1"/>
    </xf>
    <xf numFmtId="4" fontId="8" fillId="22" borderId="75" xfId="0" applyNumberFormat="1" applyFont="1" applyFill="1" applyBorder="1" applyAlignment="1">
      <alignment horizontal="right" vertical="top" wrapText="1"/>
    </xf>
    <xf numFmtId="0" fontId="9" fillId="20" borderId="76" xfId="0" applyFont="1" applyFill="1" applyBorder="1" applyAlignment="1">
      <alignment horizontal="left" vertical="top" wrapText="1"/>
    </xf>
    <xf numFmtId="0" fontId="9" fillId="20" borderId="77" xfId="0" applyFont="1" applyFill="1" applyBorder="1" applyAlignment="1">
      <alignment horizontal="left" vertical="top" wrapText="1"/>
    </xf>
    <xf numFmtId="175" fontId="14" fillId="22" borderId="75" xfId="0" applyNumberFormat="1" applyFont="1" applyFill="1" applyBorder="1" applyAlignment="1">
      <alignment horizontal="right" vertical="top" wrapText="1"/>
    </xf>
    <xf numFmtId="4" fontId="14" fillId="20" borderId="73" xfId="0" applyNumberFormat="1" applyFont="1" applyFill="1" applyBorder="1" applyAlignment="1">
      <alignment horizontal="right" vertical="top" wrapText="1"/>
    </xf>
    <xf numFmtId="165" fontId="14" fillId="13" borderId="73" xfId="0" applyNumberFormat="1" applyFont="1" applyFill="1" applyBorder="1" applyAlignment="1">
      <alignment horizontal="right" vertical="top" wrapText="1"/>
    </xf>
    <xf numFmtId="165" fontId="8" fillId="22" borderId="75" xfId="0" applyNumberFormat="1" applyFont="1" applyFill="1" applyBorder="1" applyAlignment="1">
      <alignment horizontal="right" vertical="top" wrapText="1"/>
    </xf>
    <xf numFmtId="178" fontId="14" fillId="22" borderId="75" xfId="0" applyNumberFormat="1" applyFont="1" applyFill="1" applyBorder="1" applyAlignment="1">
      <alignment horizontal="right" vertical="top" wrapText="1"/>
    </xf>
    <xf numFmtId="166" fontId="14" fillId="22" borderId="75" xfId="0" applyNumberFormat="1" applyFont="1" applyFill="1" applyBorder="1" applyAlignment="1">
      <alignment horizontal="right" vertical="top" wrapText="1"/>
    </xf>
    <xf numFmtId="165" fontId="14" fillId="12" borderId="73" xfId="0" applyNumberFormat="1" applyFont="1" applyFill="1" applyBorder="1" applyAlignment="1">
      <alignment horizontal="right" vertical="top" wrapText="1"/>
    </xf>
    <xf numFmtId="0" fontId="3" fillId="22" borderId="72" xfId="0" applyFont="1" applyFill="1" applyBorder="1" applyAlignment="1">
      <alignment horizontal="center" vertical="top" wrapText="1"/>
    </xf>
    <xf numFmtId="0" fontId="3" fillId="22" borderId="73" xfId="0" applyFont="1" applyFill="1" applyBorder="1" applyAlignment="1">
      <alignment horizontal="center" vertical="top" wrapText="1"/>
    </xf>
    <xf numFmtId="177" fontId="14" fillId="22" borderId="75" xfId="0" applyNumberFormat="1" applyFont="1" applyFill="1" applyBorder="1" applyAlignment="1">
      <alignment horizontal="right" vertical="top" wrapText="1"/>
    </xf>
    <xf numFmtId="0" fontId="4" fillId="19" borderId="72" xfId="0" applyFont="1" applyFill="1" applyBorder="1" applyAlignment="1">
      <alignment horizontal="left" vertical="top" wrapText="1"/>
    </xf>
    <xf numFmtId="4" fontId="4" fillId="19" borderId="73" xfId="0" applyNumberFormat="1" applyFont="1" applyFill="1" applyBorder="1" applyAlignment="1">
      <alignment horizontal="right" vertical="top" wrapText="1"/>
    </xf>
    <xf numFmtId="0" fontId="14" fillId="29" borderId="72" xfId="0" applyFont="1" applyFill="1" applyBorder="1" applyAlignment="1">
      <alignment horizontal="left" vertical="top" wrapText="1"/>
    </xf>
    <xf numFmtId="174" fontId="14" fillId="22" borderId="75" xfId="0" applyNumberFormat="1" applyFont="1" applyFill="1" applyBorder="1" applyAlignment="1">
      <alignment horizontal="right" vertical="top" wrapText="1"/>
    </xf>
    <xf numFmtId="0" fontId="9" fillId="21" borderId="72" xfId="0" applyFont="1" applyFill="1" applyBorder="1" applyAlignment="1">
      <alignment horizontal="left" vertical="top" wrapText="1"/>
    </xf>
    <xf numFmtId="4" fontId="9" fillId="21" borderId="73" xfId="0" applyNumberFormat="1" applyFont="1" applyFill="1" applyBorder="1" applyAlignment="1">
      <alignment horizontal="right" vertical="top" wrapText="1"/>
    </xf>
    <xf numFmtId="172" fontId="14" fillId="22" borderId="75" xfId="0" applyNumberFormat="1" applyFont="1" applyFill="1" applyBorder="1" applyAlignment="1">
      <alignment horizontal="right" vertical="top" wrapText="1"/>
    </xf>
    <xf numFmtId="179" fontId="14" fillId="22" borderId="75" xfId="0" applyNumberFormat="1" applyFont="1" applyFill="1" applyBorder="1" applyAlignment="1">
      <alignment horizontal="right" vertical="top" wrapText="1"/>
    </xf>
    <xf numFmtId="176" fontId="14" fillId="22" borderId="75" xfId="0" applyNumberFormat="1" applyFont="1" applyFill="1" applyBorder="1" applyAlignment="1">
      <alignment horizontal="right" vertical="top" wrapText="1"/>
    </xf>
    <xf numFmtId="0" fontId="14" fillId="22" borderId="74" xfId="0" applyFont="1" applyFill="1" applyBorder="1" applyAlignment="1">
      <alignment horizontal="center" vertical="top" wrapText="1"/>
    </xf>
    <xf numFmtId="0" fontId="14" fillId="22" borderId="75" xfId="0" applyFont="1" applyFill="1" applyBorder="1" applyAlignment="1">
      <alignment horizontal="center" vertical="top" wrapText="1"/>
    </xf>
    <xf numFmtId="0" fontId="0" fillId="0" borderId="78" xfId="0" applyBorder="1"/>
    <xf numFmtId="0" fontId="0" fillId="0" borderId="67" xfId="0" applyBorder="1"/>
    <xf numFmtId="0" fontId="0" fillId="0" borderId="79" xfId="0" applyBorder="1"/>
    <xf numFmtId="0" fontId="27" fillId="23" borderId="72" xfId="0" applyFont="1" applyFill="1" applyBorder="1" applyAlignment="1">
      <alignment horizontal="center" vertical="center" wrapText="1"/>
    </xf>
    <xf numFmtId="0" fontId="27" fillId="23" borderId="73" xfId="0" applyFont="1" applyFill="1" applyBorder="1" applyAlignment="1">
      <alignment horizontal="center" vertical="center" wrapText="1"/>
    </xf>
    <xf numFmtId="0" fontId="19" fillId="19" borderId="72" xfId="0" applyFont="1" applyFill="1" applyBorder="1" applyAlignment="1">
      <alignment horizontal="left" vertical="top" wrapText="1"/>
    </xf>
    <xf numFmtId="164" fontId="19" fillId="19" borderId="73" xfId="0" applyNumberFormat="1" applyFont="1" applyFill="1" applyBorder="1" applyAlignment="1">
      <alignment horizontal="right" vertical="top" wrapText="1"/>
    </xf>
    <xf numFmtId="0" fontId="26" fillId="20" borderId="72" xfId="0" applyFont="1" applyFill="1" applyBorder="1" applyAlignment="1">
      <alignment horizontal="left" vertical="top" wrapText="1"/>
    </xf>
    <xf numFmtId="164" fontId="26" fillId="20" borderId="73" xfId="0" applyNumberFormat="1" applyFont="1" applyFill="1" applyBorder="1" applyAlignment="1">
      <alignment horizontal="right" vertical="top" wrapText="1"/>
    </xf>
    <xf numFmtId="0" fontId="26" fillId="24" borderId="72" xfId="0" applyFont="1" applyFill="1" applyBorder="1" applyAlignment="1">
      <alignment horizontal="left" vertical="top" wrapText="1"/>
    </xf>
    <xf numFmtId="4" fontId="26" fillId="24" borderId="73" xfId="0" applyNumberFormat="1" applyFont="1" applyFill="1" applyBorder="1" applyAlignment="1">
      <alignment horizontal="right" vertical="top" wrapText="1"/>
    </xf>
    <xf numFmtId="164" fontId="26" fillId="24" borderId="73" xfId="0" applyNumberFormat="1" applyFont="1" applyFill="1" applyBorder="1" applyAlignment="1">
      <alignment horizontal="right" vertical="top" wrapText="1"/>
    </xf>
    <xf numFmtId="0" fontId="24" fillId="18" borderId="74" xfId="0" applyFont="1" applyFill="1" applyBorder="1" applyAlignment="1">
      <alignment horizontal="center" vertical="top" wrapText="1"/>
    </xf>
    <xf numFmtId="0" fontId="24" fillId="18" borderId="0" xfId="0" applyFont="1" applyFill="1" applyAlignment="1">
      <alignment horizontal="center" vertical="top" wrapText="1"/>
    </xf>
    <xf numFmtId="0" fontId="24" fillId="18" borderId="75" xfId="0" applyFont="1" applyFill="1" applyBorder="1" applyAlignment="1">
      <alignment horizontal="center" vertical="top" wrapText="1"/>
    </xf>
    <xf numFmtId="0" fontId="27" fillId="23" borderId="67" xfId="0" applyFont="1" applyFill="1" applyBorder="1" applyAlignment="1">
      <alignment horizontal="right" vertical="top" wrapText="1"/>
    </xf>
    <xf numFmtId="0" fontId="28" fillId="23" borderId="67" xfId="0" applyFont="1" applyFill="1" applyBorder="1" applyAlignment="1">
      <alignment horizontal="left" vertical="top" wrapText="1"/>
    </xf>
    <xf numFmtId="0" fontId="42" fillId="23" borderId="43" xfId="0" applyFont="1" applyFill="1" applyBorder="1" applyAlignment="1">
      <alignment vertical="center"/>
    </xf>
    <xf numFmtId="0" fontId="35" fillId="40" borderId="43" xfId="0" applyFont="1" applyFill="1" applyBorder="1" applyAlignment="1">
      <alignment horizontal="center" vertical="center"/>
    </xf>
    <xf numFmtId="10" fontId="24" fillId="37" borderId="43" xfId="2" applyNumberFormat="1" applyFont="1" applyFill="1" applyBorder="1" applyAlignment="1">
      <alignment horizontal="center" vertical="center"/>
    </xf>
    <xf numFmtId="0" fontId="35" fillId="37" borderId="43" xfId="0" applyFont="1" applyFill="1" applyBorder="1" applyAlignment="1">
      <alignment horizontal="center" vertical="center"/>
    </xf>
    <xf numFmtId="43" fontId="24" fillId="37" borderId="43" xfId="1" applyFont="1" applyFill="1" applyBorder="1" applyAlignment="1">
      <alignment horizontal="center" vertical="center"/>
    </xf>
    <xf numFmtId="0" fontId="40" fillId="23" borderId="42" xfId="0" applyFont="1" applyFill="1" applyBorder="1" applyAlignment="1">
      <alignment horizontal="center" vertical="center" wrapText="1"/>
    </xf>
    <xf numFmtId="43" fontId="32" fillId="23" borderId="43" xfId="1" applyFont="1" applyFill="1" applyBorder="1" applyAlignment="1">
      <alignment vertical="center"/>
    </xf>
    <xf numFmtId="0" fontId="32" fillId="23" borderId="47" xfId="0" applyFont="1" applyFill="1" applyBorder="1" applyAlignment="1">
      <alignment horizontal="right" vertical="center"/>
    </xf>
    <xf numFmtId="0" fontId="9" fillId="7" borderId="2" xfId="0" applyFont="1" applyFill="1" applyBorder="1" applyAlignment="1">
      <alignment horizontal="left" vertical="top" wrapText="1"/>
    </xf>
    <xf numFmtId="0" fontId="14" fillId="31" borderId="0" xfId="0" applyFont="1" applyFill="1" applyAlignment="1">
      <alignment horizontal="center" vertical="top" wrapText="1"/>
    </xf>
    <xf numFmtId="4" fontId="14" fillId="27" borderId="0" xfId="0" applyNumberFormat="1" applyFont="1" applyFill="1" applyAlignment="1">
      <alignment horizontal="right"/>
    </xf>
    <xf numFmtId="0" fontId="29" fillId="23" borderId="72" xfId="0" applyFont="1" applyFill="1" applyBorder="1" applyAlignment="1">
      <alignment horizontal="center" vertical="center" wrapText="1"/>
    </xf>
    <xf numFmtId="0" fontId="29" fillId="23" borderId="73" xfId="0" applyFont="1" applyFill="1" applyBorder="1" applyAlignment="1">
      <alignment horizontal="center" vertical="center" wrapText="1"/>
    </xf>
    <xf numFmtId="164" fontId="4" fillId="19" borderId="73" xfId="0" applyNumberFormat="1" applyFont="1" applyFill="1" applyBorder="1" applyAlignment="1">
      <alignment horizontal="right" vertical="top" wrapText="1"/>
    </xf>
    <xf numFmtId="164" fontId="9" fillId="20" borderId="73" xfId="0" applyNumberFormat="1" applyFont="1" applyFill="1" applyBorder="1" applyAlignment="1">
      <alignment horizontal="right" vertical="top" wrapText="1"/>
    </xf>
    <xf numFmtId="0" fontId="9" fillId="7" borderId="72" xfId="0" applyFont="1" applyFill="1" applyBorder="1" applyAlignment="1">
      <alignment horizontal="left" vertical="top" wrapText="1"/>
    </xf>
    <xf numFmtId="0" fontId="4" fillId="31" borderId="72" xfId="0" applyFont="1" applyFill="1" applyBorder="1" applyAlignment="1">
      <alignment horizontal="left" vertical="top" wrapText="1"/>
    </xf>
    <xf numFmtId="164" fontId="19" fillId="31" borderId="73" xfId="0" applyNumberFormat="1" applyFont="1" applyFill="1" applyBorder="1" applyAlignment="1">
      <alignment horizontal="right" vertical="top" wrapText="1"/>
    </xf>
    <xf numFmtId="164" fontId="9" fillId="27" borderId="73" xfId="0" applyNumberFormat="1" applyFont="1" applyFill="1" applyBorder="1" applyAlignment="1">
      <alignment horizontal="right" vertical="top" wrapText="1"/>
    </xf>
    <xf numFmtId="0" fontId="9" fillId="24" borderId="72" xfId="0" applyFont="1" applyFill="1" applyBorder="1" applyAlignment="1">
      <alignment horizontal="left" vertical="top" wrapText="1"/>
    </xf>
    <xf numFmtId="164" fontId="9" fillId="24" borderId="73" xfId="0" applyNumberFormat="1" applyFont="1" applyFill="1" applyBorder="1" applyAlignment="1">
      <alignment horizontal="right" vertical="top" wrapText="1"/>
    </xf>
    <xf numFmtId="164" fontId="4" fillId="31" borderId="73" xfId="0" applyNumberFormat="1" applyFont="1" applyFill="1" applyBorder="1" applyAlignment="1">
      <alignment horizontal="right" vertical="top" wrapText="1"/>
    </xf>
    <xf numFmtId="0" fontId="30" fillId="23" borderId="67" xfId="0" applyFont="1" applyFill="1" applyBorder="1" applyAlignment="1">
      <alignment horizontal="right" vertical="top" wrapText="1"/>
    </xf>
    <xf numFmtId="0" fontId="31" fillId="23" borderId="67" xfId="0" applyFont="1" applyFill="1" applyBorder="1" applyAlignment="1">
      <alignment horizontal="left" vertical="top" wrapText="1"/>
    </xf>
    <xf numFmtId="0" fontId="26" fillId="20" borderId="72" xfId="0" applyFont="1" applyFill="1" applyBorder="1" applyAlignment="1">
      <alignment horizontal="left" vertical="top"/>
    </xf>
    <xf numFmtId="164" fontId="26" fillId="20" borderId="73" xfId="0" applyNumberFormat="1" applyFont="1" applyFill="1" applyBorder="1" applyAlignment="1">
      <alignment horizontal="right" vertical="top"/>
    </xf>
    <xf numFmtId="164" fontId="26" fillId="20" borderId="73" xfId="0" applyNumberFormat="1" applyFont="1" applyFill="1" applyBorder="1" applyAlignment="1">
      <alignment horizontal="right" vertical="center" wrapText="1"/>
    </xf>
    <xf numFmtId="0" fontId="24" fillId="22" borderId="74" xfId="0" applyFont="1" applyFill="1" applyBorder="1" applyAlignment="1">
      <alignment horizontal="center" vertical="top" wrapText="1"/>
    </xf>
    <xf numFmtId="0" fontId="24" fillId="22" borderId="0" xfId="0" applyFont="1" applyFill="1" applyAlignment="1">
      <alignment horizontal="center" vertical="top" wrapText="1"/>
    </xf>
    <xf numFmtId="4" fontId="24" fillId="22" borderId="0" xfId="0" applyNumberFormat="1" applyFont="1" applyFill="1" applyAlignment="1">
      <alignment horizontal="center" vertical="top" wrapText="1"/>
    </xf>
    <xf numFmtId="0" fontId="24" fillId="22" borderId="75" xfId="0" applyFont="1" applyFill="1" applyBorder="1" applyAlignment="1">
      <alignment horizontal="center" vertical="top" wrapText="1"/>
    </xf>
    <xf numFmtId="0" fontId="32" fillId="23" borderId="43" xfId="0" applyFont="1" applyFill="1" applyBorder="1" applyAlignment="1">
      <alignment vertical="center"/>
    </xf>
    <xf numFmtId="10" fontId="36" fillId="37" borderId="43" xfId="2" applyNumberFormat="1" applyFont="1" applyFill="1" applyBorder="1" applyAlignment="1">
      <alignment horizontal="center" vertical="center"/>
    </xf>
    <xf numFmtId="43" fontId="36" fillId="37" borderId="43" xfId="1" applyFont="1" applyFill="1" applyBorder="1" applyAlignment="1">
      <alignment horizontal="center" vertical="center"/>
    </xf>
    <xf numFmtId="10" fontId="38" fillId="0" borderId="21" xfId="2" applyNumberFormat="1" applyFont="1" applyFill="1" applyBorder="1" applyAlignment="1">
      <alignment horizontal="center" vertical="top" wrapText="1"/>
    </xf>
    <xf numFmtId="0" fontId="4" fillId="3" borderId="7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2" fontId="5" fillId="4" borderId="2" xfId="0" applyNumberFormat="1" applyFont="1" applyFill="1" applyBorder="1" applyAlignment="1">
      <alignment horizontal="right" vertical="center" wrapText="1"/>
    </xf>
    <xf numFmtId="4" fontId="8" fillId="0" borderId="73" xfId="0" applyNumberFormat="1" applyFont="1" applyBorder="1" applyAlignment="1">
      <alignment horizontal="right" vertical="center" wrapText="1"/>
    </xf>
    <xf numFmtId="0" fontId="9" fillId="7" borderId="72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>
      <alignment horizontal="center" vertical="center" wrapText="1"/>
    </xf>
    <xf numFmtId="4" fontId="19" fillId="11" borderId="73" xfId="0" applyNumberFormat="1" applyFont="1" applyFill="1" applyBorder="1" applyAlignment="1">
      <alignment horizontal="right" vertical="center" wrapText="1"/>
    </xf>
    <xf numFmtId="0" fontId="9" fillId="0" borderId="72" xfId="0" applyFont="1" applyBorder="1" applyAlignment="1">
      <alignment horizontal="left" vertical="center" wrapText="1"/>
    </xf>
    <xf numFmtId="4" fontId="13" fillId="0" borderId="73" xfId="0" applyNumberFormat="1" applyFont="1" applyBorder="1" applyAlignment="1">
      <alignment horizontal="right" vertical="center" wrapText="1"/>
    </xf>
    <xf numFmtId="0" fontId="11" fillId="9" borderId="2" xfId="0" applyFont="1" applyFill="1" applyBorder="1" applyAlignment="1">
      <alignment horizontal="right" vertical="center" wrapText="1"/>
    </xf>
    <xf numFmtId="4" fontId="7" fillId="6" borderId="73" xfId="0" applyNumberFormat="1" applyFont="1" applyFill="1" applyBorder="1" applyAlignment="1">
      <alignment horizontal="right" vertical="center" wrapText="1"/>
    </xf>
    <xf numFmtId="0" fontId="9" fillId="27" borderId="2" xfId="0" applyFont="1" applyFill="1" applyBorder="1" applyAlignment="1">
      <alignment horizontal="left" vertical="center" wrapText="1"/>
    </xf>
    <xf numFmtId="0" fontId="26" fillId="21" borderId="72" xfId="0" applyFont="1" applyFill="1" applyBorder="1" applyAlignment="1">
      <alignment horizontal="left" vertical="center" wrapText="1"/>
    </xf>
    <xf numFmtId="4" fontId="19" fillId="21" borderId="73" xfId="0" applyNumberFormat="1" applyFont="1" applyFill="1" applyBorder="1" applyAlignment="1">
      <alignment horizontal="right" vertical="center" wrapText="1"/>
    </xf>
    <xf numFmtId="4" fontId="9" fillId="0" borderId="73" xfId="0" applyNumberFormat="1" applyFont="1" applyBorder="1" applyAlignment="1">
      <alignment horizontal="right" vertical="center" wrapText="1"/>
    </xf>
    <xf numFmtId="0" fontId="26" fillId="20" borderId="72" xfId="0" applyFont="1" applyFill="1" applyBorder="1" applyAlignment="1">
      <alignment horizontal="left" vertical="center" wrapText="1"/>
    </xf>
    <xf numFmtId="0" fontId="4" fillId="19" borderId="72" xfId="0" applyFont="1" applyFill="1" applyBorder="1" applyAlignment="1">
      <alignment horizontal="left" vertical="center" wrapText="1"/>
    </xf>
    <xf numFmtId="4" fontId="4" fillId="19" borderId="73" xfId="0" applyNumberFormat="1" applyFont="1" applyFill="1" applyBorder="1" applyAlignment="1">
      <alignment horizontal="right" vertical="center" wrapText="1"/>
    </xf>
    <xf numFmtId="0" fontId="9" fillId="20" borderId="72" xfId="0" applyFont="1" applyFill="1" applyBorder="1" applyAlignment="1">
      <alignment horizontal="left" vertical="center" wrapText="1"/>
    </xf>
    <xf numFmtId="4" fontId="19" fillId="20" borderId="73" xfId="0" applyNumberFormat="1" applyFont="1" applyFill="1" applyBorder="1" applyAlignment="1">
      <alignment horizontal="right" vertical="center" wrapText="1"/>
    </xf>
    <xf numFmtId="0" fontId="26" fillId="20" borderId="85" xfId="0" applyFont="1" applyFill="1" applyBorder="1" applyAlignment="1">
      <alignment horizontal="left" vertical="center" wrapText="1"/>
    </xf>
    <xf numFmtId="0" fontId="11" fillId="9" borderId="86" xfId="0" applyFont="1" applyFill="1" applyBorder="1" applyAlignment="1">
      <alignment horizontal="right" vertical="center" wrapText="1"/>
    </xf>
    <xf numFmtId="0" fontId="9" fillId="7" borderId="86" xfId="0" applyFont="1" applyFill="1" applyBorder="1" applyAlignment="1">
      <alignment horizontal="left" vertical="center" wrapText="1"/>
    </xf>
    <xf numFmtId="0" fontId="10" fillId="8" borderId="86" xfId="0" applyFont="1" applyFill="1" applyBorder="1" applyAlignment="1">
      <alignment horizontal="center" vertical="center" wrapText="1"/>
    </xf>
    <xf numFmtId="2" fontId="11" fillId="9" borderId="86" xfId="0" applyNumberFormat="1" applyFont="1" applyFill="1" applyBorder="1" applyAlignment="1">
      <alignment horizontal="right" vertical="center" wrapText="1"/>
    </xf>
    <xf numFmtId="4" fontId="12" fillId="10" borderId="86" xfId="0" applyNumberFormat="1" applyFont="1" applyFill="1" applyBorder="1" applyAlignment="1">
      <alignment horizontal="right" vertical="center" wrapText="1"/>
    </xf>
    <xf numFmtId="4" fontId="12" fillId="27" borderId="86" xfId="0" applyNumberFormat="1" applyFont="1" applyFill="1" applyBorder="1" applyAlignment="1">
      <alignment horizontal="right" vertical="center" wrapText="1"/>
    </xf>
    <xf numFmtId="4" fontId="13" fillId="11" borderId="87" xfId="0" applyNumberFormat="1" applyFont="1" applyFill="1" applyBorder="1" applyAlignment="1">
      <alignment horizontal="right" vertical="center" wrapText="1"/>
    </xf>
    <xf numFmtId="0" fontId="0" fillId="0" borderId="82" xfId="0" applyBorder="1"/>
    <xf numFmtId="167" fontId="9" fillId="20" borderId="73" xfId="0" applyNumberFormat="1" applyFont="1" applyFill="1" applyBorder="1" applyAlignment="1">
      <alignment horizontal="right" vertical="top" wrapText="1"/>
    </xf>
    <xf numFmtId="167" fontId="14" fillId="22" borderId="75" xfId="0" applyNumberFormat="1" applyFont="1" applyFill="1" applyBorder="1" applyAlignment="1">
      <alignment horizontal="right" vertical="top" wrapText="1"/>
    </xf>
    <xf numFmtId="4" fontId="14" fillId="13" borderId="73" xfId="0" applyNumberFormat="1" applyFont="1" applyFill="1" applyBorder="1" applyAlignment="1">
      <alignment horizontal="right" vertical="top" wrapText="1"/>
    </xf>
    <xf numFmtId="0" fontId="8" fillId="22" borderId="67" xfId="0" applyFont="1" applyFill="1" applyBorder="1" applyAlignment="1">
      <alignment horizontal="right" vertical="top" wrapText="1"/>
    </xf>
    <xf numFmtId="0" fontId="14" fillId="22" borderId="67" xfId="0" applyFont="1" applyFill="1" applyBorder="1" applyAlignment="1">
      <alignment horizontal="left" vertical="top" wrapText="1"/>
    </xf>
    <xf numFmtId="4" fontId="19" fillId="20" borderId="73" xfId="0" applyNumberFormat="1" applyFont="1" applyFill="1" applyBorder="1" applyAlignment="1">
      <alignment horizontal="right" vertical="top" wrapText="1"/>
    </xf>
    <xf numFmtId="0" fontId="9" fillId="0" borderId="72" xfId="0" applyFont="1" applyBorder="1" applyAlignment="1">
      <alignment horizontal="left" vertical="top" wrapText="1"/>
    </xf>
    <xf numFmtId="4" fontId="9" fillId="0" borderId="73" xfId="0" applyNumberFormat="1" applyFont="1" applyBorder="1" applyAlignment="1">
      <alignment horizontal="right" vertical="top" wrapText="1"/>
    </xf>
    <xf numFmtId="4" fontId="19" fillId="21" borderId="73" xfId="0" applyNumberFormat="1" applyFont="1" applyFill="1" applyBorder="1" applyAlignment="1">
      <alignment horizontal="right" vertical="top" wrapText="1"/>
    </xf>
    <xf numFmtId="0" fontId="26" fillId="0" borderId="72" xfId="0" applyFont="1" applyBorder="1" applyAlignment="1">
      <alignment horizontal="left" vertical="top" wrapText="1"/>
    </xf>
    <xf numFmtId="4" fontId="19" fillId="24" borderId="73" xfId="0" applyNumberFormat="1" applyFont="1" applyFill="1" applyBorder="1" applyAlignment="1">
      <alignment horizontal="right" vertical="top" wrapText="1"/>
    </xf>
    <xf numFmtId="0" fontId="9" fillId="20" borderId="85" xfId="0" applyFont="1" applyFill="1" applyBorder="1" applyAlignment="1">
      <alignment horizontal="left" vertical="top" wrapText="1"/>
    </xf>
    <xf numFmtId="0" fontId="9" fillId="20" borderId="86" xfId="0" applyFont="1" applyFill="1" applyBorder="1" applyAlignment="1">
      <alignment horizontal="right" vertical="top" wrapText="1"/>
    </xf>
    <xf numFmtId="0" fontId="9" fillId="20" borderId="86" xfId="0" applyFont="1" applyFill="1" applyBorder="1" applyAlignment="1">
      <alignment horizontal="left" vertical="top" wrapText="1"/>
    </xf>
    <xf numFmtId="0" fontId="9" fillId="20" borderId="86" xfId="0" applyFont="1" applyFill="1" applyBorder="1" applyAlignment="1">
      <alignment horizontal="center" vertical="top" wrapText="1"/>
    </xf>
    <xf numFmtId="4" fontId="9" fillId="20" borderId="86" xfId="0" applyNumberFormat="1" applyFont="1" applyFill="1" applyBorder="1" applyAlignment="1">
      <alignment horizontal="right" vertical="top" wrapText="1"/>
    </xf>
    <xf numFmtId="4" fontId="9" fillId="20" borderId="87" xfId="0" applyNumberFormat="1" applyFont="1" applyFill="1" applyBorder="1" applyAlignment="1">
      <alignment horizontal="right" vertical="top" wrapText="1"/>
    </xf>
    <xf numFmtId="0" fontId="29" fillId="23" borderId="83" xfId="0" applyFont="1" applyFill="1" applyBorder="1" applyAlignment="1">
      <alignment horizontal="center" vertical="center" wrapText="1"/>
    </xf>
    <xf numFmtId="0" fontId="29" fillId="23" borderId="18" xfId="0" applyFont="1" applyFill="1" applyBorder="1" applyAlignment="1">
      <alignment horizontal="center" vertical="center" wrapText="1"/>
    </xf>
    <xf numFmtId="2" fontId="29" fillId="23" borderId="18" xfId="0" applyNumberFormat="1" applyFont="1" applyFill="1" applyBorder="1" applyAlignment="1">
      <alignment horizontal="center" vertical="center" wrapText="1"/>
    </xf>
    <xf numFmtId="0" fontId="29" fillId="23" borderId="84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justify" vertical="top" wrapText="1"/>
    </xf>
    <xf numFmtId="2" fontId="11" fillId="9" borderId="2" xfId="0" applyNumberFormat="1" applyFont="1" applyFill="1" applyBorder="1" applyAlignment="1">
      <alignment horizontal="right" vertical="top" wrapText="1"/>
    </xf>
    <xf numFmtId="4" fontId="19" fillId="11" borderId="73" xfId="0" applyNumberFormat="1" applyFont="1" applyFill="1" applyBorder="1" applyAlignment="1">
      <alignment horizontal="right" vertical="top" wrapText="1"/>
    </xf>
    <xf numFmtId="4" fontId="13" fillId="0" borderId="73" xfId="0" applyNumberFormat="1" applyFont="1" applyBorder="1" applyAlignment="1">
      <alignment horizontal="right" vertical="top" wrapText="1"/>
    </xf>
    <xf numFmtId="4" fontId="19" fillId="0" borderId="73" xfId="0" applyNumberFormat="1" applyFont="1" applyBorder="1" applyAlignment="1">
      <alignment horizontal="right" vertical="top" wrapText="1"/>
    </xf>
    <xf numFmtId="4" fontId="19" fillId="27" borderId="73" xfId="0" applyNumberFormat="1" applyFont="1" applyFill="1" applyBorder="1" applyAlignment="1">
      <alignment horizontal="right" vertical="top" wrapText="1"/>
    </xf>
    <xf numFmtId="4" fontId="26" fillId="0" borderId="73" xfId="0" applyNumberFormat="1" applyFont="1" applyBorder="1" applyAlignment="1">
      <alignment horizontal="right" vertical="top" wrapText="1"/>
    </xf>
    <xf numFmtId="4" fontId="19" fillId="20" borderId="87" xfId="0" applyNumberFormat="1" applyFont="1" applyFill="1" applyBorder="1" applyAlignment="1">
      <alignment horizontal="right" vertical="top" wrapText="1"/>
    </xf>
    <xf numFmtId="0" fontId="35" fillId="31" borderId="94" xfId="0" applyFont="1" applyFill="1" applyBorder="1" applyAlignment="1">
      <alignment horizontal="center" vertical="center"/>
    </xf>
    <xf numFmtId="0" fontId="32" fillId="23" borderId="104" xfId="0" applyFont="1" applyFill="1" applyBorder="1" applyAlignment="1">
      <alignment vertical="center"/>
    </xf>
    <xf numFmtId="0" fontId="35" fillId="31" borderId="104" xfId="0" applyFont="1" applyFill="1" applyBorder="1" applyAlignment="1">
      <alignment horizontal="center" vertical="center"/>
    </xf>
    <xf numFmtId="10" fontId="35" fillId="31" borderId="104" xfId="0" applyNumberFormat="1" applyFont="1" applyFill="1" applyBorder="1" applyAlignment="1">
      <alignment horizontal="center" vertical="center"/>
    </xf>
    <xf numFmtId="0" fontId="40" fillId="23" borderId="102" xfId="0" applyFont="1" applyFill="1" applyBorder="1" applyAlignment="1">
      <alignment horizontal="center" vertical="center" wrapText="1"/>
    </xf>
    <xf numFmtId="43" fontId="32" fillId="23" borderId="104" xfId="1" applyFont="1" applyFill="1" applyBorder="1" applyAlignment="1">
      <alignment vertical="center"/>
    </xf>
    <xf numFmtId="0" fontId="32" fillId="23" borderId="109" xfId="0" applyFont="1" applyFill="1" applyBorder="1" applyAlignment="1">
      <alignment horizontal="right" vertical="center"/>
    </xf>
    <xf numFmtId="10" fontId="4" fillId="19" borderId="73" xfId="0" applyNumberFormat="1" applyFont="1" applyFill="1" applyBorder="1" applyAlignment="1">
      <alignment horizontal="right" vertical="top" wrapText="1"/>
    </xf>
    <xf numFmtId="4" fontId="14" fillId="22" borderId="0" xfId="0" applyNumberFormat="1" applyFont="1" applyFill="1" applyAlignment="1">
      <alignment horizontal="center" vertical="top" wrapText="1"/>
    </xf>
    <xf numFmtId="0" fontId="0" fillId="0" borderId="81" xfId="0" applyBorder="1"/>
    <xf numFmtId="0" fontId="32" fillId="23" borderId="104" xfId="0" applyFont="1" applyFill="1" applyBorder="1" applyAlignment="1">
      <alignment horizontal="center" vertical="center"/>
    </xf>
    <xf numFmtId="0" fontId="35" fillId="40" borderId="104" xfId="0" applyFont="1" applyFill="1" applyBorder="1" applyAlignment="1">
      <alignment horizontal="center" vertical="center"/>
    </xf>
    <xf numFmtId="43" fontId="36" fillId="37" borderId="104" xfId="1" applyFont="1" applyFill="1" applyBorder="1" applyAlignment="1">
      <alignment horizontal="center" vertical="center"/>
    </xf>
    <xf numFmtId="0" fontId="35" fillId="37" borderId="104" xfId="0" applyFont="1" applyFill="1" applyBorder="1" applyAlignment="1">
      <alignment horizontal="center" vertical="center"/>
    </xf>
    <xf numFmtId="184" fontId="36" fillId="37" borderId="104" xfId="2" applyNumberFormat="1" applyFont="1" applyFill="1" applyBorder="1" applyAlignment="1">
      <alignment horizontal="center" vertical="center"/>
    </xf>
    <xf numFmtId="183" fontId="36" fillId="37" borderId="104" xfId="2" applyNumberFormat="1" applyFont="1" applyFill="1" applyBorder="1" applyAlignment="1">
      <alignment horizontal="center" vertical="center"/>
    </xf>
    <xf numFmtId="10" fontId="36" fillId="37" borderId="104" xfId="2" applyNumberFormat="1" applyFont="1" applyFill="1" applyBorder="1" applyAlignment="1">
      <alignment horizontal="center" vertical="center"/>
    </xf>
    <xf numFmtId="43" fontId="35" fillId="37" borderId="104" xfId="1" applyFont="1" applyFill="1" applyBorder="1" applyAlignment="1">
      <alignment vertical="center"/>
    </xf>
    <xf numFmtId="10" fontId="43" fillId="37" borderId="104" xfId="2" applyNumberFormat="1" applyFont="1" applyFill="1" applyBorder="1" applyAlignment="1">
      <alignment horizontal="center" vertical="center"/>
    </xf>
    <xf numFmtId="39" fontId="36" fillId="37" borderId="104" xfId="1" applyNumberFormat="1" applyFont="1" applyFill="1" applyBorder="1" applyAlignment="1">
      <alignment horizontal="center" vertical="center"/>
    </xf>
    <xf numFmtId="165" fontId="9" fillId="20" borderId="73" xfId="0" applyNumberFormat="1" applyFont="1" applyFill="1" applyBorder="1" applyAlignment="1">
      <alignment horizontal="right" vertical="top" wrapText="1"/>
    </xf>
    <xf numFmtId="167" fontId="8" fillId="22" borderId="75" xfId="0" applyNumberFormat="1" applyFont="1" applyFill="1" applyBorder="1" applyAlignment="1">
      <alignment horizontal="right" vertical="top" wrapText="1"/>
    </xf>
    <xf numFmtId="171" fontId="8" fillId="22" borderId="75" xfId="0" applyNumberFormat="1" applyFont="1" applyFill="1" applyBorder="1" applyAlignment="1">
      <alignment horizontal="right" vertical="top" wrapText="1"/>
    </xf>
    <xf numFmtId="165" fontId="14" fillId="22" borderId="75" xfId="0" applyNumberFormat="1" applyFont="1" applyFill="1" applyBorder="1" applyAlignment="1">
      <alignment horizontal="right" vertical="top" wrapText="1"/>
    </xf>
    <xf numFmtId="0" fontId="19" fillId="38" borderId="76" xfId="0" applyFont="1" applyFill="1" applyBorder="1" applyAlignment="1">
      <alignment horizontal="left" vertical="top" wrapText="1"/>
    </xf>
    <xf numFmtId="4" fontId="19" fillId="38" borderId="77" xfId="0" applyNumberFormat="1" applyFont="1" applyFill="1" applyBorder="1" applyAlignment="1">
      <alignment horizontal="left" vertical="top" wrapText="1"/>
    </xf>
    <xf numFmtId="171" fontId="14" fillId="22" borderId="75" xfId="0" applyNumberFormat="1" applyFont="1" applyFill="1" applyBorder="1" applyAlignment="1">
      <alignment horizontal="right" vertical="top" wrapText="1"/>
    </xf>
    <xf numFmtId="0" fontId="8" fillId="22" borderId="0" xfId="0" applyFont="1" applyFill="1" applyAlignment="1">
      <alignment horizontal="center" vertical="top" wrapText="1"/>
    </xf>
    <xf numFmtId="166" fontId="8" fillId="0" borderId="0" xfId="0" applyNumberFormat="1" applyFont="1" applyAlignment="1">
      <alignment horizontal="right" vertical="top" wrapText="1"/>
    </xf>
    <xf numFmtId="0" fontId="4" fillId="19" borderId="70" xfId="0" applyFont="1" applyFill="1" applyBorder="1" applyAlignment="1">
      <alignment horizontal="center" vertical="top" wrapText="1"/>
    </xf>
    <xf numFmtId="0" fontId="0" fillId="0" borderId="67" xfId="0" applyBorder="1" applyAlignment="1">
      <alignment horizontal="center"/>
    </xf>
    <xf numFmtId="0" fontId="19" fillId="38" borderId="1" xfId="0" applyFont="1" applyFill="1" applyBorder="1" applyAlignment="1">
      <alignment horizontal="center" vertical="top" wrapText="1"/>
    </xf>
    <xf numFmtId="1" fontId="35" fillId="0" borderId="57" xfId="0" applyNumberFormat="1" applyFont="1" applyBorder="1" applyAlignment="1">
      <alignment horizontal="center" vertical="top"/>
    </xf>
    <xf numFmtId="0" fontId="24" fillId="0" borderId="60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19" fillId="0" borderId="60" xfId="0" applyFont="1" applyBorder="1" applyAlignment="1">
      <alignment vertical="center" wrapText="1"/>
    </xf>
    <xf numFmtId="0" fontId="27" fillId="23" borderId="114" xfId="0" applyFont="1" applyFill="1" applyBorder="1" applyAlignment="1">
      <alignment horizontal="center" vertical="center" wrapText="1"/>
    </xf>
    <xf numFmtId="9" fontId="32" fillId="23" borderId="115" xfId="0" applyNumberFormat="1" applyFont="1" applyFill="1" applyBorder="1" applyAlignment="1">
      <alignment horizontal="center" vertical="center" wrapText="1"/>
    </xf>
    <xf numFmtId="1" fontId="25" fillId="37" borderId="116" xfId="0" applyNumberFormat="1" applyFont="1" applyFill="1" applyBorder="1" applyAlignment="1">
      <alignment horizontal="center" vertical="center"/>
    </xf>
    <xf numFmtId="0" fontId="25" fillId="37" borderId="0" xfId="0" applyFont="1" applyFill="1" applyAlignment="1">
      <alignment vertical="center"/>
    </xf>
    <xf numFmtId="43" fontId="25" fillId="37" borderId="115" xfId="0" applyNumberFormat="1" applyFont="1" applyFill="1" applyBorder="1" applyAlignment="1">
      <alignment horizontal="center" vertical="center"/>
    </xf>
    <xf numFmtId="1" fontId="24" fillId="27" borderId="116" xfId="0" applyNumberFormat="1" applyFont="1" applyFill="1" applyBorder="1" applyAlignment="1">
      <alignment horizontal="center" vertical="center"/>
    </xf>
    <xf numFmtId="43" fontId="24" fillId="27" borderId="115" xfId="0" applyNumberFormat="1" applyFont="1" applyFill="1" applyBorder="1" applyAlignment="1">
      <alignment horizontal="center" vertical="center"/>
    </xf>
    <xf numFmtId="0" fontId="25" fillId="37" borderId="0" xfId="0" applyFont="1" applyFill="1"/>
    <xf numFmtId="0" fontId="25" fillId="37" borderId="0" xfId="0" applyFont="1" applyFill="1" applyAlignment="1">
      <alignment horizontal="center" vertical="center"/>
    </xf>
    <xf numFmtId="1" fontId="25" fillId="37" borderId="117" xfId="0" applyNumberFormat="1" applyFont="1" applyFill="1" applyBorder="1" applyAlignment="1">
      <alignment horizontal="center" vertical="center"/>
    </xf>
    <xf numFmtId="0" fontId="25" fillId="37" borderId="118" xfId="0" applyFont="1" applyFill="1" applyBorder="1" applyAlignment="1">
      <alignment horizontal="center" vertical="center"/>
    </xf>
    <xf numFmtId="0" fontId="19" fillId="37" borderId="67" xfId="0" applyFont="1" applyFill="1" applyBorder="1" applyAlignment="1">
      <alignment vertical="center" wrapText="1"/>
    </xf>
    <xf numFmtId="43" fontId="25" fillId="37" borderId="118" xfId="0" applyNumberFormat="1" applyFont="1" applyFill="1" applyBorder="1" applyAlignment="1">
      <alignment horizontal="center" vertical="center"/>
    </xf>
    <xf numFmtId="44" fontId="25" fillId="37" borderId="118" xfId="5" applyFont="1" applyFill="1" applyBorder="1" applyAlignment="1">
      <alignment vertical="center"/>
    </xf>
    <xf numFmtId="43" fontId="25" fillId="37" borderId="118" xfId="0" applyNumberFormat="1" applyFont="1" applyFill="1" applyBorder="1" applyAlignment="1">
      <alignment vertical="center"/>
    </xf>
    <xf numFmtId="43" fontId="25" fillId="37" borderId="119" xfId="0" applyNumberFormat="1" applyFont="1" applyFill="1" applyBorder="1" applyAlignment="1">
      <alignment horizontal="center" vertical="center"/>
    </xf>
    <xf numFmtId="0" fontId="0" fillId="37" borderId="102" xfId="0" applyFill="1" applyBorder="1" applyAlignment="1">
      <alignment horizontal="center"/>
    </xf>
    <xf numFmtId="10" fontId="0" fillId="37" borderId="104" xfId="2" applyNumberFormat="1" applyFont="1" applyFill="1" applyBorder="1"/>
    <xf numFmtId="0" fontId="37" fillId="23" borderId="108" xfId="0" applyFont="1" applyFill="1" applyBorder="1"/>
    <xf numFmtId="0" fontId="32" fillId="23" borderId="109" xfId="0" applyFont="1" applyFill="1" applyBorder="1" applyAlignment="1">
      <alignment horizontal="right"/>
    </xf>
    <xf numFmtId="43" fontId="32" fillId="23" borderId="109" xfId="1" applyFont="1" applyFill="1" applyBorder="1"/>
    <xf numFmtId="10" fontId="37" fillId="23" borderId="110" xfId="1" applyNumberFormat="1" applyFont="1" applyFill="1" applyBorder="1"/>
    <xf numFmtId="0" fontId="27" fillId="32" borderId="121" xfId="0" applyFont="1" applyFill="1" applyBorder="1" applyAlignment="1">
      <alignment horizontal="center" vertical="center"/>
    </xf>
    <xf numFmtId="0" fontId="32" fillId="32" borderId="122" xfId="0" applyFont="1" applyFill="1" applyBorder="1" applyAlignment="1">
      <alignment horizontal="center" vertical="center"/>
    </xf>
    <xf numFmtId="1" fontId="25" fillId="35" borderId="123" xfId="0" applyNumberFormat="1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" fontId="25" fillId="35" borderId="124" xfId="0" applyNumberFormat="1" applyFont="1" applyFill="1" applyBorder="1" applyAlignment="1">
      <alignment horizontal="center" vertical="center"/>
    </xf>
    <xf numFmtId="0" fontId="24" fillId="35" borderId="125" xfId="0" applyFont="1" applyFill="1" applyBorder="1" applyAlignment="1">
      <alignment vertical="center"/>
    </xf>
    <xf numFmtId="0" fontId="26" fillId="35" borderId="125" xfId="0" applyFont="1" applyFill="1" applyBorder="1" applyAlignment="1">
      <alignment horizontal="center" vertical="center" wrapText="1"/>
    </xf>
    <xf numFmtId="0" fontId="19" fillId="35" borderId="125" xfId="0" applyFont="1" applyFill="1" applyBorder="1" applyAlignment="1">
      <alignment horizontal="left" vertical="center" wrapText="1"/>
    </xf>
    <xf numFmtId="44" fontId="36" fillId="35" borderId="125" xfId="2" applyNumberFormat="1" applyFont="1" applyFill="1" applyBorder="1" applyAlignment="1">
      <alignment vertical="center"/>
    </xf>
    <xf numFmtId="10" fontId="0" fillId="35" borderId="125" xfId="2" applyNumberFormat="1" applyFon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32" fillId="32" borderId="55" xfId="0" applyFont="1" applyFill="1" applyBorder="1" applyAlignment="1">
      <alignment horizontal="center" vertical="center"/>
    </xf>
    <xf numFmtId="44" fontId="0" fillId="0" borderId="55" xfId="5" applyFont="1" applyFill="1" applyBorder="1"/>
    <xf numFmtId="44" fontId="0" fillId="27" borderId="55" xfId="5" applyFont="1" applyFill="1" applyBorder="1"/>
    <xf numFmtId="0" fontId="0" fillId="0" borderId="55" xfId="0" applyBorder="1"/>
    <xf numFmtId="44" fontId="32" fillId="36" borderId="55" xfId="5" applyFont="1" applyFill="1" applyBorder="1"/>
    <xf numFmtId="0" fontId="32" fillId="32" borderId="114" xfId="0" applyFont="1" applyFill="1" applyBorder="1" applyAlignment="1">
      <alignment horizontal="center" vertical="center"/>
    </xf>
    <xf numFmtId="0" fontId="32" fillId="32" borderId="115" xfId="0" applyFont="1" applyFill="1" applyBorder="1" applyAlignment="1">
      <alignment horizontal="center" vertical="center"/>
    </xf>
    <xf numFmtId="1" fontId="35" fillId="35" borderId="116" xfId="0" applyNumberFormat="1" applyFont="1" applyFill="1" applyBorder="1" applyAlignment="1">
      <alignment horizontal="center" vertical="top"/>
    </xf>
    <xf numFmtId="0" fontId="0" fillId="35" borderId="0" xfId="0" applyFill="1" applyAlignment="1">
      <alignment horizontal="center" vertical="center"/>
    </xf>
    <xf numFmtId="44" fontId="35" fillId="35" borderId="126" xfId="5" applyFont="1" applyFill="1" applyBorder="1" applyAlignment="1">
      <alignment vertical="top"/>
    </xf>
    <xf numFmtId="1" fontId="35" fillId="27" borderId="74" xfId="0" applyNumberFormat="1" applyFont="1" applyFill="1" applyBorder="1" applyAlignment="1">
      <alignment horizontal="center" vertical="top"/>
    </xf>
    <xf numFmtId="44" fontId="35" fillId="35" borderId="122" xfId="5" applyFont="1" applyFill="1" applyBorder="1" applyAlignment="1">
      <alignment vertical="top"/>
    </xf>
    <xf numFmtId="1" fontId="35" fillId="35" borderId="74" xfId="0" applyNumberFormat="1" applyFont="1" applyFill="1" applyBorder="1" applyAlignment="1">
      <alignment horizontal="center" vertical="top"/>
    </xf>
    <xf numFmtId="1" fontId="35" fillId="27" borderId="127" xfId="0" applyNumberFormat="1" applyFont="1" applyFill="1" applyBorder="1" applyAlignment="1">
      <alignment horizontal="center" vertical="top"/>
    </xf>
    <xf numFmtId="1" fontId="0" fillId="27" borderId="114" xfId="0" applyNumberFormat="1" applyFill="1" applyBorder="1" applyAlignment="1">
      <alignment horizontal="center" vertical="center"/>
    </xf>
    <xf numFmtId="44" fontId="0" fillId="35" borderId="115" xfId="2" applyNumberFormat="1" applyFont="1" applyFill="1" applyBorder="1" applyAlignment="1">
      <alignment vertical="center"/>
    </xf>
    <xf numFmtId="0" fontId="35" fillId="35" borderId="0" xfId="0" applyFont="1" applyFill="1" applyAlignment="1">
      <alignment horizontal="left" vertical="center"/>
    </xf>
    <xf numFmtId="44" fontId="35" fillId="35" borderId="128" xfId="5" applyFont="1" applyFill="1" applyBorder="1" applyAlignment="1">
      <alignment vertical="top"/>
    </xf>
    <xf numFmtId="44" fontId="35" fillId="35" borderId="128" xfId="5" applyFont="1" applyFill="1" applyBorder="1" applyAlignment="1">
      <alignment horizontal="center" vertical="top"/>
    </xf>
    <xf numFmtId="44" fontId="35" fillId="35" borderId="122" xfId="5" applyFont="1" applyFill="1" applyBorder="1" applyAlignment="1">
      <alignment horizontal="center" vertical="top"/>
    </xf>
    <xf numFmtId="1" fontId="35" fillId="35" borderId="127" xfId="0" applyNumberFormat="1" applyFont="1" applyFill="1" applyBorder="1" applyAlignment="1">
      <alignment horizontal="center" vertical="top"/>
    </xf>
    <xf numFmtId="1" fontId="0" fillId="35" borderId="114" xfId="0" applyNumberFormat="1" applyFill="1" applyBorder="1" applyAlignment="1">
      <alignment horizontal="center" vertical="center"/>
    </xf>
    <xf numFmtId="44" fontId="35" fillId="35" borderId="115" xfId="2" applyNumberFormat="1" applyFont="1" applyFill="1" applyBorder="1" applyAlignment="1">
      <alignment vertical="center"/>
    </xf>
    <xf numFmtId="0" fontId="9" fillId="35" borderId="0" xfId="0" applyFont="1" applyFill="1" applyAlignment="1">
      <alignment horizontal="center" vertical="center" wrapText="1"/>
    </xf>
    <xf numFmtId="0" fontId="19" fillId="35" borderId="0" xfId="0" applyFont="1" applyFill="1" applyAlignment="1">
      <alignment horizontal="left" vertical="center" wrapText="1"/>
    </xf>
    <xf numFmtId="2" fontId="0" fillId="27" borderId="0" xfId="0" applyNumberFormat="1" applyFill="1" applyAlignment="1">
      <alignment vertical="center"/>
    </xf>
    <xf numFmtId="2" fontId="0" fillId="30" borderId="0" xfId="0" applyNumberFormat="1" applyFill="1" applyAlignment="1">
      <alignment vertical="center"/>
    </xf>
    <xf numFmtId="2" fontId="0" fillId="35" borderId="0" xfId="0" applyNumberFormat="1" applyFill="1" applyAlignment="1">
      <alignment vertical="center"/>
    </xf>
    <xf numFmtId="0" fontId="0" fillId="0" borderId="114" xfId="0" applyBorder="1" applyAlignment="1">
      <alignment horizontal="center" vertical="center"/>
    </xf>
    <xf numFmtId="44" fontId="0" fillId="0" borderId="115" xfId="0" applyNumberFormat="1" applyBorder="1" applyAlignment="1">
      <alignment vertical="center"/>
    </xf>
    <xf numFmtId="0" fontId="0" fillId="0" borderId="129" xfId="0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118" xfId="0" applyBorder="1" applyAlignment="1">
      <alignment vertical="center"/>
    </xf>
    <xf numFmtId="0" fontId="32" fillId="36" borderId="118" xfId="0" applyFont="1" applyFill="1" applyBorder="1" applyAlignment="1">
      <alignment horizontal="center" vertical="center"/>
    </xf>
    <xf numFmtId="44" fontId="32" fillId="36" borderId="118" xfId="5" applyFont="1" applyFill="1" applyBorder="1" applyAlignment="1">
      <alignment vertical="center"/>
    </xf>
    <xf numFmtId="44" fontId="32" fillId="36" borderId="119" xfId="5" applyFont="1" applyFill="1" applyBorder="1" applyAlignment="1">
      <alignment vertical="center"/>
    </xf>
    <xf numFmtId="0" fontId="32" fillId="23" borderId="104" xfId="0" applyFont="1" applyFill="1" applyBorder="1" applyAlignment="1">
      <alignment horizontal="center"/>
    </xf>
    <xf numFmtId="0" fontId="27" fillId="23" borderId="104" xfId="0" applyFont="1" applyFill="1" applyBorder="1" applyAlignment="1">
      <alignment horizontal="center" vertical="center" wrapText="1"/>
    </xf>
    <xf numFmtId="0" fontId="35" fillId="37" borderId="102" xfId="0" applyFont="1" applyFill="1" applyBorder="1" applyAlignment="1">
      <alignment horizontal="center" vertical="center"/>
    </xf>
    <xf numFmtId="0" fontId="32" fillId="27" borderId="102" xfId="0" applyFont="1" applyFill="1" applyBorder="1" applyAlignment="1">
      <alignment horizontal="center" vertical="center"/>
    </xf>
    <xf numFmtId="43" fontId="32" fillId="27" borderId="104" xfId="1" applyFont="1" applyFill="1" applyBorder="1" applyAlignment="1">
      <alignment vertical="center"/>
    </xf>
    <xf numFmtId="0" fontId="0" fillId="27" borderId="102" xfId="0" applyFill="1" applyBorder="1" applyAlignment="1">
      <alignment horizontal="center" vertical="center"/>
    </xf>
    <xf numFmtId="43" fontId="36" fillId="27" borderId="104" xfId="0" applyNumberFormat="1" applyFont="1" applyFill="1" applyBorder="1" applyAlignment="1">
      <alignment vertical="center"/>
    </xf>
    <xf numFmtId="0" fontId="9" fillId="27" borderId="102" xfId="0" applyFont="1" applyFill="1" applyBorder="1" applyAlignment="1">
      <alignment horizontal="center" vertical="center" wrapText="1"/>
    </xf>
    <xf numFmtId="0" fontId="0" fillId="37" borderId="102" xfId="0" applyFill="1" applyBorder="1" applyAlignment="1">
      <alignment horizontal="center" vertical="center"/>
    </xf>
    <xf numFmtId="0" fontId="36" fillId="37" borderId="104" xfId="0" applyFont="1" applyFill="1" applyBorder="1" applyAlignment="1">
      <alignment vertical="center"/>
    </xf>
    <xf numFmtId="0" fontId="0" fillId="37" borderId="102" xfId="0" applyFill="1" applyBorder="1" applyAlignment="1">
      <alignment vertical="center"/>
    </xf>
    <xf numFmtId="0" fontId="32" fillId="23" borderId="108" xfId="0" applyFont="1" applyFill="1" applyBorder="1" applyAlignment="1">
      <alignment horizontal="center" vertical="center"/>
    </xf>
    <xf numFmtId="0" fontId="27" fillId="23" borderId="109" xfId="0" applyFont="1" applyFill="1" applyBorder="1" applyAlignment="1">
      <alignment vertical="center" wrapText="1"/>
    </xf>
    <xf numFmtId="0" fontId="27" fillId="23" borderId="109" xfId="0" applyFont="1" applyFill="1" applyBorder="1" applyAlignment="1">
      <alignment horizontal="center" vertical="center" wrapText="1"/>
    </xf>
    <xf numFmtId="43" fontId="32" fillId="23" borderId="109" xfId="1" applyFont="1" applyFill="1" applyBorder="1" applyAlignment="1">
      <alignment vertical="center"/>
    </xf>
    <xf numFmtId="43" fontId="32" fillId="23" borderId="110" xfId="1" applyFont="1" applyFill="1" applyBorder="1" applyAlignment="1">
      <alignment vertical="center"/>
    </xf>
    <xf numFmtId="44" fontId="0" fillId="0" borderId="0" xfId="5" applyFont="1" applyAlignment="1">
      <alignment horizontal="center"/>
    </xf>
    <xf numFmtId="44" fontId="0" fillId="46" borderId="0" xfId="0" applyNumberFormat="1" applyFill="1" applyAlignment="1">
      <alignment vertical="center"/>
    </xf>
    <xf numFmtId="0" fontId="0" fillId="0" borderId="95" xfId="0" applyBorder="1"/>
    <xf numFmtId="0" fontId="0" fillId="0" borderId="96" xfId="0" applyBorder="1"/>
    <xf numFmtId="0" fontId="0" fillId="0" borderId="97" xfId="0" applyBorder="1"/>
    <xf numFmtId="0" fontId="0" fillId="0" borderId="111" xfId="0" applyBorder="1"/>
    <xf numFmtId="0" fontId="0" fillId="0" borderId="112" xfId="0" applyBorder="1"/>
    <xf numFmtId="0" fontId="0" fillId="0" borderId="113" xfId="0" applyBorder="1"/>
    <xf numFmtId="0" fontId="70" fillId="0" borderId="0" xfId="0" applyFont="1" applyAlignment="1">
      <alignment wrapText="1"/>
    </xf>
    <xf numFmtId="0" fontId="0" fillId="0" borderId="149" xfId="0" applyBorder="1"/>
    <xf numFmtId="0" fontId="73" fillId="71" borderId="0" xfId="0" applyFont="1" applyFill="1" applyAlignment="1">
      <alignment vertical="center"/>
    </xf>
    <xf numFmtId="0" fontId="24" fillId="71" borderId="0" xfId="0" applyFont="1" applyFill="1" applyAlignment="1">
      <alignment vertical="center" wrapText="1"/>
    </xf>
    <xf numFmtId="10" fontId="73" fillId="71" borderId="0" xfId="0" applyNumberFormat="1" applyFont="1" applyFill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24" fillId="71" borderId="131" xfId="0" applyFont="1" applyFill="1" applyBorder="1" applyAlignment="1">
      <alignment vertical="center" wrapText="1"/>
    </xf>
    <xf numFmtId="0" fontId="24" fillId="71" borderId="132" xfId="0" applyFont="1" applyFill="1" applyBorder="1" applyAlignment="1">
      <alignment vertical="center" wrapText="1"/>
    </xf>
    <xf numFmtId="0" fontId="71" fillId="0" borderId="131" xfId="0" applyFont="1" applyBorder="1" applyAlignment="1">
      <alignment horizontal="center" vertical="center" wrapText="1"/>
    </xf>
    <xf numFmtId="0" fontId="71" fillId="0" borderId="132" xfId="0" applyFont="1" applyBorder="1" applyAlignment="1">
      <alignment horizontal="center" vertical="center" wrapText="1"/>
    </xf>
    <xf numFmtId="10" fontId="71" fillId="0" borderId="133" xfId="0" applyNumberFormat="1" applyFont="1" applyBorder="1" applyAlignment="1">
      <alignment horizontal="center" vertical="center" wrapText="1"/>
    </xf>
    <xf numFmtId="10" fontId="71" fillId="0" borderId="144" xfId="0" applyNumberFormat="1" applyFont="1" applyBorder="1" applyAlignment="1">
      <alignment horizontal="center" vertical="center" wrapText="1"/>
    </xf>
    <xf numFmtId="0" fontId="0" fillId="0" borderId="51" xfId="0" applyBorder="1" applyAlignment="1"/>
    <xf numFmtId="0" fontId="25" fillId="2" borderId="21" xfId="0" applyFont="1" applyFill="1" applyBorder="1" applyAlignment="1">
      <alignment vertical="top" wrapText="1"/>
    </xf>
    <xf numFmtId="0" fontId="25" fillId="0" borderId="21" xfId="0" applyFont="1" applyBorder="1" applyAlignment="1">
      <alignment vertical="top" wrapText="1"/>
    </xf>
    <xf numFmtId="0" fontId="73" fillId="35" borderId="150" xfId="0" applyFont="1" applyFill="1" applyBorder="1" applyAlignment="1">
      <alignment vertical="center" wrapText="1"/>
    </xf>
    <xf numFmtId="0" fontId="73" fillId="35" borderId="145" xfId="0" applyFont="1" applyFill="1" applyBorder="1" applyAlignment="1">
      <alignment vertical="center" wrapText="1"/>
    </xf>
    <xf numFmtId="0" fontId="24" fillId="35" borderId="145" xfId="0" applyFont="1" applyFill="1" applyBorder="1" applyAlignment="1">
      <alignment vertical="center" wrapText="1"/>
    </xf>
    <xf numFmtId="0" fontId="24" fillId="35" borderId="150" xfId="0" applyFont="1" applyFill="1" applyBorder="1" applyAlignment="1">
      <alignment vertical="center" wrapText="1"/>
    </xf>
    <xf numFmtId="0" fontId="74" fillId="35" borderId="145" xfId="0" applyFont="1" applyFill="1" applyBorder="1" applyAlignment="1">
      <alignment vertical="center" wrapText="1"/>
    </xf>
    <xf numFmtId="0" fontId="24" fillId="35" borderId="151" xfId="0" applyFont="1" applyFill="1" applyBorder="1" applyAlignment="1">
      <alignment vertical="center" wrapText="1"/>
    </xf>
    <xf numFmtId="0" fontId="24" fillId="35" borderId="132" xfId="0" applyFont="1" applyFill="1" applyBorder="1" applyAlignment="1">
      <alignment vertical="center" wrapText="1"/>
    </xf>
    <xf numFmtId="0" fontId="24" fillId="35" borderId="131" xfId="0" applyFont="1" applyFill="1" applyBorder="1" applyAlignment="1">
      <alignment vertical="center" wrapText="1"/>
    </xf>
    <xf numFmtId="0" fontId="74" fillId="35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10" fontId="73" fillId="27" borderId="147" xfId="0" applyNumberFormat="1" applyFont="1" applyFill="1" applyBorder="1" applyAlignment="1">
      <alignment horizontal="center" vertical="center" wrapText="1"/>
    </xf>
    <xf numFmtId="10" fontId="71" fillId="27" borderId="147" xfId="0" applyNumberFormat="1" applyFont="1" applyFill="1" applyBorder="1" applyAlignment="1">
      <alignment horizontal="center" vertical="center" wrapText="1"/>
    </xf>
    <xf numFmtId="10" fontId="71" fillId="27" borderId="0" xfId="0" applyNumberFormat="1" applyFont="1" applyFill="1" applyAlignment="1">
      <alignment horizontal="center" vertical="center" wrapText="1"/>
    </xf>
    <xf numFmtId="10" fontId="73" fillId="35" borderId="147" xfId="0" applyNumberFormat="1" applyFont="1" applyFill="1" applyBorder="1" applyAlignment="1">
      <alignment horizontal="center" vertical="center" wrapText="1"/>
    </xf>
    <xf numFmtId="10" fontId="71" fillId="35" borderId="145" xfId="0" applyNumberFormat="1" applyFont="1" applyFill="1" applyBorder="1" applyAlignment="1">
      <alignment horizontal="center" vertical="center" wrapText="1"/>
    </xf>
    <xf numFmtId="10" fontId="71" fillId="35" borderId="151" xfId="0" applyNumberFormat="1" applyFont="1" applyFill="1" applyBorder="1" applyAlignment="1">
      <alignment horizontal="center" vertical="center" wrapText="1"/>
    </xf>
    <xf numFmtId="0" fontId="73" fillId="28" borderId="25" xfId="0" applyFont="1" applyFill="1" applyBorder="1" applyAlignment="1">
      <alignment vertical="center" wrapText="1"/>
    </xf>
    <xf numFmtId="0" fontId="73" fillId="28" borderId="26" xfId="0" applyFont="1" applyFill="1" applyBorder="1" applyAlignment="1">
      <alignment vertical="center" wrapText="1"/>
    </xf>
    <xf numFmtId="0" fontId="73" fillId="28" borderId="26" xfId="0" applyFont="1" applyFill="1" applyBorder="1" applyAlignment="1">
      <alignment horizontal="center" vertical="center" wrapText="1"/>
    </xf>
    <xf numFmtId="0" fontId="73" fillId="28" borderId="2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0" fillId="0" borderId="37" xfId="0" applyBorder="1" applyAlignment="1"/>
    <xf numFmtId="0" fontId="0" fillId="0" borderId="38" xfId="0" applyBorder="1" applyAlignment="1"/>
    <xf numFmtId="0" fontId="0" fillId="0" borderId="41" xfId="0" applyBorder="1" applyAlignment="1"/>
    <xf numFmtId="0" fontId="33" fillId="2" borderId="21" xfId="0" applyFont="1" applyFill="1" applyBorder="1" applyAlignment="1">
      <alignment vertical="top" wrapText="1"/>
    </xf>
    <xf numFmtId="0" fontId="33" fillId="0" borderId="21" xfId="0" applyFont="1" applyBorder="1" applyAlignment="1">
      <alignment vertical="top" wrapText="1"/>
    </xf>
    <xf numFmtId="0" fontId="33" fillId="2" borderId="21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79" fillId="2" borderId="21" xfId="0" applyFont="1" applyFill="1" applyBorder="1" applyAlignment="1">
      <alignment vertical="center" wrapText="1"/>
    </xf>
    <xf numFmtId="0" fontId="24" fillId="27" borderId="0" xfId="0" applyFont="1" applyFill="1"/>
    <xf numFmtId="0" fontId="24" fillId="24" borderId="0" xfId="0" applyFont="1" applyFill="1"/>
    <xf numFmtId="10" fontId="23" fillId="27" borderId="21" xfId="2" applyNumberFormat="1" applyFont="1" applyFill="1" applyBorder="1" applyAlignment="1">
      <alignment horizontal="center" vertical="center" wrapText="1"/>
    </xf>
    <xf numFmtId="10" fontId="23" fillId="24" borderId="21" xfId="2" applyNumberFormat="1" applyFont="1" applyFill="1" applyBorder="1" applyAlignment="1">
      <alignment horizontal="center" vertical="center" wrapText="1"/>
    </xf>
    <xf numFmtId="10" fontId="38" fillId="24" borderId="21" xfId="2" applyNumberFormat="1" applyFont="1" applyFill="1" applyBorder="1" applyAlignment="1">
      <alignment horizontal="center" vertical="center" wrapText="1"/>
    </xf>
    <xf numFmtId="10" fontId="38" fillId="27" borderId="21" xfId="2" applyNumberFormat="1" applyFont="1" applyFill="1" applyBorder="1" applyAlignment="1">
      <alignment horizontal="center" vertical="center" wrapText="1"/>
    </xf>
    <xf numFmtId="0" fontId="35" fillId="0" borderId="96" xfId="0" applyFont="1" applyBorder="1" applyAlignment="1">
      <alignment horizontal="center" vertical="center"/>
    </xf>
    <xf numFmtId="0" fontId="0" fillId="0" borderId="81" xfId="0" applyBorder="1" applyAlignment="1">
      <alignment horizontal="justify" wrapText="1"/>
    </xf>
    <xf numFmtId="0" fontId="0" fillId="0" borderId="0" xfId="0" applyAlignment="1">
      <alignment horizontal="justify" wrapText="1"/>
    </xf>
    <xf numFmtId="0" fontId="27" fillId="23" borderId="102" xfId="0" applyFont="1" applyFill="1" applyBorder="1" applyAlignment="1">
      <alignment horizontal="center" vertical="center" wrapText="1"/>
    </xf>
    <xf numFmtId="0" fontId="27" fillId="23" borderId="23" xfId="0" applyFont="1" applyFill="1" applyBorder="1" applyAlignment="1">
      <alignment horizontal="center" vertical="center" wrapText="1"/>
    </xf>
    <xf numFmtId="0" fontId="37" fillId="23" borderId="104" xfId="0" applyFont="1" applyFill="1" applyBorder="1" applyAlignment="1">
      <alignment horizontal="center" vertical="center"/>
    </xf>
    <xf numFmtId="0" fontId="71" fillId="0" borderId="131" xfId="0" applyFont="1" applyBorder="1" applyAlignment="1">
      <alignment horizontal="center" vertical="center" wrapText="1"/>
    </xf>
    <xf numFmtId="0" fontId="71" fillId="0" borderId="0" xfId="0" applyFont="1" applyAlignment="1">
      <alignment horizontal="center" vertical="center" wrapText="1"/>
    </xf>
    <xf numFmtId="0" fontId="71" fillId="0" borderId="132" xfId="0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3" fillId="0" borderId="154" xfId="0" applyFont="1" applyBorder="1" applyAlignment="1">
      <alignment horizontal="center" vertical="center" wrapText="1"/>
    </xf>
    <xf numFmtId="0" fontId="73" fillId="0" borderId="152" xfId="0" applyFont="1" applyBorder="1" applyAlignment="1">
      <alignment horizontal="center" vertical="center" wrapText="1"/>
    </xf>
    <xf numFmtId="0" fontId="71" fillId="0" borderId="152" xfId="0" applyFont="1" applyBorder="1" applyAlignment="1">
      <alignment horizontal="center" wrapText="1"/>
    </xf>
    <xf numFmtId="0" fontId="71" fillId="0" borderId="146" xfId="0" applyFont="1" applyBorder="1" applyAlignment="1">
      <alignment horizontal="center" wrapText="1"/>
    </xf>
    <xf numFmtId="0" fontId="71" fillId="0" borderId="153" xfId="0" applyFont="1" applyBorder="1" applyAlignment="1">
      <alignment horizontal="center" wrapText="1"/>
    </xf>
    <xf numFmtId="0" fontId="76" fillId="0" borderId="134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/>
    </xf>
    <xf numFmtId="10" fontId="75" fillId="73" borderId="134" xfId="0" applyNumberFormat="1" applyFont="1" applyFill="1" applyBorder="1" applyAlignment="1">
      <alignment horizontal="center" vertical="center" wrapText="1"/>
    </xf>
    <xf numFmtId="0" fontId="27" fillId="46" borderId="25" xfId="0" applyFont="1" applyFill="1" applyBorder="1" applyAlignment="1">
      <alignment horizontal="center" wrapText="1"/>
    </xf>
    <xf numFmtId="0" fontId="27" fillId="46" borderId="26" xfId="0" applyFont="1" applyFill="1" applyBorder="1" applyAlignment="1">
      <alignment horizontal="center" wrapText="1"/>
    </xf>
    <xf numFmtId="0" fontId="27" fillId="46" borderId="27" xfId="0" applyFont="1" applyFill="1" applyBorder="1" applyAlignment="1">
      <alignment horizontal="center" wrapText="1"/>
    </xf>
    <xf numFmtId="0" fontId="73" fillId="0" borderId="148" xfId="0" applyFont="1" applyBorder="1" applyAlignment="1">
      <alignment horizontal="center" wrapText="1"/>
    </xf>
    <xf numFmtId="0" fontId="73" fillId="0" borderId="155" xfId="0" applyFont="1" applyBorder="1" applyAlignment="1">
      <alignment horizontal="center" vertical="center" wrapText="1"/>
    </xf>
    <xf numFmtId="0" fontId="73" fillId="0" borderId="153" xfId="0" applyFont="1" applyBorder="1" applyAlignment="1">
      <alignment horizontal="center" vertical="center" wrapText="1"/>
    </xf>
    <xf numFmtId="10" fontId="75" fillId="72" borderId="134" xfId="0" applyNumberFormat="1" applyFont="1" applyFill="1" applyBorder="1" applyAlignment="1">
      <alignment horizontal="center" vertical="center" wrapText="1"/>
    </xf>
    <xf numFmtId="0" fontId="27" fillId="0" borderId="111" xfId="0" applyFont="1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35" fillId="0" borderId="130" xfId="0" applyFont="1" applyBorder="1" applyAlignment="1">
      <alignment horizontal="center" vertical="center"/>
    </xf>
    <xf numFmtId="0" fontId="35" fillId="0" borderId="112" xfId="0" applyFont="1" applyBorder="1" applyAlignment="1">
      <alignment horizontal="center" vertical="center"/>
    </xf>
    <xf numFmtId="0" fontId="0" fillId="37" borderId="58" xfId="0" applyFill="1" applyBorder="1" applyAlignment="1">
      <alignment horizontal="center" vertical="center"/>
    </xf>
    <xf numFmtId="0" fontId="0" fillId="37" borderId="59" xfId="0" applyFill="1" applyBorder="1" applyAlignment="1">
      <alignment horizontal="center" vertical="center"/>
    </xf>
    <xf numFmtId="0" fontId="32" fillId="32" borderId="22" xfId="0" applyFont="1" applyFill="1" applyBorder="1" applyAlignment="1">
      <alignment horizontal="center" vertical="center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77" fillId="0" borderId="112" xfId="0" applyFont="1" applyBorder="1" applyAlignment="1">
      <alignment horizontal="center" vertical="center"/>
    </xf>
    <xf numFmtId="0" fontId="77" fillId="0" borderId="113" xfId="0" applyFont="1" applyBorder="1" applyAlignment="1">
      <alignment horizontal="center" vertical="center"/>
    </xf>
    <xf numFmtId="0" fontId="0" fillId="0" borderId="96" xfId="0" applyBorder="1"/>
    <xf numFmtId="0" fontId="0" fillId="0" borderId="97" xfId="0" applyBorder="1"/>
    <xf numFmtId="0" fontId="32" fillId="23" borderId="23" xfId="0" applyFont="1" applyFill="1" applyBorder="1" applyAlignment="1">
      <alignment horizontal="center"/>
    </xf>
    <xf numFmtId="0" fontId="77" fillId="0" borderId="51" xfId="0" applyFont="1" applyBorder="1" applyAlignment="1">
      <alignment horizontal="center" vertical="center"/>
    </xf>
    <xf numFmtId="0" fontId="32" fillId="23" borderId="34" xfId="0" applyFont="1" applyFill="1" applyBorder="1" applyAlignment="1">
      <alignment horizontal="center" vertical="center"/>
    </xf>
    <xf numFmtId="0" fontId="32" fillId="23" borderId="93" xfId="0" applyFont="1" applyFill="1" applyBorder="1" applyAlignment="1">
      <alignment horizontal="center" vertical="center"/>
    </xf>
    <xf numFmtId="0" fontId="32" fillId="23" borderId="156" xfId="0" applyFont="1" applyFill="1" applyBorder="1" applyAlignment="1">
      <alignment horizontal="center" vertical="center"/>
    </xf>
    <xf numFmtId="0" fontId="32" fillId="23" borderId="157" xfId="0" applyFont="1" applyFill="1" applyBorder="1" applyAlignment="1">
      <alignment horizontal="center" vertical="center"/>
    </xf>
    <xf numFmtId="0" fontId="32" fillId="23" borderId="134" xfId="0" applyFont="1" applyFill="1" applyBorder="1" applyAlignment="1">
      <alignment horizontal="center" vertical="center"/>
    </xf>
    <xf numFmtId="0" fontId="32" fillId="23" borderId="158" xfId="0" applyFont="1" applyFill="1" applyBorder="1" applyAlignment="1">
      <alignment horizontal="center" vertical="center"/>
    </xf>
    <xf numFmtId="0" fontId="32" fillId="23" borderId="40" xfId="0" applyFont="1" applyFill="1" applyBorder="1" applyAlignment="1">
      <alignment horizontal="center" vertical="center"/>
    </xf>
    <xf numFmtId="0" fontId="32" fillId="23" borderId="38" xfId="0" applyFont="1" applyFill="1" applyBorder="1" applyAlignment="1">
      <alignment horizontal="center" vertical="center"/>
    </xf>
    <xf numFmtId="0" fontId="32" fillId="23" borderId="41" xfId="0" applyFont="1" applyFill="1" applyBorder="1" applyAlignment="1">
      <alignment horizontal="center" vertical="center"/>
    </xf>
    <xf numFmtId="0" fontId="32" fillId="23" borderId="37" xfId="0" applyFont="1" applyFill="1" applyBorder="1" applyAlignment="1">
      <alignment horizontal="center" vertical="center"/>
    </xf>
    <xf numFmtId="0" fontId="32" fillId="23" borderId="39" xfId="0" applyFont="1" applyFill="1" applyBorder="1" applyAlignment="1">
      <alignment horizontal="center" vertical="center"/>
    </xf>
    <xf numFmtId="0" fontId="32" fillId="23" borderId="23" xfId="0" applyFont="1" applyFill="1" applyBorder="1" applyAlignment="1">
      <alignment horizontal="center" vertical="center" wrapText="1"/>
    </xf>
    <xf numFmtId="0" fontId="32" fillId="23" borderId="23" xfId="0" applyFont="1" applyFill="1" applyBorder="1" applyAlignment="1">
      <alignment horizontal="center" vertical="center"/>
    </xf>
    <xf numFmtId="0" fontId="32" fillId="41" borderId="37" xfId="0" applyFont="1" applyFill="1" applyBorder="1" applyAlignment="1">
      <alignment horizontal="center" vertical="center"/>
    </xf>
    <xf numFmtId="0" fontId="32" fillId="41" borderId="38" xfId="0" applyFont="1" applyFill="1" applyBorder="1" applyAlignment="1">
      <alignment horizontal="center" vertical="center"/>
    </xf>
    <xf numFmtId="0" fontId="32" fillId="41" borderId="39" xfId="0" applyFont="1" applyFill="1" applyBorder="1" applyAlignment="1">
      <alignment horizontal="center" vertical="center"/>
    </xf>
    <xf numFmtId="0" fontId="32" fillId="41" borderId="40" xfId="0" applyFont="1" applyFill="1" applyBorder="1" applyAlignment="1">
      <alignment horizontal="center" vertical="center"/>
    </xf>
    <xf numFmtId="0" fontId="32" fillId="44" borderId="50" xfId="0" applyFont="1" applyFill="1" applyBorder="1" applyAlignment="1">
      <alignment horizontal="center" vertical="center"/>
    </xf>
    <xf numFmtId="0" fontId="32" fillId="44" borderId="51" xfId="0" applyFont="1" applyFill="1" applyBorder="1" applyAlignment="1">
      <alignment horizontal="center" vertical="center"/>
    </xf>
    <xf numFmtId="0" fontId="32" fillId="44" borderId="52" xfId="0" applyFont="1" applyFill="1" applyBorder="1" applyAlignment="1">
      <alignment horizontal="center" vertical="center"/>
    </xf>
    <xf numFmtId="0" fontId="32" fillId="44" borderId="36" xfId="0" applyFont="1" applyFill="1" applyBorder="1" applyAlignment="1">
      <alignment horizontal="center" vertical="center"/>
    </xf>
    <xf numFmtId="0" fontId="32" fillId="44" borderId="53" xfId="0" applyFont="1" applyFill="1" applyBorder="1" applyAlignment="1">
      <alignment horizontal="center" vertical="center"/>
    </xf>
    <xf numFmtId="0" fontId="32" fillId="43" borderId="25" xfId="0" applyFont="1" applyFill="1" applyBorder="1" applyAlignment="1">
      <alignment horizontal="center" vertical="center"/>
    </xf>
    <xf numFmtId="0" fontId="32" fillId="43" borderId="26" xfId="0" applyFont="1" applyFill="1" applyBorder="1" applyAlignment="1">
      <alignment horizontal="center" vertical="center"/>
    </xf>
    <xf numFmtId="0" fontId="32" fillId="43" borderId="27" xfId="0" applyFont="1" applyFill="1" applyBorder="1" applyAlignment="1">
      <alignment horizontal="center" vertical="center"/>
    </xf>
    <xf numFmtId="9" fontId="35" fillId="31" borderId="23" xfId="2" applyFont="1" applyFill="1" applyBorder="1" applyAlignment="1">
      <alignment horizontal="center" vertical="center"/>
    </xf>
    <xf numFmtId="9" fontId="36" fillId="31" borderId="23" xfId="2" applyFont="1" applyFill="1" applyBorder="1" applyAlignment="1">
      <alignment horizontal="center" vertical="center"/>
    </xf>
    <xf numFmtId="9" fontId="36" fillId="31" borderId="31" xfId="2" applyFont="1" applyFill="1" applyBorder="1" applyAlignment="1">
      <alignment horizontal="center" vertical="center"/>
    </xf>
    <xf numFmtId="9" fontId="35" fillId="31" borderId="42" xfId="2" applyFont="1" applyFill="1" applyBorder="1" applyAlignment="1">
      <alignment horizontal="center" vertical="center"/>
    </xf>
    <xf numFmtId="9" fontId="36" fillId="31" borderId="43" xfId="2" applyFont="1" applyFill="1" applyBorder="1" applyAlignment="1">
      <alignment horizontal="center" vertical="center"/>
    </xf>
    <xf numFmtId="10" fontId="35" fillId="31" borderId="42" xfId="2" applyNumberFormat="1" applyFont="1" applyFill="1" applyBorder="1" applyAlignment="1">
      <alignment horizontal="center" vertical="center"/>
    </xf>
    <xf numFmtId="10" fontId="35" fillId="31" borderId="23" xfId="2" applyNumberFormat="1" applyFont="1" applyFill="1" applyBorder="1" applyAlignment="1">
      <alignment horizontal="center" vertical="center"/>
    </xf>
    <xf numFmtId="10" fontId="35" fillId="31" borderId="31" xfId="2" applyNumberFormat="1" applyFont="1" applyFill="1" applyBorder="1" applyAlignment="1">
      <alignment horizontal="center" vertical="center"/>
    </xf>
    <xf numFmtId="10" fontId="36" fillId="31" borderId="31" xfId="2" applyNumberFormat="1" applyFont="1" applyFill="1" applyBorder="1" applyAlignment="1">
      <alignment horizontal="center" vertical="center"/>
    </xf>
    <xf numFmtId="10" fontId="36" fillId="31" borderId="32" xfId="2" applyNumberFormat="1" applyFont="1" applyFill="1" applyBorder="1" applyAlignment="1">
      <alignment horizontal="center" vertical="center"/>
    </xf>
    <xf numFmtId="10" fontId="36" fillId="31" borderId="44" xfId="2" applyNumberFormat="1" applyFont="1" applyFill="1" applyBorder="1" applyAlignment="1">
      <alignment horizontal="center" vertical="center"/>
    </xf>
    <xf numFmtId="0" fontId="35" fillId="31" borderId="23" xfId="0" applyFont="1" applyFill="1" applyBorder="1" applyAlignment="1">
      <alignment horizontal="center" vertical="center" wrapText="1"/>
    </xf>
    <xf numFmtId="0" fontId="35" fillId="31" borderId="23" xfId="0" applyFont="1" applyFill="1" applyBorder="1" applyAlignment="1">
      <alignment horizontal="left" vertical="center"/>
    </xf>
    <xf numFmtId="4" fontId="35" fillId="31" borderId="23" xfId="0" applyNumberFormat="1" applyFont="1" applyFill="1" applyBorder="1" applyAlignment="1">
      <alignment horizontal="right" vertical="center"/>
    </xf>
    <xf numFmtId="0" fontId="36" fillId="31" borderId="23" xfId="0" applyFont="1" applyFill="1" applyBorder="1" applyAlignment="1">
      <alignment horizontal="right" vertical="center"/>
    </xf>
    <xf numFmtId="10" fontId="35" fillId="31" borderId="23" xfId="0" applyNumberFormat="1" applyFont="1" applyFill="1" applyBorder="1" applyAlignment="1">
      <alignment horizontal="right" vertical="center"/>
    </xf>
    <xf numFmtId="10" fontId="36" fillId="31" borderId="23" xfId="0" applyNumberFormat="1" applyFont="1" applyFill="1" applyBorder="1" applyAlignment="1">
      <alignment horizontal="right" vertical="center"/>
    </xf>
    <xf numFmtId="10" fontId="35" fillId="31" borderId="34" xfId="0" applyNumberFormat="1" applyFont="1" applyFill="1" applyBorder="1" applyAlignment="1">
      <alignment horizontal="center" vertical="center"/>
    </xf>
    <xf numFmtId="10" fontId="35" fillId="31" borderId="35" xfId="0" applyNumberFormat="1" applyFont="1" applyFill="1" applyBorder="1" applyAlignment="1">
      <alignment horizontal="center" vertical="center"/>
    </xf>
    <xf numFmtId="10" fontId="35" fillId="31" borderId="36" xfId="0" applyNumberFormat="1" applyFont="1" applyFill="1" applyBorder="1" applyAlignment="1">
      <alignment horizontal="center" vertical="center"/>
    </xf>
    <xf numFmtId="43" fontId="35" fillId="31" borderId="28" xfId="0" applyNumberFormat="1" applyFont="1" applyFill="1" applyBorder="1" applyAlignment="1">
      <alignment horizontal="center" vertical="center"/>
    </xf>
    <xf numFmtId="0" fontId="35" fillId="31" borderId="29" xfId="0" applyFont="1" applyFill="1" applyBorder="1" applyAlignment="1">
      <alignment horizontal="center" vertical="center"/>
    </xf>
    <xf numFmtId="0" fontId="35" fillId="31" borderId="30" xfId="0" applyFont="1" applyFill="1" applyBorder="1" applyAlignment="1">
      <alignment horizontal="center" vertical="center"/>
    </xf>
    <xf numFmtId="10" fontId="35" fillId="31" borderId="42" xfId="1" applyNumberFormat="1" applyFont="1" applyFill="1" applyBorder="1" applyAlignment="1">
      <alignment horizontal="center" vertical="center"/>
    </xf>
    <xf numFmtId="43" fontId="35" fillId="31" borderId="23" xfId="1" applyFont="1" applyFill="1" applyBorder="1" applyAlignment="1">
      <alignment horizontal="center" vertical="center"/>
    </xf>
    <xf numFmtId="10" fontId="35" fillId="31" borderId="43" xfId="2" applyNumberFormat="1" applyFont="1" applyFill="1" applyBorder="1" applyAlignment="1">
      <alignment horizontal="center" vertical="center"/>
    </xf>
    <xf numFmtId="10" fontId="35" fillId="31" borderId="42" xfId="0" applyNumberFormat="1" applyFont="1" applyFill="1" applyBorder="1" applyAlignment="1">
      <alignment horizontal="center" vertical="center"/>
    </xf>
    <xf numFmtId="0" fontId="36" fillId="31" borderId="23" xfId="0" applyFont="1" applyFill="1" applyBorder="1" applyAlignment="1">
      <alignment horizontal="center" vertical="center"/>
    </xf>
    <xf numFmtId="10" fontId="36" fillId="31" borderId="23" xfId="2" applyNumberFormat="1" applyFont="1" applyFill="1" applyBorder="1" applyAlignment="1">
      <alignment horizontal="center" vertical="center"/>
    </xf>
    <xf numFmtId="10" fontId="36" fillId="31" borderId="43" xfId="2" applyNumberFormat="1" applyFont="1" applyFill="1" applyBorder="1" applyAlignment="1">
      <alignment horizontal="center" vertical="center"/>
    </xf>
    <xf numFmtId="10" fontId="35" fillId="31" borderId="32" xfId="2" applyNumberFormat="1" applyFont="1" applyFill="1" applyBorder="1" applyAlignment="1">
      <alignment horizontal="center" vertical="center"/>
    </xf>
    <xf numFmtId="10" fontId="35" fillId="31" borderId="45" xfId="2" applyNumberFormat="1" applyFont="1" applyFill="1" applyBorder="1" applyAlignment="1">
      <alignment horizontal="center" vertical="center"/>
    </xf>
    <xf numFmtId="10" fontId="35" fillId="31" borderId="33" xfId="2" applyNumberFormat="1" applyFont="1" applyFill="1" applyBorder="1" applyAlignment="1">
      <alignment horizontal="center" vertical="center"/>
    </xf>
    <xf numFmtId="10" fontId="35" fillId="31" borderId="44" xfId="2" applyNumberFormat="1" applyFont="1" applyFill="1" applyBorder="1" applyAlignment="1">
      <alignment horizontal="center" vertical="center"/>
    </xf>
    <xf numFmtId="10" fontId="35" fillId="31" borderId="31" xfId="0" applyNumberFormat="1" applyFont="1" applyFill="1" applyBorder="1" applyAlignment="1">
      <alignment horizontal="center" vertical="center"/>
    </xf>
    <xf numFmtId="10" fontId="35" fillId="31" borderId="32" xfId="0" applyNumberFormat="1" applyFont="1" applyFill="1" applyBorder="1" applyAlignment="1">
      <alignment horizontal="center" vertical="center"/>
    </xf>
    <xf numFmtId="10" fontId="35" fillId="31" borderId="45" xfId="0" applyNumberFormat="1" applyFont="1" applyFill="1" applyBorder="1" applyAlignment="1">
      <alignment horizontal="center" vertical="center"/>
    </xf>
    <xf numFmtId="10" fontId="35" fillId="31" borderId="33" xfId="0" applyNumberFormat="1" applyFont="1" applyFill="1" applyBorder="1" applyAlignment="1">
      <alignment horizontal="center" vertical="center"/>
    </xf>
    <xf numFmtId="10" fontId="35" fillId="31" borderId="44" xfId="0" applyNumberFormat="1" applyFont="1" applyFill="1" applyBorder="1" applyAlignment="1">
      <alignment horizontal="center" vertical="center"/>
    </xf>
    <xf numFmtId="0" fontId="35" fillId="31" borderId="28" xfId="0" applyFont="1" applyFill="1" applyBorder="1" applyAlignment="1">
      <alignment horizontal="center" vertical="center" wrapText="1"/>
    </xf>
    <xf numFmtId="0" fontId="35" fillId="31" borderId="29" xfId="0" applyFont="1" applyFill="1" applyBorder="1" applyAlignment="1">
      <alignment horizontal="center" vertical="center" wrapText="1"/>
    </xf>
    <xf numFmtId="0" fontId="35" fillId="31" borderId="30" xfId="0" applyFont="1" applyFill="1" applyBorder="1" applyAlignment="1">
      <alignment horizontal="center" vertical="center" wrapText="1"/>
    </xf>
    <xf numFmtId="0" fontId="35" fillId="31" borderId="28" xfId="0" applyFont="1" applyFill="1" applyBorder="1" applyAlignment="1">
      <alignment horizontal="left" vertical="center"/>
    </xf>
    <xf numFmtId="0" fontId="35" fillId="31" borderId="29" xfId="0" applyFont="1" applyFill="1" applyBorder="1" applyAlignment="1">
      <alignment horizontal="left" vertical="center"/>
    </xf>
    <xf numFmtId="0" fontId="35" fillId="31" borderId="30" xfId="0" applyFont="1" applyFill="1" applyBorder="1" applyAlignment="1">
      <alignment horizontal="left" vertical="center"/>
    </xf>
    <xf numFmtId="10" fontId="35" fillId="31" borderId="46" xfId="0" applyNumberFormat="1" applyFont="1" applyFill="1" applyBorder="1" applyAlignment="1">
      <alignment horizontal="center" vertical="center"/>
    </xf>
    <xf numFmtId="0" fontId="36" fillId="31" borderId="47" xfId="0" applyFont="1" applyFill="1" applyBorder="1" applyAlignment="1">
      <alignment horizontal="center" vertical="center"/>
    </xf>
    <xf numFmtId="10" fontId="35" fillId="31" borderId="47" xfId="2" applyNumberFormat="1" applyFont="1" applyFill="1" applyBorder="1" applyAlignment="1">
      <alignment horizontal="center" vertical="center"/>
    </xf>
    <xf numFmtId="10" fontId="35" fillId="31" borderId="49" xfId="2" applyNumberFormat="1" applyFont="1" applyFill="1" applyBorder="1" applyAlignment="1">
      <alignment horizontal="center" vertical="center"/>
    </xf>
    <xf numFmtId="10" fontId="35" fillId="31" borderId="46" xfId="2" applyNumberFormat="1" applyFont="1" applyFill="1" applyBorder="1" applyAlignment="1">
      <alignment horizontal="center" vertical="center"/>
    </xf>
    <xf numFmtId="10" fontId="35" fillId="31" borderId="48" xfId="2" applyNumberFormat="1" applyFont="1" applyFill="1" applyBorder="1" applyAlignment="1">
      <alignment horizontal="center" vertical="center"/>
    </xf>
    <xf numFmtId="0" fontId="36" fillId="31" borderId="23" xfId="0" applyFont="1" applyFill="1" applyBorder="1" applyAlignment="1">
      <alignment horizontal="center" vertical="center" wrapText="1"/>
    </xf>
    <xf numFmtId="0" fontId="35" fillId="31" borderId="23" xfId="0" applyFont="1" applyFill="1" applyBorder="1" applyAlignment="1">
      <alignment horizontal="left" vertical="center" wrapText="1"/>
    </xf>
    <xf numFmtId="0" fontId="32" fillId="23" borderId="23" xfId="0" applyFont="1" applyFill="1" applyBorder="1" applyAlignment="1">
      <alignment horizontal="right" vertical="center"/>
    </xf>
    <xf numFmtId="4" fontId="32" fillId="23" borderId="42" xfId="0" applyNumberFormat="1" applyFont="1" applyFill="1" applyBorder="1" applyAlignment="1">
      <alignment horizontal="center" vertical="center"/>
    </xf>
    <xf numFmtId="4" fontId="32" fillId="23" borderId="23" xfId="0" applyNumberFormat="1" applyFont="1" applyFill="1" applyBorder="1" applyAlignment="1">
      <alignment horizontal="center" vertical="center"/>
    </xf>
    <xf numFmtId="4" fontId="32" fillId="23" borderId="43" xfId="0" applyNumberFormat="1" applyFont="1" applyFill="1" applyBorder="1" applyAlignment="1">
      <alignment horizontal="center" vertical="center"/>
    </xf>
    <xf numFmtId="10" fontId="35" fillId="45" borderId="42" xfId="2" applyNumberFormat="1" applyFont="1" applyFill="1" applyBorder="1" applyAlignment="1">
      <alignment horizontal="center" vertical="center"/>
    </xf>
    <xf numFmtId="10" fontId="35" fillId="45" borderId="23" xfId="2" applyNumberFormat="1" applyFont="1" applyFill="1" applyBorder="1" applyAlignment="1">
      <alignment horizontal="center" vertical="center"/>
    </xf>
    <xf numFmtId="10" fontId="35" fillId="45" borderId="43" xfId="2" applyNumberFormat="1" applyFont="1" applyFill="1" applyBorder="1" applyAlignment="1">
      <alignment horizontal="center" vertical="center"/>
    </xf>
    <xf numFmtId="10" fontId="35" fillId="45" borderId="46" xfId="2" applyNumberFormat="1" applyFont="1" applyFill="1" applyBorder="1" applyAlignment="1">
      <alignment horizontal="center" vertical="center"/>
    </xf>
    <xf numFmtId="10" fontId="35" fillId="45" borderId="47" xfId="2" applyNumberFormat="1" applyFont="1" applyFill="1" applyBorder="1" applyAlignment="1">
      <alignment horizontal="center" vertical="center"/>
    </xf>
    <xf numFmtId="9" fontId="35" fillId="45" borderId="47" xfId="2" applyFont="1" applyFill="1" applyBorder="1" applyAlignment="1">
      <alignment horizontal="center" vertical="center"/>
    </xf>
    <xf numFmtId="9" fontId="35" fillId="45" borderId="48" xfId="2" applyFont="1" applyFill="1" applyBorder="1" applyAlignment="1">
      <alignment horizontal="center" vertical="center"/>
    </xf>
    <xf numFmtId="10" fontId="35" fillId="45" borderId="48" xfId="2" applyNumberFormat="1" applyFont="1" applyFill="1" applyBorder="1" applyAlignment="1">
      <alignment horizontal="center" vertical="center"/>
    </xf>
    <xf numFmtId="4" fontId="40" fillId="23" borderId="42" xfId="0" applyNumberFormat="1" applyFont="1" applyFill="1" applyBorder="1" applyAlignment="1">
      <alignment horizontal="center" vertical="center"/>
    </xf>
    <xf numFmtId="4" fontId="40" fillId="23" borderId="23" xfId="0" applyNumberFormat="1" applyFont="1" applyFill="1" applyBorder="1" applyAlignment="1">
      <alignment horizontal="center" vertical="center"/>
    </xf>
    <xf numFmtId="4" fontId="40" fillId="23" borderId="43" xfId="0" applyNumberFormat="1" applyFont="1" applyFill="1" applyBorder="1" applyAlignment="1">
      <alignment horizontal="center" vertical="center"/>
    </xf>
    <xf numFmtId="10" fontId="40" fillId="23" borderId="46" xfId="2" applyNumberFormat="1" applyFont="1" applyFill="1" applyBorder="1" applyAlignment="1">
      <alignment horizontal="center" vertical="center"/>
    </xf>
    <xf numFmtId="10" fontId="40" fillId="23" borderId="47" xfId="2" applyNumberFormat="1" applyFont="1" applyFill="1" applyBorder="1" applyAlignment="1">
      <alignment horizontal="center" vertical="center"/>
    </xf>
    <xf numFmtId="9" fontId="40" fillId="23" borderId="47" xfId="2" applyFont="1" applyFill="1" applyBorder="1" applyAlignment="1">
      <alignment horizontal="center" vertical="center"/>
    </xf>
    <xf numFmtId="10" fontId="32" fillId="23" borderId="47" xfId="2" applyNumberFormat="1" applyFont="1" applyFill="1" applyBorder="1" applyAlignment="1">
      <alignment horizontal="center" vertical="center"/>
    </xf>
    <xf numFmtId="10" fontId="32" fillId="23" borderId="48" xfId="2" applyNumberFormat="1" applyFont="1" applyFill="1" applyBorder="1" applyAlignment="1">
      <alignment horizontal="center" vertical="center"/>
    </xf>
    <xf numFmtId="10" fontId="40" fillId="23" borderId="42" xfId="2" applyNumberFormat="1" applyFont="1" applyFill="1" applyBorder="1" applyAlignment="1">
      <alignment horizontal="center" vertical="center"/>
    </xf>
    <xf numFmtId="10" fontId="40" fillId="23" borderId="23" xfId="2" applyNumberFormat="1" applyFont="1" applyFill="1" applyBorder="1" applyAlignment="1">
      <alignment horizontal="center" vertical="center"/>
    </xf>
    <xf numFmtId="10" fontId="40" fillId="23" borderId="43" xfId="2" applyNumberFormat="1" applyFont="1" applyFill="1" applyBorder="1" applyAlignment="1">
      <alignment horizontal="center" vertical="center"/>
    </xf>
    <xf numFmtId="10" fontId="40" fillId="23" borderId="48" xfId="2" applyNumberFormat="1" applyFont="1" applyFill="1" applyBorder="1" applyAlignment="1">
      <alignment horizontal="center" vertical="center"/>
    </xf>
    <xf numFmtId="10" fontId="36" fillId="31" borderId="33" xfId="2" applyNumberFormat="1" applyFont="1" applyFill="1" applyBorder="1" applyAlignment="1">
      <alignment horizontal="center" vertical="center"/>
    </xf>
    <xf numFmtId="0" fontId="0" fillId="0" borderId="51" xfId="0" applyBorder="1"/>
    <xf numFmtId="0" fontId="32" fillId="43" borderId="37" xfId="0" applyFont="1" applyFill="1" applyBorder="1" applyAlignment="1">
      <alignment horizontal="center" vertical="center"/>
    </xf>
    <xf numFmtId="0" fontId="32" fillId="43" borderId="38" xfId="0" applyFont="1" applyFill="1" applyBorder="1" applyAlignment="1">
      <alignment horizontal="center" vertical="center"/>
    </xf>
    <xf numFmtId="0" fontId="32" fillId="43" borderId="41" xfId="0" applyFont="1" applyFill="1" applyBorder="1" applyAlignment="1">
      <alignment horizontal="center" vertical="center"/>
    </xf>
    <xf numFmtId="0" fontId="32" fillId="42" borderId="25" xfId="0" applyFont="1" applyFill="1" applyBorder="1" applyAlignment="1">
      <alignment horizontal="center" vertical="center"/>
    </xf>
    <xf numFmtId="0" fontId="32" fillId="42" borderId="26" xfId="0" applyFont="1" applyFill="1" applyBorder="1" applyAlignment="1">
      <alignment horizontal="center" vertical="center"/>
    </xf>
    <xf numFmtId="0" fontId="32" fillId="42" borderId="27" xfId="0" applyFont="1" applyFill="1" applyBorder="1" applyAlignment="1">
      <alignment horizontal="center" vertical="center"/>
    </xf>
    <xf numFmtId="10" fontId="36" fillId="31" borderId="45" xfId="2" applyNumberFormat="1" applyFont="1" applyFill="1" applyBorder="1" applyAlignment="1">
      <alignment horizontal="center" vertical="center"/>
    </xf>
    <xf numFmtId="0" fontId="32" fillId="35" borderId="45" xfId="0" applyFont="1" applyFill="1" applyBorder="1" applyAlignment="1">
      <alignment horizontal="center" vertical="center"/>
    </xf>
    <xf numFmtId="0" fontId="32" fillId="35" borderId="32" xfId="0" applyFont="1" applyFill="1" applyBorder="1" applyAlignment="1">
      <alignment horizontal="center" vertical="center"/>
    </xf>
    <xf numFmtId="0" fontId="32" fillId="35" borderId="33" xfId="0" applyFont="1" applyFill="1" applyBorder="1" applyAlignment="1">
      <alignment horizontal="center" vertical="center"/>
    </xf>
    <xf numFmtId="0" fontId="32" fillId="35" borderId="31" xfId="0" applyFont="1" applyFill="1" applyBorder="1" applyAlignment="1">
      <alignment horizontal="center" vertical="center"/>
    </xf>
    <xf numFmtId="0" fontId="32" fillId="35" borderId="44" xfId="0" applyFont="1" applyFill="1" applyBorder="1" applyAlignment="1">
      <alignment horizontal="center" vertical="center"/>
    </xf>
    <xf numFmtId="0" fontId="25" fillId="22" borderId="21" xfId="0" applyFont="1" applyFill="1" applyBorder="1" applyAlignment="1">
      <alignment horizontal="left" vertical="top" wrapText="1"/>
    </xf>
    <xf numFmtId="0" fontId="24" fillId="0" borderId="21" xfId="0" applyFont="1" applyBorder="1" applyAlignment="1">
      <alignment horizontal="left" vertical="top" wrapText="1"/>
    </xf>
    <xf numFmtId="0" fontId="25" fillId="14" borderId="21" xfId="0" applyFont="1" applyFill="1" applyBorder="1" applyAlignment="1">
      <alignment horizontal="left" vertical="top" wrapText="1"/>
    </xf>
    <xf numFmtId="0" fontId="0" fillId="0" borderId="21" xfId="0" applyBorder="1"/>
    <xf numFmtId="0" fontId="25" fillId="14" borderId="21" xfId="0" applyFont="1" applyFill="1" applyBorder="1" applyAlignment="1">
      <alignment horizontal="justify" vertical="top" wrapText="1"/>
    </xf>
    <xf numFmtId="0" fontId="25" fillId="2" borderId="21" xfId="0" applyFont="1" applyFill="1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25" fillId="14" borderId="65" xfId="0" applyFont="1" applyFill="1" applyBorder="1" applyAlignment="1">
      <alignment horizontal="justify" vertical="top" wrapText="1"/>
    </xf>
    <xf numFmtId="0" fontId="0" fillId="0" borderId="68" xfId="0" applyBorder="1"/>
    <xf numFmtId="0" fontId="0" fillId="0" borderId="66" xfId="0" applyBorder="1"/>
    <xf numFmtId="0" fontId="35" fillId="2" borderId="65" xfId="0" applyFont="1" applyFill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36" fillId="0" borderId="66" xfId="0" applyFont="1" applyBorder="1" applyAlignment="1">
      <alignment horizontal="center" vertical="center" wrapText="1"/>
    </xf>
    <xf numFmtId="0" fontId="25" fillId="14" borderId="21" xfId="0" applyFont="1" applyFill="1" applyBorder="1" applyAlignment="1">
      <alignment horizontal="left" vertical="center" wrapText="1"/>
    </xf>
    <xf numFmtId="0" fontId="0" fillId="0" borderId="21" xfId="0" applyBorder="1" applyAlignment="1">
      <alignment wrapText="1"/>
    </xf>
    <xf numFmtId="0" fontId="25" fillId="14" borderId="0" xfId="0" applyFont="1" applyFill="1" applyAlignment="1">
      <alignment horizontal="left" vertical="top" wrapText="1"/>
    </xf>
    <xf numFmtId="0" fontId="25" fillId="15" borderId="0" xfId="0" applyFont="1" applyFill="1" applyAlignment="1">
      <alignment horizontal="right" vertical="top" wrapText="1"/>
    </xf>
    <xf numFmtId="4" fontId="25" fillId="16" borderId="0" xfId="0" applyNumberFormat="1" applyFont="1" applyFill="1" applyAlignment="1">
      <alignment horizontal="right" vertical="top" wrapText="1"/>
    </xf>
    <xf numFmtId="0" fontId="45" fillId="23" borderId="80" xfId="0" applyFont="1" applyFill="1" applyBorder="1" applyAlignment="1">
      <alignment horizontal="center" vertical="center" wrapText="1"/>
    </xf>
    <xf numFmtId="0" fontId="41" fillId="23" borderId="81" xfId="0" applyFont="1" applyFill="1" applyBorder="1" applyAlignment="1">
      <alignment vertical="center"/>
    </xf>
    <xf numFmtId="0" fontId="41" fillId="23" borderId="82" xfId="0" applyFont="1" applyFill="1" applyBorder="1" applyAlignment="1">
      <alignment vertical="center"/>
    </xf>
    <xf numFmtId="0" fontId="27" fillId="23" borderId="78" xfId="0" applyFont="1" applyFill="1" applyBorder="1" applyAlignment="1">
      <alignment horizontal="right" vertical="top" wrapText="1"/>
    </xf>
    <xf numFmtId="0" fontId="27" fillId="23" borderId="67" xfId="0" applyFont="1" applyFill="1" applyBorder="1" applyAlignment="1">
      <alignment horizontal="right" vertical="top" wrapText="1"/>
    </xf>
    <xf numFmtId="4" fontId="27" fillId="23" borderId="67" xfId="0" applyNumberFormat="1" applyFont="1" applyFill="1" applyBorder="1" applyAlignment="1">
      <alignment horizontal="right" vertical="top" wrapText="1"/>
    </xf>
    <xf numFmtId="0" fontId="27" fillId="23" borderId="79" xfId="0" applyFont="1" applyFill="1" applyBorder="1" applyAlignment="1">
      <alignment horizontal="right" vertical="top" wrapText="1"/>
    </xf>
    <xf numFmtId="0" fontId="25" fillId="15" borderId="81" xfId="0" applyFont="1" applyFill="1" applyBorder="1" applyAlignment="1">
      <alignment horizontal="center" vertical="top" wrapText="1"/>
    </xf>
    <xf numFmtId="0" fontId="25" fillId="15" borderId="0" xfId="0" applyFont="1" applyFill="1" applyAlignment="1">
      <alignment horizontal="center" vertical="top" wrapText="1"/>
    </xf>
    <xf numFmtId="0" fontId="44" fillId="23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14" borderId="21" xfId="0" applyFont="1" applyFill="1" applyBorder="1" applyAlignment="1">
      <alignment horizontal="left" vertical="top" wrapText="1"/>
    </xf>
    <xf numFmtId="0" fontId="0" fillId="0" borderId="21" xfId="0" applyBorder="1" applyAlignment="1">
      <alignment vertical="top" wrapText="1"/>
    </xf>
    <xf numFmtId="0" fontId="3" fillId="2" borderId="80" xfId="0" applyFont="1" applyFill="1" applyBorder="1" applyAlignment="1">
      <alignment horizontal="left" vertical="center" wrapText="1"/>
    </xf>
    <xf numFmtId="0" fontId="0" fillId="0" borderId="81" xfId="0" applyBorder="1" applyAlignment="1">
      <alignment horizontal="left" vertical="center" wrapText="1"/>
    </xf>
    <xf numFmtId="0" fontId="0" fillId="0" borderId="82" xfId="0" applyBorder="1" applyAlignment="1">
      <alignment horizontal="left" vertical="center" wrapText="1"/>
    </xf>
    <xf numFmtId="0" fontId="0" fillId="0" borderId="78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0" fillId="0" borderId="79" xfId="0" applyBorder="1" applyAlignment="1">
      <alignment horizontal="left" vertical="center" wrapText="1"/>
    </xf>
    <xf numFmtId="0" fontId="15" fillId="14" borderId="21" xfId="0" applyFont="1" applyFill="1" applyBorder="1" applyAlignment="1">
      <alignment horizontal="justify" vertical="top" wrapText="1"/>
    </xf>
    <xf numFmtId="0" fontId="35" fillId="0" borderId="21" xfId="0" applyFont="1" applyBorder="1"/>
    <xf numFmtId="0" fontId="8" fillId="14" borderId="21" xfId="0" applyFont="1" applyFill="1" applyBorder="1" applyAlignment="1">
      <alignment horizontal="justify" vertical="top" wrapText="1"/>
    </xf>
    <xf numFmtId="0" fontId="42" fillId="23" borderId="31" xfId="0" applyFont="1" applyFill="1" applyBorder="1" applyAlignment="1">
      <alignment horizontal="center" vertical="center"/>
    </xf>
    <xf numFmtId="0" fontId="42" fillId="23" borderId="32" xfId="0" applyFont="1" applyFill="1" applyBorder="1" applyAlignment="1">
      <alignment horizontal="center" vertical="center"/>
    </xf>
    <xf numFmtId="0" fontId="42" fillId="23" borderId="33" xfId="0" applyFont="1" applyFill="1" applyBorder="1" applyAlignment="1">
      <alignment horizontal="center" vertical="center"/>
    </xf>
    <xf numFmtId="0" fontId="42" fillId="23" borderId="44" xfId="0" applyFont="1" applyFill="1" applyBorder="1" applyAlignment="1">
      <alignment horizontal="center" vertical="center"/>
    </xf>
    <xf numFmtId="39" fontId="24" fillId="37" borderId="23" xfId="1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0" fontId="24" fillId="37" borderId="23" xfId="2" applyNumberFormat="1" applyFont="1" applyFill="1" applyBorder="1" applyAlignment="1">
      <alignment horizontal="center" vertical="center"/>
    </xf>
    <xf numFmtId="0" fontId="45" fillId="23" borderId="42" xfId="0" applyFont="1" applyFill="1" applyBorder="1" applyAlignment="1">
      <alignment horizontal="center" vertical="center"/>
    </xf>
    <xf numFmtId="0" fontId="45" fillId="23" borderId="23" xfId="0" applyFont="1" applyFill="1" applyBorder="1" applyAlignment="1">
      <alignment horizontal="center" vertical="center"/>
    </xf>
    <xf numFmtId="0" fontId="45" fillId="23" borderId="43" xfId="0" applyFont="1" applyFill="1" applyBorder="1" applyAlignment="1">
      <alignment horizontal="center" vertical="center"/>
    </xf>
    <xf numFmtId="0" fontId="42" fillId="23" borderId="42" xfId="0" applyFont="1" applyFill="1" applyBorder="1" applyAlignment="1">
      <alignment horizontal="center" vertical="center" wrapText="1"/>
    </xf>
    <xf numFmtId="0" fontId="42" fillId="23" borderId="23" xfId="0" applyFont="1" applyFill="1" applyBorder="1" applyAlignment="1">
      <alignment horizontal="center" vertical="center"/>
    </xf>
    <xf numFmtId="0" fontId="42" fillId="23" borderId="43" xfId="0" applyFont="1" applyFill="1" applyBorder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35" fillId="37" borderId="42" xfId="0" applyFont="1" applyFill="1" applyBorder="1" applyAlignment="1">
      <alignment horizontal="center" vertical="center" wrapText="1"/>
    </xf>
    <xf numFmtId="0" fontId="35" fillId="37" borderId="23" xfId="0" applyFont="1" applyFill="1" applyBorder="1" applyAlignment="1">
      <alignment horizontal="left" vertical="center"/>
    </xf>
    <xf numFmtId="10" fontId="35" fillId="37" borderId="23" xfId="1" applyNumberFormat="1" applyFont="1" applyFill="1" applyBorder="1" applyAlignment="1">
      <alignment horizontal="center" vertical="center"/>
    </xf>
    <xf numFmtId="43" fontId="35" fillId="37" borderId="23" xfId="1" applyFont="1" applyFill="1" applyBorder="1" applyAlignment="1">
      <alignment horizontal="center" vertical="center"/>
    </xf>
    <xf numFmtId="4" fontId="35" fillId="37" borderId="23" xfId="0" applyNumberFormat="1" applyFont="1" applyFill="1" applyBorder="1" applyAlignment="1">
      <alignment horizontal="right" vertical="center"/>
    </xf>
    <xf numFmtId="0" fontId="0" fillId="37" borderId="23" xfId="0" applyFill="1" applyBorder="1" applyAlignment="1">
      <alignment horizontal="right" vertical="center"/>
    </xf>
    <xf numFmtId="10" fontId="35" fillId="37" borderId="23" xfId="0" applyNumberFormat="1" applyFont="1" applyFill="1" applyBorder="1" applyAlignment="1">
      <alignment horizontal="right" vertical="center"/>
    </xf>
    <xf numFmtId="10" fontId="0" fillId="37" borderId="23" xfId="0" applyNumberFormat="1" applyFill="1" applyBorder="1" applyAlignment="1">
      <alignment horizontal="right" vertical="center"/>
    </xf>
    <xf numFmtId="9" fontId="35" fillId="37" borderId="23" xfId="2" applyFont="1" applyFill="1" applyBorder="1" applyAlignment="1">
      <alignment horizontal="center" vertical="center"/>
    </xf>
    <xf numFmtId="9" fontId="0" fillId="0" borderId="23" xfId="2" applyFont="1" applyBorder="1" applyAlignment="1">
      <alignment horizontal="center" vertical="center"/>
    </xf>
    <xf numFmtId="10" fontId="35" fillId="37" borderId="28" xfId="0" applyNumberFormat="1" applyFont="1" applyFill="1" applyBorder="1" applyAlignment="1">
      <alignment horizontal="center" vertical="center"/>
    </xf>
    <xf numFmtId="10" fontId="35" fillId="37" borderId="29" xfId="0" applyNumberFormat="1" applyFont="1" applyFill="1" applyBorder="1" applyAlignment="1">
      <alignment horizontal="center" vertical="center"/>
    </xf>
    <xf numFmtId="10" fontId="35" fillId="37" borderId="30" xfId="0" applyNumberFormat="1" applyFont="1" applyFill="1" applyBorder="1" applyAlignment="1">
      <alignment horizontal="center" vertical="center"/>
    </xf>
    <xf numFmtId="10" fontId="35" fillId="37" borderId="23" xfId="2" applyNumberFormat="1" applyFont="1" applyFill="1" applyBorder="1" applyAlignment="1">
      <alignment horizontal="center" vertical="center"/>
    </xf>
    <xf numFmtId="10" fontId="35" fillId="37" borderId="43" xfId="2" applyNumberFormat="1" applyFont="1" applyFill="1" applyBorder="1" applyAlignment="1">
      <alignment horizontal="center" vertical="center"/>
    </xf>
    <xf numFmtId="9" fontId="0" fillId="0" borderId="43" xfId="2" applyFont="1" applyBorder="1" applyAlignment="1">
      <alignment horizontal="center" vertical="center"/>
    </xf>
    <xf numFmtId="9" fontId="35" fillId="37" borderId="43" xfId="2" applyFont="1" applyFill="1" applyBorder="1" applyAlignment="1">
      <alignment horizontal="center" vertical="center"/>
    </xf>
    <xf numFmtId="9" fontId="24" fillId="37" borderId="23" xfId="2" applyFont="1" applyFill="1" applyBorder="1" applyAlignment="1">
      <alignment horizontal="center" vertical="center"/>
    </xf>
    <xf numFmtId="0" fontId="35" fillId="37" borderId="23" xfId="0" applyFont="1" applyFill="1" applyBorder="1" applyAlignment="1">
      <alignment horizontal="center" vertical="center"/>
    </xf>
    <xf numFmtId="10" fontId="35" fillId="37" borderId="23" xfId="0" applyNumberFormat="1" applyFont="1" applyFill="1" applyBorder="1" applyAlignment="1">
      <alignment horizontal="center" vertical="center"/>
    </xf>
    <xf numFmtId="0" fontId="32" fillId="23" borderId="46" xfId="0" applyFont="1" applyFill="1" applyBorder="1" applyAlignment="1">
      <alignment horizontal="right" vertical="center"/>
    </xf>
    <xf numFmtId="0" fontId="32" fillId="23" borderId="47" xfId="0" applyFont="1" applyFill="1" applyBorder="1" applyAlignment="1">
      <alignment horizontal="right" vertical="center"/>
    </xf>
    <xf numFmtId="10" fontId="41" fillId="23" borderId="47" xfId="2" applyNumberFormat="1" applyFont="1" applyFill="1" applyBorder="1" applyAlignment="1">
      <alignment horizontal="center" vertical="center"/>
    </xf>
    <xf numFmtId="9" fontId="41" fillId="23" borderId="47" xfId="2" applyFont="1" applyFill="1" applyBorder="1" applyAlignment="1">
      <alignment horizontal="center" vertical="center"/>
    </xf>
    <xf numFmtId="9" fontId="41" fillId="23" borderId="48" xfId="2" applyFont="1" applyFill="1" applyBorder="1" applyAlignment="1">
      <alignment horizontal="center" vertical="center"/>
    </xf>
    <xf numFmtId="0" fontId="0" fillId="37" borderId="42" xfId="0" applyFill="1" applyBorder="1" applyAlignment="1">
      <alignment horizontal="center" vertical="center" wrapText="1"/>
    </xf>
    <xf numFmtId="0" fontId="35" fillId="37" borderId="23" xfId="0" applyFont="1" applyFill="1" applyBorder="1" applyAlignment="1">
      <alignment horizontal="left" vertical="center" wrapText="1"/>
    </xf>
    <xf numFmtId="0" fontId="32" fillId="23" borderId="42" xfId="0" applyFont="1" applyFill="1" applyBorder="1" applyAlignment="1">
      <alignment horizontal="right" vertical="center"/>
    </xf>
    <xf numFmtId="10" fontId="41" fillId="23" borderId="23" xfId="2" applyNumberFormat="1" applyFont="1" applyFill="1" applyBorder="1" applyAlignment="1">
      <alignment horizontal="center" vertical="center"/>
    </xf>
    <xf numFmtId="10" fontId="41" fillId="23" borderId="43" xfId="2" applyNumberFormat="1" applyFont="1" applyFill="1" applyBorder="1" applyAlignment="1">
      <alignment horizontal="center" vertical="center"/>
    </xf>
    <xf numFmtId="4" fontId="41" fillId="23" borderId="23" xfId="0" applyNumberFormat="1" applyFont="1" applyFill="1" applyBorder="1" applyAlignment="1">
      <alignment horizontal="center" vertical="center"/>
    </xf>
    <xf numFmtId="4" fontId="41" fillId="23" borderId="43" xfId="0" applyNumberFormat="1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 vertical="center" wrapText="1"/>
    </xf>
    <xf numFmtId="0" fontId="33" fillId="14" borderId="0" xfId="0" applyFont="1" applyFill="1" applyAlignment="1">
      <alignment horizontal="center" vertical="center" wrapText="1"/>
    </xf>
    <xf numFmtId="0" fontId="27" fillId="25" borderId="5" xfId="0" applyFont="1" applyFill="1" applyBorder="1" applyAlignment="1">
      <alignment horizontal="center" vertical="center" wrapText="1"/>
    </xf>
    <xf numFmtId="0" fontId="28" fillId="25" borderId="6" xfId="0" applyFont="1" applyFill="1" applyBorder="1" applyAlignment="1">
      <alignment vertical="center"/>
    </xf>
    <xf numFmtId="0" fontId="28" fillId="25" borderId="7" xfId="0" applyFont="1" applyFill="1" applyBorder="1" applyAlignment="1">
      <alignment vertical="center"/>
    </xf>
    <xf numFmtId="0" fontId="25" fillId="2" borderId="80" xfId="0" applyFont="1" applyFill="1" applyBorder="1" applyAlignment="1">
      <alignment horizontal="left" vertical="top" wrapText="1"/>
    </xf>
    <xf numFmtId="0" fontId="0" fillId="0" borderId="82" xfId="0" applyBorder="1"/>
    <xf numFmtId="0" fontId="0" fillId="0" borderId="78" xfId="0" applyBorder="1"/>
    <xf numFmtId="0" fontId="0" fillId="0" borderId="79" xfId="0" applyBorder="1"/>
    <xf numFmtId="0" fontId="77" fillId="2" borderId="65" xfId="0" applyFont="1" applyFill="1" applyBorder="1" applyAlignment="1">
      <alignment horizontal="center" vertical="center" wrapText="1"/>
    </xf>
    <xf numFmtId="0" fontId="78" fillId="0" borderId="68" xfId="0" applyFont="1" applyBorder="1" applyAlignment="1">
      <alignment horizontal="center" vertical="center" wrapText="1"/>
    </xf>
    <xf numFmtId="0" fontId="78" fillId="0" borderId="66" xfId="0" applyFont="1" applyBorder="1" applyAlignment="1">
      <alignment horizontal="center" vertical="center" wrapText="1"/>
    </xf>
    <xf numFmtId="0" fontId="9" fillId="20" borderId="2" xfId="0" applyFont="1" applyFill="1" applyBorder="1" applyAlignment="1">
      <alignment horizontal="left" vertical="top" wrapText="1"/>
    </xf>
    <xf numFmtId="0" fontId="14" fillId="12" borderId="2" xfId="0" applyFont="1" applyFill="1" applyBorder="1" applyAlignment="1">
      <alignment horizontal="left" vertical="top" wrapText="1"/>
    </xf>
    <xf numFmtId="0" fontId="14" fillId="28" borderId="2" xfId="0" applyFont="1" applyFill="1" applyBorder="1" applyAlignment="1">
      <alignment horizontal="left" vertical="top" wrapText="1"/>
    </xf>
    <xf numFmtId="0" fontId="14" fillId="22" borderId="0" xfId="0" applyFont="1" applyFill="1" applyAlignment="1">
      <alignment horizontal="right" vertical="top" wrapText="1"/>
    </xf>
    <xf numFmtId="0" fontId="8" fillId="22" borderId="74" xfId="0" applyFont="1" applyFill="1" applyBorder="1" applyAlignment="1">
      <alignment horizontal="right" vertical="top" wrapText="1"/>
    </xf>
    <xf numFmtId="0" fontId="8" fillId="22" borderId="0" xfId="0" applyFont="1" applyFill="1" applyAlignment="1">
      <alignment horizontal="right" vertical="top" wrapText="1"/>
    </xf>
    <xf numFmtId="0" fontId="3" fillId="22" borderId="2" xfId="0" applyFont="1" applyFill="1" applyBorder="1" applyAlignment="1">
      <alignment horizontal="right" vertical="top" wrapText="1"/>
    </xf>
    <xf numFmtId="165" fontId="14" fillId="13" borderId="2" xfId="0" applyNumberFormat="1" applyFont="1" applyFill="1" applyBorder="1" applyAlignment="1">
      <alignment horizontal="right" vertical="top" wrapText="1"/>
    </xf>
    <xf numFmtId="0" fontId="14" fillId="13" borderId="2" xfId="0" applyFont="1" applyFill="1" applyBorder="1" applyAlignment="1">
      <alignment horizontal="left" vertical="top" wrapText="1"/>
    </xf>
    <xf numFmtId="165" fontId="14" fillId="12" borderId="2" xfId="0" applyNumberFormat="1" applyFont="1" applyFill="1" applyBorder="1" applyAlignment="1">
      <alignment horizontal="right" vertical="top" wrapText="1"/>
    </xf>
    <xf numFmtId="0" fontId="3" fillId="22" borderId="2" xfId="0" applyFont="1" applyFill="1" applyBorder="1" applyAlignment="1">
      <alignment horizontal="center" vertical="top" wrapText="1"/>
    </xf>
    <xf numFmtId="0" fontId="4" fillId="19" borderId="2" xfId="0" applyFont="1" applyFill="1" applyBorder="1" applyAlignment="1">
      <alignment horizontal="left" vertical="top" wrapText="1"/>
    </xf>
    <xf numFmtId="0" fontId="4" fillId="19" borderId="70" xfId="0" applyFont="1" applyFill="1" applyBorder="1" applyAlignment="1">
      <alignment horizontal="left" vertical="top" wrapText="1"/>
    </xf>
    <xf numFmtId="0" fontId="3" fillId="22" borderId="2" xfId="0" applyFont="1" applyFill="1" applyBorder="1" applyAlignment="1">
      <alignment horizontal="left" vertical="top" wrapText="1"/>
    </xf>
    <xf numFmtId="0" fontId="20" fillId="22" borderId="65" xfId="0" applyFont="1" applyFill="1" applyBorder="1" applyAlignment="1">
      <alignment horizontal="center" vertical="center" wrapText="1"/>
    </xf>
    <xf numFmtId="0" fontId="21" fillId="0" borderId="68" xfId="0" applyFont="1" applyBorder="1" applyAlignment="1">
      <alignment vertical="center"/>
    </xf>
    <xf numFmtId="0" fontId="21" fillId="0" borderId="66" xfId="0" applyFont="1" applyBorder="1" applyAlignment="1">
      <alignment vertical="center"/>
    </xf>
    <xf numFmtId="0" fontId="3" fillId="22" borderId="72" xfId="0" applyFont="1" applyFill="1" applyBorder="1" applyAlignment="1">
      <alignment horizontal="left" vertical="top" wrapText="1"/>
    </xf>
    <xf numFmtId="0" fontId="3" fillId="22" borderId="72" xfId="0" applyFont="1" applyFill="1" applyBorder="1" applyAlignment="1">
      <alignment horizontal="right" vertical="top" wrapText="1"/>
    </xf>
    <xf numFmtId="0" fontId="14" fillId="29" borderId="2" xfId="0" applyFont="1" applyFill="1" applyBorder="1" applyAlignment="1">
      <alignment horizontal="left" vertical="top" wrapText="1"/>
    </xf>
    <xf numFmtId="0" fontId="9" fillId="21" borderId="2" xfId="0" applyFont="1" applyFill="1" applyBorder="1" applyAlignment="1">
      <alignment horizontal="left" vertical="top" wrapText="1"/>
    </xf>
    <xf numFmtId="0" fontId="8" fillId="14" borderId="0" xfId="0" applyFont="1" applyFill="1" applyAlignment="1">
      <alignment horizontal="right" vertical="top" wrapText="1"/>
    </xf>
    <xf numFmtId="4" fontId="16" fillId="16" borderId="0" xfId="0" applyNumberFormat="1" applyFont="1" applyFill="1" applyAlignment="1">
      <alignment horizontal="right" vertical="top" wrapText="1"/>
    </xf>
    <xf numFmtId="4" fontId="16" fillId="16" borderId="75" xfId="0" applyNumberFormat="1" applyFont="1" applyFill="1" applyBorder="1" applyAlignment="1">
      <alignment horizontal="right" vertical="top" wrapText="1"/>
    </xf>
    <xf numFmtId="0" fontId="3" fillId="22" borderId="73" xfId="0" applyFont="1" applyFill="1" applyBorder="1" applyAlignment="1">
      <alignment horizontal="right" vertical="top" wrapText="1"/>
    </xf>
    <xf numFmtId="0" fontId="25" fillId="2" borderId="65" xfId="0" applyFont="1" applyFill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45" fillId="23" borderId="80" xfId="0" applyFont="1" applyFill="1" applyBorder="1" applyAlignment="1">
      <alignment horizontal="center" wrapText="1"/>
    </xf>
    <xf numFmtId="0" fontId="41" fillId="23" borderId="81" xfId="0" applyFont="1" applyFill="1" applyBorder="1"/>
    <xf numFmtId="0" fontId="41" fillId="23" borderId="82" xfId="0" applyFont="1" applyFill="1" applyBorder="1"/>
    <xf numFmtId="0" fontId="25" fillId="22" borderId="0" xfId="0" applyFont="1" applyFill="1" applyAlignment="1">
      <alignment horizontal="left" vertical="top" wrapText="1"/>
    </xf>
    <xf numFmtId="0" fontId="25" fillId="22" borderId="0" xfId="0" applyFont="1" applyFill="1" applyAlignment="1">
      <alignment horizontal="right" vertical="top" wrapText="1"/>
    </xf>
    <xf numFmtId="4" fontId="25" fillId="22" borderId="0" xfId="0" applyNumberFormat="1" applyFont="1" applyFill="1" applyAlignment="1">
      <alignment horizontal="right" vertical="top" wrapText="1"/>
    </xf>
    <xf numFmtId="0" fontId="25" fillId="2" borderId="65" xfId="0" applyFont="1" applyFill="1" applyBorder="1" applyAlignment="1">
      <alignment horizontal="left" vertical="top" wrapText="1"/>
    </xf>
    <xf numFmtId="0" fontId="0" fillId="0" borderId="68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8" fillId="22" borderId="88" xfId="0" applyFont="1" applyFill="1" applyBorder="1" applyAlignment="1">
      <alignment horizontal="right" vertical="top" wrapText="1"/>
    </xf>
    <xf numFmtId="0" fontId="8" fillId="22" borderId="20" xfId="0" applyFont="1" applyFill="1" applyBorder="1" applyAlignment="1">
      <alignment horizontal="right" vertical="top" wrapText="1"/>
    </xf>
    <xf numFmtId="0" fontId="3" fillId="22" borderId="3" xfId="0" applyFont="1" applyFill="1" applyBorder="1" applyAlignment="1">
      <alignment horizontal="right" vertical="top" wrapText="1"/>
    </xf>
    <xf numFmtId="0" fontId="3" fillId="22" borderId="16" xfId="0" applyFont="1" applyFill="1" applyBorder="1" applyAlignment="1">
      <alignment horizontal="right" vertical="top" wrapText="1"/>
    </xf>
    <xf numFmtId="0" fontId="3" fillId="22" borderId="4" xfId="0" applyFont="1" applyFill="1" applyBorder="1" applyAlignment="1">
      <alignment horizontal="right" vertical="top" wrapText="1"/>
    </xf>
    <xf numFmtId="165" fontId="14" fillId="13" borderId="3" xfId="0" applyNumberFormat="1" applyFont="1" applyFill="1" applyBorder="1" applyAlignment="1">
      <alignment horizontal="right" vertical="top" wrapText="1"/>
    </xf>
    <xf numFmtId="165" fontId="14" fillId="13" borderId="16" xfId="0" applyNumberFormat="1" applyFont="1" applyFill="1" applyBorder="1" applyAlignment="1">
      <alignment horizontal="right" vertical="top" wrapText="1"/>
    </xf>
    <xf numFmtId="165" fontId="14" fillId="13" borderId="4" xfId="0" applyNumberFormat="1" applyFont="1" applyFill="1" applyBorder="1" applyAlignment="1">
      <alignment horizontal="right" vertical="top" wrapText="1"/>
    </xf>
    <xf numFmtId="0" fontId="8" fillId="22" borderId="91" xfId="0" applyFont="1" applyFill="1" applyBorder="1" applyAlignment="1">
      <alignment horizontal="right" vertical="top" wrapText="1"/>
    </xf>
    <xf numFmtId="0" fontId="8" fillId="22" borderId="16" xfId="0" applyFont="1" applyFill="1" applyBorder="1" applyAlignment="1">
      <alignment horizontal="right" vertical="top" wrapText="1"/>
    </xf>
    <xf numFmtId="165" fontId="14" fillId="12" borderId="3" xfId="0" applyNumberFormat="1" applyFont="1" applyFill="1" applyBorder="1" applyAlignment="1">
      <alignment horizontal="right" vertical="top" wrapText="1"/>
    </xf>
    <xf numFmtId="165" fontId="14" fillId="12" borderId="4" xfId="0" applyNumberFormat="1" applyFont="1" applyFill="1" applyBorder="1" applyAlignment="1">
      <alignment horizontal="right" vertical="top" wrapText="1"/>
    </xf>
    <xf numFmtId="0" fontId="3" fillId="22" borderId="3" xfId="0" applyFont="1" applyFill="1" applyBorder="1" applyAlignment="1">
      <alignment horizontal="center" vertical="top" wrapText="1"/>
    </xf>
    <xf numFmtId="0" fontId="3" fillId="22" borderId="16" xfId="0" applyFont="1" applyFill="1" applyBorder="1" applyAlignment="1">
      <alignment horizontal="center" vertical="top" wrapText="1"/>
    </xf>
    <xf numFmtId="0" fontId="3" fillId="22" borderId="4" xfId="0" applyFont="1" applyFill="1" applyBorder="1" applyAlignment="1">
      <alignment horizontal="center" vertical="top" wrapText="1"/>
    </xf>
    <xf numFmtId="0" fontId="8" fillId="22" borderId="92" xfId="0" applyFont="1" applyFill="1" applyBorder="1" applyAlignment="1">
      <alignment horizontal="right" vertical="top" wrapText="1"/>
    </xf>
    <xf numFmtId="0" fontId="8" fillId="22" borderId="19" xfId="0" applyFont="1" applyFill="1" applyBorder="1" applyAlignment="1">
      <alignment horizontal="right" vertical="top" wrapText="1"/>
    </xf>
    <xf numFmtId="0" fontId="3" fillId="22" borderId="90" xfId="0" applyFont="1" applyFill="1" applyBorder="1" applyAlignment="1">
      <alignment horizontal="right" vertical="top" wrapText="1"/>
    </xf>
    <xf numFmtId="0" fontId="3" fillId="22" borderId="84" xfId="0" applyFont="1" applyFill="1" applyBorder="1" applyAlignment="1">
      <alignment horizontal="right" vertical="top" wrapText="1"/>
    </xf>
    <xf numFmtId="0" fontId="14" fillId="12" borderId="3" xfId="0" applyFont="1" applyFill="1" applyBorder="1" applyAlignment="1">
      <alignment horizontal="left" vertical="top" wrapText="1"/>
    </xf>
    <xf numFmtId="0" fontId="14" fillId="12" borderId="4" xfId="0" applyFont="1" applyFill="1" applyBorder="1" applyAlignment="1">
      <alignment horizontal="left" vertical="top" wrapText="1"/>
    </xf>
    <xf numFmtId="0" fontId="14" fillId="13" borderId="3" xfId="0" applyFont="1" applyFill="1" applyBorder="1" applyAlignment="1">
      <alignment horizontal="left" vertical="top" wrapText="1"/>
    </xf>
    <xf numFmtId="0" fontId="14" fillId="13" borderId="4" xfId="0" applyFont="1" applyFill="1" applyBorder="1" applyAlignment="1">
      <alignment horizontal="left" vertical="top" wrapText="1"/>
    </xf>
    <xf numFmtId="0" fontId="4" fillId="19" borderId="3" xfId="0" applyFont="1" applyFill="1" applyBorder="1" applyAlignment="1">
      <alignment horizontal="left" vertical="top" wrapText="1"/>
    </xf>
    <xf numFmtId="0" fontId="4" fillId="19" borderId="4" xfId="0" applyFont="1" applyFill="1" applyBorder="1" applyAlignment="1">
      <alignment horizontal="left" vertical="top" wrapText="1"/>
    </xf>
    <xf numFmtId="0" fontId="9" fillId="20" borderId="3" xfId="0" applyFont="1" applyFill="1" applyBorder="1" applyAlignment="1">
      <alignment horizontal="left" vertical="top" wrapText="1"/>
    </xf>
    <xf numFmtId="0" fontId="9" fillId="20" borderId="4" xfId="0" applyFont="1" applyFill="1" applyBorder="1" applyAlignment="1">
      <alignment horizontal="left" vertical="top" wrapText="1"/>
    </xf>
    <xf numFmtId="0" fontId="3" fillId="22" borderId="3" xfId="0" applyFont="1" applyFill="1" applyBorder="1" applyAlignment="1">
      <alignment horizontal="left" vertical="top" wrapText="1"/>
    </xf>
    <xf numFmtId="0" fontId="3" fillId="22" borderId="4" xfId="0" applyFont="1" applyFill="1" applyBorder="1" applyAlignment="1">
      <alignment horizontal="left" vertical="top" wrapText="1"/>
    </xf>
    <xf numFmtId="0" fontId="3" fillId="22" borderId="89" xfId="0" applyFont="1" applyFill="1" applyBorder="1" applyAlignment="1">
      <alignment horizontal="left" vertical="top" wrapText="1"/>
    </xf>
    <xf numFmtId="0" fontId="3" fillId="22" borderId="83" xfId="0" applyFont="1" applyFill="1" applyBorder="1" applyAlignment="1">
      <alignment horizontal="left" vertical="top" wrapText="1"/>
    </xf>
    <xf numFmtId="0" fontId="3" fillId="22" borderId="17" xfId="0" applyFont="1" applyFill="1" applyBorder="1" applyAlignment="1">
      <alignment horizontal="center" vertical="top" wrapText="1"/>
    </xf>
    <xf numFmtId="0" fontId="3" fillId="22" borderId="18" xfId="0" applyFont="1" applyFill="1" applyBorder="1" applyAlignment="1">
      <alignment horizontal="center" vertical="top" wrapText="1"/>
    </xf>
    <xf numFmtId="0" fontId="3" fillId="22" borderId="17" xfId="0" applyFont="1" applyFill="1" applyBorder="1" applyAlignment="1">
      <alignment horizontal="left" vertical="top" wrapText="1"/>
    </xf>
    <xf numFmtId="0" fontId="3" fillId="22" borderId="18" xfId="0" applyFont="1" applyFill="1" applyBorder="1" applyAlignment="1">
      <alignment horizontal="left" vertical="top" wrapText="1"/>
    </xf>
    <xf numFmtId="0" fontId="3" fillId="22" borderId="17" xfId="0" applyFont="1" applyFill="1" applyBorder="1" applyAlignment="1">
      <alignment horizontal="right" vertical="top" wrapText="1"/>
    </xf>
    <xf numFmtId="0" fontId="3" fillId="22" borderId="18" xfId="0" applyFont="1" applyFill="1" applyBorder="1" applyAlignment="1">
      <alignment horizontal="right" vertical="top" wrapText="1"/>
    </xf>
    <xf numFmtId="0" fontId="9" fillId="21" borderId="3" xfId="0" applyFont="1" applyFill="1" applyBorder="1" applyAlignment="1">
      <alignment horizontal="left" vertical="top" wrapText="1"/>
    </xf>
    <xf numFmtId="0" fontId="9" fillId="21" borderId="4" xfId="0" applyFont="1" applyFill="1" applyBorder="1" applyAlignment="1">
      <alignment horizontal="left" vertical="top" wrapText="1"/>
    </xf>
    <xf numFmtId="165" fontId="14" fillId="12" borderId="16" xfId="0" applyNumberFormat="1" applyFont="1" applyFill="1" applyBorder="1" applyAlignment="1">
      <alignment horizontal="right" vertical="top" wrapText="1"/>
    </xf>
    <xf numFmtId="0" fontId="8" fillId="22" borderId="78" xfId="0" applyFont="1" applyFill="1" applyBorder="1" applyAlignment="1">
      <alignment horizontal="right" vertical="top" wrapText="1"/>
    </xf>
    <xf numFmtId="0" fontId="8" fillId="22" borderId="67" xfId="0" applyFont="1" applyFill="1" applyBorder="1" applyAlignment="1">
      <alignment horizontal="right" vertical="top" wrapText="1"/>
    </xf>
    <xf numFmtId="4" fontId="8" fillId="22" borderId="67" xfId="0" applyNumberFormat="1" applyFont="1" applyFill="1" applyBorder="1" applyAlignment="1">
      <alignment horizontal="right" vertical="top" wrapText="1"/>
    </xf>
    <xf numFmtId="4" fontId="8" fillId="22" borderId="79" xfId="0" applyNumberFormat="1" applyFont="1" applyFill="1" applyBorder="1" applyAlignment="1">
      <alignment horizontal="right" vertical="top" wrapText="1"/>
    </xf>
    <xf numFmtId="0" fontId="35" fillId="0" borderId="38" xfId="0" applyFont="1" applyBorder="1" applyAlignment="1">
      <alignment horizontal="center" vertical="center"/>
    </xf>
    <xf numFmtId="10" fontId="36" fillId="37" borderId="23" xfId="0" applyNumberFormat="1" applyFont="1" applyFill="1" applyBorder="1" applyAlignment="1">
      <alignment horizontal="right" vertical="center"/>
    </xf>
    <xf numFmtId="0" fontId="36" fillId="37" borderId="23" xfId="0" applyFont="1" applyFill="1" applyBorder="1" applyAlignment="1">
      <alignment horizontal="right" vertical="center"/>
    </xf>
    <xf numFmtId="0" fontId="32" fillId="23" borderId="42" xfId="0" applyFont="1" applyFill="1" applyBorder="1" applyAlignment="1">
      <alignment horizontal="center" vertical="center"/>
    </xf>
    <xf numFmtId="0" fontId="32" fillId="23" borderId="43" xfId="0" applyFont="1" applyFill="1" applyBorder="1" applyAlignment="1">
      <alignment horizontal="center" vertical="center"/>
    </xf>
    <xf numFmtId="0" fontId="32" fillId="23" borderId="42" xfId="0" applyFont="1" applyFill="1" applyBorder="1" applyAlignment="1">
      <alignment horizontal="center" vertical="center" wrapText="1"/>
    </xf>
    <xf numFmtId="0" fontId="32" fillId="23" borderId="31" xfId="0" applyFont="1" applyFill="1" applyBorder="1" applyAlignment="1">
      <alignment horizontal="center" vertical="center"/>
    </xf>
    <xf numFmtId="0" fontId="32" fillId="23" borderId="32" xfId="0" applyFont="1" applyFill="1" applyBorder="1" applyAlignment="1">
      <alignment horizontal="center" vertical="center"/>
    </xf>
    <xf numFmtId="0" fontId="32" fillId="23" borderId="33" xfId="0" applyFont="1" applyFill="1" applyBorder="1" applyAlignment="1">
      <alignment horizontal="center" vertical="center"/>
    </xf>
    <xf numFmtId="0" fontId="32" fillId="23" borderId="44" xfId="0" applyFont="1" applyFill="1" applyBorder="1" applyAlignment="1">
      <alignment horizontal="center" vertical="center"/>
    </xf>
    <xf numFmtId="9" fontId="36" fillId="0" borderId="23" xfId="2" applyFont="1" applyBorder="1" applyAlignment="1">
      <alignment horizontal="center" vertical="center"/>
    </xf>
    <xf numFmtId="10" fontId="36" fillId="37" borderId="23" xfId="2" applyNumberFormat="1" applyFont="1" applyFill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  <xf numFmtId="0" fontId="36" fillId="0" borderId="43" xfId="0" applyFont="1" applyBorder="1" applyAlignment="1">
      <alignment horizontal="center" vertical="center"/>
    </xf>
    <xf numFmtId="39" fontId="36" fillId="37" borderId="23" xfId="1" applyNumberFormat="1" applyFont="1" applyFill="1" applyBorder="1" applyAlignment="1">
      <alignment horizontal="center" vertical="center"/>
    </xf>
    <xf numFmtId="9" fontId="36" fillId="37" borderId="23" xfId="2" applyFont="1" applyFill="1" applyBorder="1" applyAlignment="1">
      <alignment horizontal="center" vertical="center"/>
    </xf>
    <xf numFmtId="9" fontId="36" fillId="0" borderId="43" xfId="2" applyFont="1" applyBorder="1" applyAlignment="1">
      <alignment horizontal="center" vertical="center"/>
    </xf>
    <xf numFmtId="0" fontId="36" fillId="37" borderId="42" xfId="0" applyFont="1" applyFill="1" applyBorder="1" applyAlignment="1">
      <alignment horizontal="center" vertical="center" wrapText="1"/>
    </xf>
    <xf numFmtId="9" fontId="40" fillId="23" borderId="48" xfId="2" applyFont="1" applyFill="1" applyBorder="1" applyAlignment="1">
      <alignment horizontal="center" vertical="center"/>
    </xf>
    <xf numFmtId="0" fontId="44" fillId="23" borderId="80" xfId="0" applyFont="1" applyFill="1" applyBorder="1" applyAlignment="1">
      <alignment horizontal="center" wrapText="1"/>
    </xf>
    <xf numFmtId="0" fontId="46" fillId="23" borderId="81" xfId="0" applyFont="1" applyFill="1" applyBorder="1"/>
    <xf numFmtId="0" fontId="46" fillId="23" borderId="82" xfId="0" applyFont="1" applyFill="1" applyBorder="1"/>
    <xf numFmtId="0" fontId="25" fillId="2" borderId="21" xfId="0" applyFont="1" applyFill="1" applyBorder="1" applyAlignment="1">
      <alignment horizontal="center" vertical="top" wrapText="1"/>
    </xf>
    <xf numFmtId="0" fontId="8" fillId="22" borderId="0" xfId="0" applyFont="1" applyFill="1" applyAlignment="1">
      <alignment horizontal="left" vertical="top" wrapText="1"/>
    </xf>
    <xf numFmtId="4" fontId="8" fillId="22" borderId="0" xfId="0" applyNumberFormat="1" applyFont="1" applyFill="1" applyAlignment="1">
      <alignment horizontal="right" vertical="top" wrapText="1"/>
    </xf>
    <xf numFmtId="0" fontId="8" fillId="22" borderId="75" xfId="0" applyFont="1" applyFill="1" applyBorder="1" applyAlignment="1">
      <alignment horizontal="right" vertical="top" wrapText="1"/>
    </xf>
    <xf numFmtId="0" fontId="30" fillId="23" borderId="78" xfId="0" applyFont="1" applyFill="1" applyBorder="1" applyAlignment="1">
      <alignment horizontal="right" vertical="top" wrapText="1"/>
    </xf>
    <xf numFmtId="0" fontId="30" fillId="23" borderId="67" xfId="0" applyFont="1" applyFill="1" applyBorder="1" applyAlignment="1">
      <alignment horizontal="right" vertical="top" wrapText="1"/>
    </xf>
    <xf numFmtId="4" fontId="30" fillId="23" borderId="67" xfId="0" applyNumberFormat="1" applyFont="1" applyFill="1" applyBorder="1" applyAlignment="1">
      <alignment horizontal="right" vertical="top" wrapText="1"/>
    </xf>
    <xf numFmtId="0" fontId="30" fillId="23" borderId="79" xfId="0" applyFont="1" applyFill="1" applyBorder="1" applyAlignment="1">
      <alignment horizontal="right" vertical="top" wrapText="1"/>
    </xf>
    <xf numFmtId="0" fontId="32" fillId="23" borderId="98" xfId="0" applyFont="1" applyFill="1" applyBorder="1" applyAlignment="1">
      <alignment horizontal="center" vertical="center"/>
    </xf>
    <xf numFmtId="0" fontId="32" fillId="23" borderId="99" xfId="0" applyFont="1" applyFill="1" applyBorder="1" applyAlignment="1">
      <alignment horizontal="center" vertical="center"/>
    </xf>
    <xf numFmtId="0" fontId="32" fillId="23" borderId="100" xfId="0" applyFont="1" applyFill="1" applyBorder="1" applyAlignment="1">
      <alignment horizontal="center" vertical="center"/>
    </xf>
    <xf numFmtId="0" fontId="32" fillId="23" borderId="51" xfId="0" applyFont="1" applyFill="1" applyBorder="1" applyAlignment="1">
      <alignment horizontal="center" vertical="center"/>
    </xf>
    <xf numFmtId="0" fontId="32" fillId="23" borderId="101" xfId="0" applyFont="1" applyFill="1" applyBorder="1" applyAlignment="1">
      <alignment horizontal="center" vertical="center"/>
    </xf>
    <xf numFmtId="0" fontId="0" fillId="0" borderId="95" xfId="0" applyBorder="1"/>
    <xf numFmtId="0" fontId="35" fillId="31" borderId="102" xfId="0" applyFont="1" applyFill="1" applyBorder="1" applyAlignment="1">
      <alignment horizontal="center" vertical="center" wrapText="1"/>
    </xf>
    <xf numFmtId="10" fontId="35" fillId="31" borderId="28" xfId="0" applyNumberFormat="1" applyFont="1" applyFill="1" applyBorder="1" applyAlignment="1">
      <alignment horizontal="center" vertical="center"/>
    </xf>
    <xf numFmtId="10" fontId="35" fillId="31" borderId="29" xfId="0" applyNumberFormat="1" applyFont="1" applyFill="1" applyBorder="1" applyAlignment="1">
      <alignment horizontal="center" vertical="center"/>
    </xf>
    <xf numFmtId="10" fontId="35" fillId="31" borderId="30" xfId="0" applyNumberFormat="1" applyFont="1" applyFill="1" applyBorder="1" applyAlignment="1">
      <alignment horizontal="center" vertical="center"/>
    </xf>
    <xf numFmtId="0" fontId="32" fillId="23" borderId="102" xfId="0" applyFont="1" applyFill="1" applyBorder="1" applyAlignment="1">
      <alignment horizontal="center" vertical="center" wrapText="1"/>
    </xf>
    <xf numFmtId="0" fontId="32" fillId="23" borderId="103" xfId="0" applyFont="1" applyFill="1" applyBorder="1" applyAlignment="1">
      <alignment horizontal="center" vertical="center"/>
    </xf>
    <xf numFmtId="9" fontId="36" fillId="31" borderId="104" xfId="2" applyFont="1" applyFill="1" applyBorder="1" applyAlignment="1">
      <alignment horizontal="center" vertical="center"/>
    </xf>
    <xf numFmtId="10" fontId="35" fillId="31" borderId="23" xfId="1" applyNumberFormat="1" applyFont="1" applyFill="1" applyBorder="1" applyAlignment="1">
      <alignment horizontal="center" vertical="center"/>
    </xf>
    <xf numFmtId="10" fontId="35" fillId="31" borderId="23" xfId="0" applyNumberFormat="1" applyFont="1" applyFill="1" applyBorder="1" applyAlignment="1">
      <alignment horizontal="center" vertical="center"/>
    </xf>
    <xf numFmtId="0" fontId="35" fillId="31" borderId="23" xfId="0" applyFont="1" applyFill="1" applyBorder="1" applyAlignment="1">
      <alignment horizontal="center" vertical="center"/>
    </xf>
    <xf numFmtId="0" fontId="32" fillId="23" borderId="102" xfId="0" applyFont="1" applyFill="1" applyBorder="1" applyAlignment="1">
      <alignment horizontal="right" vertical="center"/>
    </xf>
    <xf numFmtId="4" fontId="40" fillId="23" borderId="104" xfId="0" applyNumberFormat="1" applyFont="1" applyFill="1" applyBorder="1" applyAlignment="1">
      <alignment horizontal="center" vertical="center"/>
    </xf>
    <xf numFmtId="0" fontId="36" fillId="31" borderId="102" xfId="0" applyFont="1" applyFill="1" applyBorder="1" applyAlignment="1">
      <alignment horizontal="center" vertical="center" wrapText="1"/>
    </xf>
    <xf numFmtId="9" fontId="35" fillId="31" borderId="104" xfId="2" applyFont="1" applyFill="1" applyBorder="1" applyAlignment="1">
      <alignment horizontal="center" vertical="center"/>
    </xf>
    <xf numFmtId="10" fontId="35" fillId="31" borderId="104" xfId="2" applyNumberFormat="1" applyFont="1" applyFill="1" applyBorder="1" applyAlignment="1">
      <alignment horizontal="center" vertical="center"/>
    </xf>
    <xf numFmtId="10" fontId="35" fillId="31" borderId="103" xfId="2" applyNumberFormat="1" applyFont="1" applyFill="1" applyBorder="1" applyAlignment="1">
      <alignment horizontal="center" vertical="center"/>
    </xf>
    <xf numFmtId="0" fontId="32" fillId="23" borderId="108" xfId="0" applyFont="1" applyFill="1" applyBorder="1" applyAlignment="1">
      <alignment horizontal="right" vertical="center"/>
    </xf>
    <xf numFmtId="0" fontId="32" fillId="23" borderId="109" xfId="0" applyFont="1" applyFill="1" applyBorder="1" applyAlignment="1">
      <alignment horizontal="right" vertical="center"/>
    </xf>
    <xf numFmtId="10" fontId="40" fillId="23" borderId="109" xfId="2" applyNumberFormat="1" applyFont="1" applyFill="1" applyBorder="1" applyAlignment="1">
      <alignment horizontal="center" vertical="center"/>
    </xf>
    <xf numFmtId="9" fontId="40" fillId="23" borderId="109" xfId="2" applyFont="1" applyFill="1" applyBorder="1" applyAlignment="1">
      <alignment horizontal="center" vertical="center"/>
    </xf>
    <xf numFmtId="9" fontId="32" fillId="23" borderId="109" xfId="2" applyFont="1" applyFill="1" applyBorder="1" applyAlignment="1">
      <alignment horizontal="center" vertical="center"/>
    </xf>
    <xf numFmtId="9" fontId="32" fillId="23" borderId="110" xfId="2" applyFont="1" applyFill="1" applyBorder="1" applyAlignment="1">
      <alignment horizontal="center" vertical="center"/>
    </xf>
    <xf numFmtId="0" fontId="35" fillId="31" borderId="105" xfId="0" applyFont="1" applyFill="1" applyBorder="1" applyAlignment="1">
      <alignment horizontal="center" vertical="center" wrapText="1"/>
    </xf>
    <xf numFmtId="0" fontId="35" fillId="31" borderId="106" xfId="0" applyFont="1" applyFill="1" applyBorder="1" applyAlignment="1">
      <alignment horizontal="center" vertical="center" wrapText="1"/>
    </xf>
    <xf numFmtId="0" fontId="35" fillId="31" borderId="107" xfId="0" applyFont="1" applyFill="1" applyBorder="1" applyAlignment="1">
      <alignment horizontal="center" vertical="center" wrapText="1"/>
    </xf>
    <xf numFmtId="4" fontId="35" fillId="31" borderId="28" xfId="0" applyNumberFormat="1" applyFont="1" applyFill="1" applyBorder="1" applyAlignment="1">
      <alignment horizontal="right" vertical="center"/>
    </xf>
    <xf numFmtId="0" fontId="35" fillId="31" borderId="29" xfId="0" applyFont="1" applyFill="1" applyBorder="1" applyAlignment="1">
      <alignment horizontal="right" vertical="center"/>
    </xf>
    <xf numFmtId="0" fontId="35" fillId="31" borderId="30" xfId="0" applyFont="1" applyFill="1" applyBorder="1" applyAlignment="1">
      <alignment horizontal="right" vertical="center"/>
    </xf>
    <xf numFmtId="9" fontId="40" fillId="23" borderId="23" xfId="2" applyFont="1" applyFill="1" applyBorder="1" applyAlignment="1">
      <alignment horizontal="center" vertical="center"/>
    </xf>
    <xf numFmtId="9" fontId="40" fillId="23" borderId="104" xfId="2" applyFont="1" applyFill="1" applyBorder="1" applyAlignment="1">
      <alignment horizontal="center" vertical="center"/>
    </xf>
    <xf numFmtId="10" fontId="35" fillId="31" borderId="103" xfId="0" applyNumberFormat="1" applyFont="1" applyFill="1" applyBorder="1" applyAlignment="1">
      <alignment horizontal="center" vertical="center"/>
    </xf>
    <xf numFmtId="4" fontId="32" fillId="23" borderId="104" xfId="0" applyNumberFormat="1" applyFont="1" applyFill="1" applyBorder="1" applyAlignment="1">
      <alignment horizontal="center" vertical="center"/>
    </xf>
    <xf numFmtId="10" fontId="36" fillId="31" borderId="103" xfId="2" applyNumberFormat="1" applyFont="1" applyFill="1" applyBorder="1" applyAlignment="1">
      <alignment horizontal="center" vertical="center"/>
    </xf>
    <xf numFmtId="0" fontId="36" fillId="31" borderId="104" xfId="0" applyFont="1" applyFill="1" applyBorder="1" applyAlignment="1">
      <alignment horizontal="center" vertical="center"/>
    </xf>
    <xf numFmtId="0" fontId="44" fillId="23" borderId="74" xfId="0" applyFont="1" applyFill="1" applyBorder="1" applyAlignment="1">
      <alignment horizontal="center" wrapText="1"/>
    </xf>
    <xf numFmtId="0" fontId="46" fillId="23" borderId="0" xfId="0" applyFont="1" applyFill="1"/>
    <xf numFmtId="0" fontId="46" fillId="23" borderId="75" xfId="0" applyFont="1" applyFill="1" applyBorder="1"/>
    <xf numFmtId="0" fontId="44" fillId="23" borderId="74" xfId="0" applyFont="1" applyFill="1" applyBorder="1" applyAlignment="1">
      <alignment horizontal="center" vertical="center" wrapText="1"/>
    </xf>
    <xf numFmtId="0" fontId="46" fillId="23" borderId="0" xfId="0" applyFont="1" applyFill="1" applyAlignment="1">
      <alignment vertical="center"/>
    </xf>
    <xf numFmtId="0" fontId="46" fillId="23" borderId="75" xfId="0" applyFont="1" applyFill="1" applyBorder="1" applyAlignment="1">
      <alignment vertical="center"/>
    </xf>
    <xf numFmtId="0" fontId="8" fillId="22" borderId="67" xfId="0" applyFont="1" applyFill="1" applyBorder="1" applyAlignment="1">
      <alignment horizontal="left" vertical="top" wrapText="1"/>
    </xf>
    <xf numFmtId="0" fontId="8" fillId="22" borderId="79" xfId="0" applyFont="1" applyFill="1" applyBorder="1" applyAlignment="1">
      <alignment horizontal="right" vertical="top" wrapText="1"/>
    </xf>
    <xf numFmtId="0" fontId="35" fillId="37" borderId="102" xfId="0" applyFont="1" applyFill="1" applyBorder="1" applyAlignment="1">
      <alignment horizontal="center" vertical="center" wrapText="1"/>
    </xf>
    <xf numFmtId="10" fontId="36" fillId="37" borderId="31" xfId="2" applyNumberFormat="1" applyFont="1" applyFill="1" applyBorder="1" applyAlignment="1">
      <alignment horizontal="center" vertical="center"/>
    </xf>
    <xf numFmtId="10" fontId="36" fillId="37" borderId="32" xfId="2" applyNumberFormat="1" applyFont="1" applyFill="1" applyBorder="1" applyAlignment="1">
      <alignment horizontal="center" vertical="center"/>
    </xf>
    <xf numFmtId="10" fontId="36" fillId="37" borderId="33" xfId="2" applyNumberFormat="1" applyFont="1" applyFill="1" applyBorder="1" applyAlignment="1">
      <alignment horizontal="center" vertical="center"/>
    </xf>
    <xf numFmtId="10" fontId="36" fillId="37" borderId="103" xfId="2" applyNumberFormat="1" applyFont="1" applyFill="1" applyBorder="1" applyAlignment="1">
      <alignment horizontal="center" vertical="center"/>
    </xf>
    <xf numFmtId="0" fontId="32" fillId="23" borderId="104" xfId="0" applyFont="1" applyFill="1" applyBorder="1" applyAlignment="1">
      <alignment horizontal="center" vertical="center"/>
    </xf>
    <xf numFmtId="43" fontId="35" fillId="37" borderId="23" xfId="1" applyFont="1" applyFill="1" applyBorder="1" applyAlignment="1">
      <alignment vertical="center"/>
    </xf>
    <xf numFmtId="43" fontId="35" fillId="37" borderId="104" xfId="1" applyFont="1" applyFill="1" applyBorder="1" applyAlignment="1">
      <alignment vertical="center"/>
    </xf>
    <xf numFmtId="0" fontId="36" fillId="37" borderId="102" xfId="0" applyFont="1" applyFill="1" applyBorder="1" applyAlignment="1">
      <alignment horizontal="center" vertical="center" wrapText="1"/>
    </xf>
    <xf numFmtId="2" fontId="40" fillId="23" borderId="109" xfId="0" applyNumberFormat="1" applyFont="1" applyFill="1" applyBorder="1" applyAlignment="1">
      <alignment horizontal="center" vertical="center"/>
    </xf>
    <xf numFmtId="2" fontId="32" fillId="23" borderId="109" xfId="0" applyNumberFormat="1" applyFont="1" applyFill="1" applyBorder="1" applyAlignment="1">
      <alignment horizontal="center" vertical="center"/>
    </xf>
    <xf numFmtId="2" fontId="32" fillId="23" borderId="110" xfId="0" applyNumberFormat="1" applyFont="1" applyFill="1" applyBorder="1" applyAlignment="1">
      <alignment horizontal="center" vertical="center"/>
    </xf>
  </cellXfs>
  <cellStyles count="295">
    <cellStyle name="0,0_x000d__x000a_NA_x000d__x000a_" xfId="19"/>
    <cellStyle name="20% - Ênfase1 2" xfId="20"/>
    <cellStyle name="20% - Ênfase1 3" xfId="178"/>
    <cellStyle name="20% - Ênfase1 3 2" xfId="179"/>
    <cellStyle name="20% - Ênfase2 2" xfId="21"/>
    <cellStyle name="20% - Ênfase2 3" xfId="180"/>
    <cellStyle name="20% - Ênfase2 3 2" xfId="181"/>
    <cellStyle name="20% - Ênfase3 2" xfId="22"/>
    <cellStyle name="20% - Ênfase3 3" xfId="182"/>
    <cellStyle name="20% - Ênfase3 3 2" xfId="183"/>
    <cellStyle name="20% - Ênfase4 2" xfId="23"/>
    <cellStyle name="20% - Ênfase4 3" xfId="184"/>
    <cellStyle name="20% - Ênfase4 3 2" xfId="185"/>
    <cellStyle name="20% - Ênfase5 2" xfId="24"/>
    <cellStyle name="20% - Ênfase5 3" xfId="186"/>
    <cellStyle name="20% - Ênfase5 3 2" xfId="187"/>
    <cellStyle name="20% - Ênfase6 2" xfId="25"/>
    <cellStyle name="20% - Ênfase6 3" xfId="188"/>
    <cellStyle name="20% - Ênfase6 3 2" xfId="189"/>
    <cellStyle name="40% - Ênfase1 2" xfId="26"/>
    <cellStyle name="40% - Ênfase1 3" xfId="190"/>
    <cellStyle name="40% - Ênfase1 3 2" xfId="191"/>
    <cellStyle name="40% - Ênfase2 2" xfId="27"/>
    <cellStyle name="40% - Ênfase2 3" xfId="192"/>
    <cellStyle name="40% - Ênfase2 3 2" xfId="193"/>
    <cellStyle name="40% - Ênfase3 2" xfId="28"/>
    <cellStyle name="40% - Ênfase3 3" xfId="194"/>
    <cellStyle name="40% - Ênfase3 3 2" xfId="195"/>
    <cellStyle name="40% - Ênfase4 2" xfId="29"/>
    <cellStyle name="40% - Ênfase4 3" xfId="196"/>
    <cellStyle name="40% - Ênfase4 3 2" xfId="197"/>
    <cellStyle name="40% - Ênfase5 2" xfId="30"/>
    <cellStyle name="40% - Ênfase5 3" xfId="198"/>
    <cellStyle name="40% - Ênfase5 3 2" xfId="199"/>
    <cellStyle name="40% - Ênfase6 2" xfId="31"/>
    <cellStyle name="40% - Ênfase6 3" xfId="200"/>
    <cellStyle name="40% - Ênfase6 3 2" xfId="201"/>
    <cellStyle name="60% - Ênfase1 2" xfId="32"/>
    <cellStyle name="60% - Ênfase1 3" xfId="202"/>
    <cellStyle name="60% - Ênfase2 2" xfId="33"/>
    <cellStyle name="60% - Ênfase2 3" xfId="203"/>
    <cellStyle name="60% - Ênfase3 2" xfId="34"/>
    <cellStyle name="60% - Ênfase3 3" xfId="204"/>
    <cellStyle name="60% - Ênfase4 2" xfId="35"/>
    <cellStyle name="60% - Ênfase4 3" xfId="205"/>
    <cellStyle name="60% - Ênfase5 2" xfId="36"/>
    <cellStyle name="60% - Ênfase5 3" xfId="206"/>
    <cellStyle name="60% - Ênfase6 2" xfId="37"/>
    <cellStyle name="60% - Ênfase6 3" xfId="207"/>
    <cellStyle name="Bom 2" xfId="38"/>
    <cellStyle name="Bom 3" xfId="208"/>
    <cellStyle name="Cálculo 2" xfId="39"/>
    <cellStyle name="Cálculo 3" xfId="209"/>
    <cellStyle name="Célula de Verificação 2" xfId="40"/>
    <cellStyle name="Célula de Verificação 3" xfId="210"/>
    <cellStyle name="Célula Vinculada 2" xfId="41"/>
    <cellStyle name="Célula Vinculada 3" xfId="211"/>
    <cellStyle name="Comma 2" xfId="42"/>
    <cellStyle name="Comma 2 2" xfId="43"/>
    <cellStyle name="Comma 2 2 2" xfId="44"/>
    <cellStyle name="Ênfase1 2" xfId="45"/>
    <cellStyle name="Ênfase1 3" xfId="212"/>
    <cellStyle name="Ênfase2 2" xfId="46"/>
    <cellStyle name="Ênfase2 3" xfId="213"/>
    <cellStyle name="Ênfase3 2" xfId="47"/>
    <cellStyle name="Ênfase3 3" xfId="214"/>
    <cellStyle name="Ênfase4 2" xfId="48"/>
    <cellStyle name="Ênfase4 3" xfId="215"/>
    <cellStyle name="Ênfase5 2" xfId="49"/>
    <cellStyle name="Ênfase5 3" xfId="216"/>
    <cellStyle name="Ênfase6 2" xfId="50"/>
    <cellStyle name="Ênfase6 3" xfId="217"/>
    <cellStyle name="Entrada 2" xfId="51"/>
    <cellStyle name="Entrada 3" xfId="218"/>
    <cellStyle name="Estilo 1" xfId="52"/>
    <cellStyle name="Excel Built-in Normal" xfId="53"/>
    <cellStyle name="Incorreto 2" xfId="219"/>
    <cellStyle name="Incorreto 3" xfId="220"/>
    <cellStyle name="Indefinido" xfId="221"/>
    <cellStyle name="Moeda" xfId="5" builtinId="4"/>
    <cellStyle name="Moeda 2" xfId="7"/>
    <cellStyle name="Moeda 2 2" xfId="55"/>
    <cellStyle name="Moeda 2 2 2" xfId="222"/>
    <cellStyle name="Moeda 2 2 2 2" xfId="223"/>
    <cellStyle name="Moeda 2 2 3" xfId="224"/>
    <cellStyle name="Moeda 2 3" xfId="56"/>
    <cellStyle name="Moeda 2 3 2" xfId="225"/>
    <cellStyle name="Moeda 2 4" xfId="57"/>
    <cellStyle name="Moeda 2 4 2" xfId="226"/>
    <cellStyle name="Moeda 2 5" xfId="227"/>
    <cellStyle name="Moeda 2 6" xfId="54"/>
    <cellStyle name="Moeda 3" xfId="58"/>
    <cellStyle name="Moeda 3 2" xfId="59"/>
    <cellStyle name="Moeda 3 3" xfId="60"/>
    <cellStyle name="Moeda 3 4" xfId="61"/>
    <cellStyle name="Moeda 4" xfId="62"/>
    <cellStyle name="Moeda 4 2" xfId="63"/>
    <cellStyle name="Moeda 4 3" xfId="64"/>
    <cellStyle name="Moeda 4 4" xfId="17"/>
    <cellStyle name="Moeda 5" xfId="65"/>
    <cellStyle name="Moeda 5 2" xfId="66"/>
    <cellStyle name="Moeda 5 2 2" xfId="67"/>
    <cellStyle name="Moeda 5 3" xfId="68"/>
    <cellStyle name="Moeda 6" xfId="69"/>
    <cellStyle name="Moeda 6 2" xfId="70"/>
    <cellStyle name="Moeda 7" xfId="228"/>
    <cellStyle name="Moeda 7 2" xfId="229"/>
    <cellStyle name="Neutra 2" xfId="230"/>
    <cellStyle name="Neutra 3" xfId="231"/>
    <cellStyle name="Normal" xfId="0" builtinId="0"/>
    <cellStyle name="Normal 10" xfId="71"/>
    <cellStyle name="Normal 10 2" xfId="72"/>
    <cellStyle name="Normal 11" xfId="232"/>
    <cellStyle name="Normal 11 2" xfId="233"/>
    <cellStyle name="Normal 11 3 2 2" xfId="73"/>
    <cellStyle name="Normal 11 3 2 2 2" xfId="74"/>
    <cellStyle name="Normal 11 3 3 2" xfId="75"/>
    <cellStyle name="Normal 11 3 3 2 2" xfId="76"/>
    <cellStyle name="Normal 12" xfId="77"/>
    <cellStyle name="Normal 12 3 2 2 2 2" xfId="234"/>
    <cellStyle name="Normal 13" xfId="294"/>
    <cellStyle name="Normal 14" xfId="10"/>
    <cellStyle name="Normal 19" xfId="78"/>
    <cellStyle name="Normal 2" xfId="79"/>
    <cellStyle name="Normal 2 10" xfId="13"/>
    <cellStyle name="Normal 2 2" xfId="80"/>
    <cellStyle name="Normal 2 2 2" xfId="4"/>
    <cellStyle name="Normal 2 2 2 2" xfId="14"/>
    <cellStyle name="Normal 2 2 2 2 2 2" xfId="82"/>
    <cellStyle name="Normal 2 2 2 3" xfId="81"/>
    <cellStyle name="Normal 2 2 3" xfId="83"/>
    <cellStyle name="Normal 2 2 3 2" xfId="84"/>
    <cellStyle name="Normal 2 2 3 3" xfId="85"/>
    <cellStyle name="Normal 2 3" xfId="235"/>
    <cellStyle name="Normal 2 4" xfId="86"/>
    <cellStyle name="Normal 3" xfId="3"/>
    <cellStyle name="Normal 3 2" xfId="88"/>
    <cellStyle name="Normal 3 2 2" xfId="236"/>
    <cellStyle name="Normal 3 3" xfId="237"/>
    <cellStyle name="Normal 3 4" xfId="87"/>
    <cellStyle name="Normal 4" xfId="89"/>
    <cellStyle name="Normal 4 10" xfId="238"/>
    <cellStyle name="Normal 4 10 2" xfId="239"/>
    <cellStyle name="Normal 4 11" xfId="240"/>
    <cellStyle name="Normal 4 2" xfId="90"/>
    <cellStyle name="Normal 4 2 2" xfId="241"/>
    <cellStyle name="Normal 4 2 2 2" xfId="242"/>
    <cellStyle name="Normal 4 2 3" xfId="243"/>
    <cellStyle name="Normal 4 3" xfId="91"/>
    <cellStyle name="Normal 4 3 2" xfId="244"/>
    <cellStyle name="Normal 4 4" xfId="92"/>
    <cellStyle name="Normal 4 4 2" xfId="245"/>
    <cellStyle name="Normal 4 4 2 2" xfId="246"/>
    <cellStyle name="Normal 4 4 3" xfId="247"/>
    <cellStyle name="Normal 4 5" xfId="248"/>
    <cellStyle name="Normal 4 5 2" xfId="249"/>
    <cellStyle name="Normal 4 6" xfId="250"/>
    <cellStyle name="Normal 4 6 2" xfId="251"/>
    <cellStyle name="Normal 4 7" xfId="252"/>
    <cellStyle name="Normal 4 7 2" xfId="253"/>
    <cellStyle name="Normal 4 7 2 2" xfId="254"/>
    <cellStyle name="Normal 4 7 3" xfId="255"/>
    <cellStyle name="Normal 4 7 3 2" xfId="256"/>
    <cellStyle name="Normal 4 7 4" xfId="257"/>
    <cellStyle name="Normal 4 8" xfId="258"/>
    <cellStyle name="Normal 4 8 2" xfId="259"/>
    <cellStyle name="Normal 4 8 2 2" xfId="260"/>
    <cellStyle name="Normal 4 8 3" xfId="261"/>
    <cellStyle name="Normal 4 9" xfId="262"/>
    <cellStyle name="Normal 4 9 2" xfId="263"/>
    <cellStyle name="Normal 40" xfId="93"/>
    <cellStyle name="Normal 40 2" xfId="94"/>
    <cellStyle name="Normal 5" xfId="6"/>
    <cellStyle name="Normal 5 2" xfId="96"/>
    <cellStyle name="Normal 5 2 2" xfId="97"/>
    <cellStyle name="Normal 5 2 3" xfId="98"/>
    <cellStyle name="Normal 5 2 4" xfId="99"/>
    <cellStyle name="Normal 5 3" xfId="100"/>
    <cellStyle name="Normal 5 4" xfId="101"/>
    <cellStyle name="Normal 5 5" xfId="95"/>
    <cellStyle name="Normal 6" xfId="102"/>
    <cellStyle name="Normal 6 2" xfId="103"/>
    <cellStyle name="Normal 6 2 2" xfId="264"/>
    <cellStyle name="Normal 7" xfId="104"/>
    <cellStyle name="Normal 7 2" xfId="105"/>
    <cellStyle name="Normal 7 3" xfId="265"/>
    <cellStyle name="Normal 8" xfId="266"/>
    <cellStyle name="Normal 9" xfId="106"/>
    <cellStyle name="Nota 2" xfId="107"/>
    <cellStyle name="Nota 2 2" xfId="108"/>
    <cellStyle name="Nota 3" xfId="109"/>
    <cellStyle name="Nota 3 2" xfId="110"/>
    <cellStyle name="Nota 4" xfId="267"/>
    <cellStyle name="Nota 4 2" xfId="268"/>
    <cellStyle name="Porcentagem" xfId="2" builtinId="5"/>
    <cellStyle name="Porcentagem 10" xfId="12"/>
    <cellStyle name="Porcentagem 13" xfId="16"/>
    <cellStyle name="Porcentagem 2" xfId="111"/>
    <cellStyle name="Porcentagem 2 2" xfId="112"/>
    <cellStyle name="Porcentagem 3" xfId="8"/>
    <cellStyle name="Porcentagem 3 2" xfId="114"/>
    <cellStyle name="Porcentagem 3 2 2" xfId="115"/>
    <cellStyle name="Porcentagem 3 2 3" xfId="116"/>
    <cellStyle name="Porcentagem 3 3" xfId="117"/>
    <cellStyle name="Porcentagem 3 4" xfId="118"/>
    <cellStyle name="Porcentagem 3 5" xfId="177"/>
    <cellStyle name="Porcentagem 3 6" xfId="113"/>
    <cellStyle name="Porcentagem 4" xfId="119"/>
    <cellStyle name="Porcentagem 4 2" xfId="120"/>
    <cellStyle name="Porcentagem 4 3" xfId="121"/>
    <cellStyle name="Porcentagem 5" xfId="122"/>
    <cellStyle name="Porcentagem 6" xfId="123"/>
    <cellStyle name="Porcentagem 7" xfId="124"/>
    <cellStyle name="Porcentagem 8" xfId="125"/>
    <cellStyle name="Porcentagem 8 2" xfId="126"/>
    <cellStyle name="Porcentagem 9" xfId="127"/>
    <cellStyle name="Porcentagem 9 2" xfId="128"/>
    <cellStyle name="Saída 2" xfId="129"/>
    <cellStyle name="Saída 3" xfId="269"/>
    <cellStyle name="Separador de m" xfId="270"/>
    <cellStyle name="Separador de milhares 12 10 10" xfId="175"/>
    <cellStyle name="Separador de milhares 2" xfId="130"/>
    <cellStyle name="Separador de milhares 2 2" xfId="131"/>
    <cellStyle name="Separador de milhares 2 2 2" xfId="271"/>
    <cellStyle name="Separador de milhares 2 2 2 2" xfId="132"/>
    <cellStyle name="Separador de milhares 2 2 3" xfId="272"/>
    <cellStyle name="Separador de milhares 2 3" xfId="273"/>
    <cellStyle name="Separador de milhares 2 3 2" xfId="274"/>
    <cellStyle name="Separador de milhares 2 3 2 2" xfId="275"/>
    <cellStyle name="Separador de milhares 2 3 2 3" xfId="133"/>
    <cellStyle name="Separador de milhares 2 4" xfId="134"/>
    <cellStyle name="Separador de milhares 3" xfId="135"/>
    <cellStyle name="Separador de milhares 3 2" xfId="136"/>
    <cellStyle name="Separador de milhares 3 2 2" xfId="137"/>
    <cellStyle name="Separador de milhares 3 2 2 2" xfId="138"/>
    <cellStyle name="Separador de milhares 3 2 2 3" xfId="139"/>
    <cellStyle name="Separador de milhares 3 2 3" xfId="140"/>
    <cellStyle name="Separador de milhares 3 2 4" xfId="141"/>
    <cellStyle name="Separador de milhares 3 3" xfId="276"/>
    <cellStyle name="Separador de milhares 4" xfId="142"/>
    <cellStyle name="Separador de milhares 4 2" xfId="143"/>
    <cellStyle name="Separador de milhares 4 3" xfId="144"/>
    <cellStyle name="Separador de milhares 5" xfId="145"/>
    <cellStyle name="Separador de milhares 6" xfId="146"/>
    <cellStyle name="Separador de milhares 8" xfId="147"/>
    <cellStyle name="Separador de milhares 8 2" xfId="277"/>
    <cellStyle name="Separador de milhares 9" xfId="278"/>
    <cellStyle name="Separador de milhares 9 2" xfId="279"/>
    <cellStyle name="Texto de Aviso 2" xfId="148"/>
    <cellStyle name="Texto de Aviso 3" xfId="280"/>
    <cellStyle name="Texto Explicativo 2" xfId="149"/>
    <cellStyle name="Texto Explicativo 3" xfId="281"/>
    <cellStyle name="Título 1 2" xfId="150"/>
    <cellStyle name="Título 1 3" xfId="282"/>
    <cellStyle name="Título 2 2" xfId="151"/>
    <cellStyle name="Título 2 3" xfId="283"/>
    <cellStyle name="Título 3 2" xfId="152"/>
    <cellStyle name="Título 3 3" xfId="284"/>
    <cellStyle name="Título 4 2" xfId="153"/>
    <cellStyle name="Título 4 3" xfId="285"/>
    <cellStyle name="Título 5" xfId="154"/>
    <cellStyle name="Título 6" xfId="286"/>
    <cellStyle name="Total 2" xfId="155"/>
    <cellStyle name="Total 3" xfId="287"/>
    <cellStyle name="Vírgula" xfId="1" builtinId="3"/>
    <cellStyle name="Vírgula 15" xfId="176"/>
    <cellStyle name="Vírgula 19" xfId="15"/>
    <cellStyle name="Vírgula 2" xfId="9"/>
    <cellStyle name="Vírgula 2 2" xfId="157"/>
    <cellStyle name="Vírgula 2 2 2" xfId="158"/>
    <cellStyle name="Vírgula 2 2 2 2" xfId="159"/>
    <cellStyle name="Vírgula 2 2 3" xfId="160"/>
    <cellStyle name="Vírgula 2 3" xfId="161"/>
    <cellStyle name="Vírgula 2 4" xfId="156"/>
    <cellStyle name="Vírgula 3" xfId="162"/>
    <cellStyle name="Vírgula 3 2" xfId="163"/>
    <cellStyle name="Vírgula 3 2 2" xfId="288"/>
    <cellStyle name="Vírgula 3 2 3" xfId="289"/>
    <cellStyle name="Vírgula 3 2 3 2" xfId="290"/>
    <cellStyle name="Vírgula 3 3" xfId="164"/>
    <cellStyle name="Vírgula 3 4" xfId="165"/>
    <cellStyle name="Vírgula 3 5" xfId="166"/>
    <cellStyle name="Vírgula 4" xfId="167"/>
    <cellStyle name="Vírgula 4 2" xfId="291"/>
    <cellStyle name="Vírgula 4 2 2" xfId="292"/>
    <cellStyle name="Vírgula 4 3" xfId="293"/>
    <cellStyle name="Vírgula 5" xfId="168"/>
    <cellStyle name="Vírgula 5 2" xfId="169"/>
    <cellStyle name="Vírgula 6" xfId="170"/>
    <cellStyle name="Vírgula 6 2" xfId="171"/>
    <cellStyle name="Vírgula 7" xfId="172"/>
    <cellStyle name="Vírgula 7 2" xfId="173"/>
    <cellStyle name="Vírgula 8" xfId="18"/>
    <cellStyle name="Vírgula 8 2" xfId="174"/>
    <cellStyle name="Vírgula 9" xfId="11"/>
  </cellStyles>
  <dxfs count="121">
    <dxf>
      <font>
        <color rgb="FFFF0000"/>
      </font>
      <numFmt numFmtId="0" formatCode="General"/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theme="4" tint="0.7999816888943144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theme="4" tint="0.7999816888943144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ont>
        <color rgb="FFFF000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8" tint="0.79998168889431442"/>
      </font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theme="8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jpeg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6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eg"/><Relationship Id="rId1" Type="http://schemas.openxmlformats.org/officeDocument/2006/relationships/image" Target="../media/image2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6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eg"/><Relationship Id="rId1" Type="http://schemas.openxmlformats.org/officeDocument/2006/relationships/image" Target="../media/image23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2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jpeg"/><Relationship Id="rId1" Type="http://schemas.openxmlformats.org/officeDocument/2006/relationships/image" Target="../media/image26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jpeg"/><Relationship Id="rId1" Type="http://schemas.openxmlformats.org/officeDocument/2006/relationships/image" Target="../media/image2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jpeg"/><Relationship Id="rId1" Type="http://schemas.openxmlformats.org/officeDocument/2006/relationships/image" Target="../media/image23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2.jpeg"/><Relationship Id="rId1" Type="http://schemas.openxmlformats.org/officeDocument/2006/relationships/image" Target="../media/image31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jpeg"/><Relationship Id="rId1" Type="http://schemas.openxmlformats.org/officeDocument/2006/relationships/image" Target="../media/image33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jpeg"/><Relationship Id="rId1" Type="http://schemas.openxmlformats.org/officeDocument/2006/relationships/image" Target="../media/image23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644774</xdr:colOff>
      <xdr:row>0</xdr:row>
      <xdr:rowOff>105508</xdr:rowOff>
    </xdr:from>
    <xdr:to>
      <xdr:col>2</xdr:col>
      <xdr:colOff>313936</xdr:colOff>
      <xdr:row>0</xdr:row>
      <xdr:rowOff>492370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A52EFBB-2F0E-2CA1-8D29-F30610122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4774" y="105508"/>
          <a:ext cx="1005593" cy="38686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1301261</xdr:colOff>
      <xdr:row>0</xdr:row>
      <xdr:rowOff>46894</xdr:rowOff>
    </xdr:from>
    <xdr:to>
      <xdr:col>4</xdr:col>
      <xdr:colOff>941989</xdr:colOff>
      <xdr:row>0</xdr:row>
      <xdr:rowOff>518438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FFBB51C-FE08-DD81-08BE-0B29612A8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9523" y="46894"/>
          <a:ext cx="953712" cy="47154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304214</xdr:colOff>
      <xdr:row>2</xdr:row>
      <xdr:rowOff>60960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7296FA-1B6E-4810-9918-7A980CA13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5754" cy="5181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647700</xdr:colOff>
      <xdr:row>0</xdr:row>
      <xdr:rowOff>7620</xdr:rowOff>
    </xdr:from>
    <xdr:to>
      <xdr:col>9</xdr:col>
      <xdr:colOff>981053</xdr:colOff>
      <xdr:row>2</xdr:row>
      <xdr:rowOff>167102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A6D43D6-7093-4F15-B8D4-BF475F754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9120" y="7620"/>
          <a:ext cx="1141073" cy="6166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98615</xdr:colOff>
      <xdr:row>0</xdr:row>
      <xdr:rowOff>80685</xdr:rowOff>
    </xdr:from>
    <xdr:to>
      <xdr:col>2</xdr:col>
      <xdr:colOff>584031</xdr:colOff>
      <xdr:row>0</xdr:row>
      <xdr:rowOff>815791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D7FEAE-C96B-495F-BD52-0177D9F11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15" y="80685"/>
          <a:ext cx="1910804" cy="7351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89654</xdr:colOff>
      <xdr:row>0</xdr:row>
      <xdr:rowOff>26890</xdr:rowOff>
    </xdr:from>
    <xdr:to>
      <xdr:col>7</xdr:col>
      <xdr:colOff>618563</xdr:colOff>
      <xdr:row>0</xdr:row>
      <xdr:rowOff>864037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4966C5E-EAA8-4850-BE68-4036B19EA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9913" y="26890"/>
          <a:ext cx="1685356" cy="8371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43544</xdr:colOff>
      <xdr:row>0</xdr:row>
      <xdr:rowOff>43544</xdr:rowOff>
    </xdr:from>
    <xdr:to>
      <xdr:col>3</xdr:col>
      <xdr:colOff>0</xdr:colOff>
      <xdr:row>0</xdr:row>
      <xdr:rowOff>870857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04B2B7-E8D3-4ABC-8C4F-E55FDF914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44" y="43544"/>
          <a:ext cx="2035627" cy="8273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10885</xdr:colOff>
      <xdr:row>0</xdr:row>
      <xdr:rowOff>97973</xdr:rowOff>
    </xdr:from>
    <xdr:to>
      <xdr:col>14</xdr:col>
      <xdr:colOff>1380558</xdr:colOff>
      <xdr:row>0</xdr:row>
      <xdr:rowOff>838200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1106205-2339-42EE-B2E5-9C7087861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47914" y="97973"/>
          <a:ext cx="1369673" cy="7402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228600</xdr:colOff>
      <xdr:row>0</xdr:row>
      <xdr:rowOff>51372</xdr:rowOff>
    </xdr:from>
    <xdr:to>
      <xdr:col>15</xdr:col>
      <xdr:colOff>929349</xdr:colOff>
      <xdr:row>0</xdr:row>
      <xdr:rowOff>888519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D11635-A0CC-442D-9BE7-B42914817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5575" y="51372"/>
          <a:ext cx="1681824" cy="8371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110447</xdr:rowOff>
    </xdr:from>
    <xdr:to>
      <xdr:col>3</xdr:col>
      <xdr:colOff>31052</xdr:colOff>
      <xdr:row>0</xdr:row>
      <xdr:rowOff>762000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D9F35B2-5DF5-4865-81DF-4E51F872B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447"/>
          <a:ext cx="1697927" cy="65155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1643976</xdr:colOff>
      <xdr:row>0</xdr:row>
      <xdr:rowOff>938051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344D29-CBD4-466A-9C50-C0EE2F9DC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2310726" cy="8904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22</xdr:col>
      <xdr:colOff>247650</xdr:colOff>
      <xdr:row>0</xdr:row>
      <xdr:rowOff>28575</xdr:rowOff>
    </xdr:from>
    <xdr:to>
      <xdr:col>25</xdr:col>
      <xdr:colOff>0</xdr:colOff>
      <xdr:row>0</xdr:row>
      <xdr:rowOff>865722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0624C94-FB93-41AB-BBDE-52F4D88B2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1775" y="28575"/>
          <a:ext cx="1685356" cy="8371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254623</xdr:colOff>
      <xdr:row>0</xdr:row>
      <xdr:rowOff>32428</xdr:rowOff>
    </xdr:from>
    <xdr:to>
      <xdr:col>8</xdr:col>
      <xdr:colOff>773400</xdr:colOff>
      <xdr:row>0</xdr:row>
      <xdr:rowOff>869575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7FE600A-6918-4EE6-9430-49CC2F124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0105" y="32428"/>
          <a:ext cx="1693154" cy="8371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26896</xdr:colOff>
      <xdr:row>0</xdr:row>
      <xdr:rowOff>89650</xdr:rowOff>
    </xdr:from>
    <xdr:to>
      <xdr:col>2</xdr:col>
      <xdr:colOff>637818</xdr:colOff>
      <xdr:row>0</xdr:row>
      <xdr:rowOff>824756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E938EFC-2FB9-42DB-AA63-FE64DF4E6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6" y="89650"/>
          <a:ext cx="1910804" cy="7351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26895</xdr:colOff>
      <xdr:row>0</xdr:row>
      <xdr:rowOff>322731</xdr:rowOff>
    </xdr:from>
    <xdr:to>
      <xdr:col>2</xdr:col>
      <xdr:colOff>499840</xdr:colOff>
      <xdr:row>1</xdr:row>
      <xdr:rowOff>510990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0B442C-9AE3-4466-904A-5216E0261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5" y="322731"/>
          <a:ext cx="1584569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143440</xdr:colOff>
      <xdr:row>0</xdr:row>
      <xdr:rowOff>26895</xdr:rowOff>
    </xdr:from>
    <xdr:to>
      <xdr:col>9</xdr:col>
      <xdr:colOff>842679</xdr:colOff>
      <xdr:row>1</xdr:row>
      <xdr:rowOff>442701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0539C24-398A-4AB5-8B41-526E3E8B2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2899" y="26895"/>
          <a:ext cx="1685356" cy="8371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64807</xdr:colOff>
      <xdr:row>0</xdr:row>
      <xdr:rowOff>28576</xdr:rowOff>
    </xdr:from>
    <xdr:to>
      <xdr:col>14</xdr:col>
      <xdr:colOff>894781</xdr:colOff>
      <xdr:row>1</xdr:row>
      <xdr:rowOff>342901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2FA582D-B3C2-4A1A-B3DD-AEFCCBC31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6007" y="28576"/>
          <a:ext cx="1649124" cy="8191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142875</xdr:rowOff>
    </xdr:from>
    <xdr:to>
      <xdr:col>2</xdr:col>
      <xdr:colOff>508244</xdr:colOff>
      <xdr:row>1</xdr:row>
      <xdr:rowOff>247650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15FB3A4-12C0-44D0-B959-101FF391E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584569" cy="609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307673</xdr:colOff>
      <xdr:row>0</xdr:row>
      <xdr:rowOff>186936</xdr:rowOff>
    </xdr:from>
    <xdr:to>
      <xdr:col>12</xdr:col>
      <xdr:colOff>435427</xdr:colOff>
      <xdr:row>0</xdr:row>
      <xdr:rowOff>1077685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0989297-F0C4-498E-BAC7-F1872A44B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8359" y="186936"/>
          <a:ext cx="1793268" cy="8907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228599</xdr:rowOff>
    </xdr:from>
    <xdr:to>
      <xdr:col>1</xdr:col>
      <xdr:colOff>1532169</xdr:colOff>
      <xdr:row>0</xdr:row>
      <xdr:rowOff>1077686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8493CCE-163F-4CBF-B0EF-F81A3D147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8599"/>
          <a:ext cx="2207083" cy="8490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122948</xdr:colOff>
      <xdr:row>0</xdr:row>
      <xdr:rowOff>37138</xdr:rowOff>
    </xdr:from>
    <xdr:to>
      <xdr:col>2</xdr:col>
      <xdr:colOff>239489</xdr:colOff>
      <xdr:row>1</xdr:row>
      <xdr:rowOff>548516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7618D79-A538-4C77-BAE1-31FB538E0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8" y="37138"/>
          <a:ext cx="2141284" cy="81617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893276</xdr:colOff>
      <xdr:row>0</xdr:row>
      <xdr:rowOff>76200</xdr:rowOff>
    </xdr:from>
    <xdr:to>
      <xdr:col>9</xdr:col>
      <xdr:colOff>2546491</xdr:colOff>
      <xdr:row>1</xdr:row>
      <xdr:rowOff>589079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F022079-0882-493A-B81A-D0E0ACF25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7933" y="76200"/>
          <a:ext cx="1653215" cy="8176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28240</xdr:colOff>
      <xdr:row>0</xdr:row>
      <xdr:rowOff>141644</xdr:rowOff>
    </xdr:from>
    <xdr:to>
      <xdr:col>2</xdr:col>
      <xdr:colOff>501185</xdr:colOff>
      <xdr:row>1</xdr:row>
      <xdr:rowOff>419550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8F6D342-4D7E-4775-9D17-5E4C46ADF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40" y="1330364"/>
          <a:ext cx="1585465" cy="5827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143440</xdr:colOff>
      <xdr:row>0</xdr:row>
      <xdr:rowOff>26895</xdr:rowOff>
    </xdr:from>
    <xdr:to>
      <xdr:col>9</xdr:col>
      <xdr:colOff>842679</xdr:colOff>
      <xdr:row>1</xdr:row>
      <xdr:rowOff>532348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D1140CE-FEA9-4783-81FA-B37C5B1C8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9900" y="26895"/>
          <a:ext cx="1682219" cy="8331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64807</xdr:colOff>
      <xdr:row>0</xdr:row>
      <xdr:rowOff>28576</xdr:rowOff>
    </xdr:from>
    <xdr:to>
      <xdr:col>14</xdr:col>
      <xdr:colOff>894781</xdr:colOff>
      <xdr:row>1</xdr:row>
      <xdr:rowOff>542926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B5F6D2C-1E2C-42CE-9DCF-CD2593FDE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5527" y="28576"/>
          <a:ext cx="1645314" cy="8229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142875</xdr:rowOff>
    </xdr:from>
    <xdr:to>
      <xdr:col>2</xdr:col>
      <xdr:colOff>508244</xdr:colOff>
      <xdr:row>1</xdr:row>
      <xdr:rowOff>447675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05AB728-E45B-45E6-AB93-FD2816ECE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582664" cy="6134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161048</xdr:colOff>
      <xdr:row>0</xdr:row>
      <xdr:rowOff>37138</xdr:rowOff>
    </xdr:from>
    <xdr:to>
      <xdr:col>2</xdr:col>
      <xdr:colOff>508366</xdr:colOff>
      <xdr:row>1</xdr:row>
      <xdr:rowOff>517220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151756-C2CD-44F0-AA59-0774C6049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8" y="1218238"/>
          <a:ext cx="2138018" cy="8134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225166</xdr:colOff>
      <xdr:row>0</xdr:row>
      <xdr:rowOff>42182</xdr:rowOff>
    </xdr:from>
    <xdr:to>
      <xdr:col>9</xdr:col>
      <xdr:colOff>887781</xdr:colOff>
      <xdr:row>1</xdr:row>
      <xdr:rowOff>523765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FD6BA01-242D-4784-86A7-B0A67692A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1791" y="1223282"/>
          <a:ext cx="1653215" cy="8149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236220</xdr:colOff>
      <xdr:row>0</xdr:row>
      <xdr:rowOff>88965</xdr:rowOff>
    </xdr:from>
    <xdr:to>
      <xdr:col>12</xdr:col>
      <xdr:colOff>411480</xdr:colOff>
      <xdr:row>0</xdr:row>
      <xdr:rowOff>902404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69605CF-DDC0-4A46-8B60-FCEBC72F8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1380" y="88965"/>
          <a:ext cx="1638300" cy="8134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69277</xdr:colOff>
      <xdr:row>0</xdr:row>
      <xdr:rowOff>174170</xdr:rowOff>
    </xdr:from>
    <xdr:to>
      <xdr:col>1</xdr:col>
      <xdr:colOff>1493785</xdr:colOff>
      <xdr:row>0</xdr:row>
      <xdr:rowOff>899160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90E7752-33CD-4746-AA00-EDE09DA31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7" y="174170"/>
          <a:ext cx="1881708" cy="7249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28240</xdr:colOff>
      <xdr:row>0</xdr:row>
      <xdr:rowOff>141644</xdr:rowOff>
    </xdr:from>
    <xdr:to>
      <xdr:col>2</xdr:col>
      <xdr:colOff>501185</xdr:colOff>
      <xdr:row>1</xdr:row>
      <xdr:rowOff>526230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507782-8264-4442-B12D-D42A7C156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40" y="141644"/>
          <a:ext cx="1585465" cy="5827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143440</xdr:colOff>
      <xdr:row>0</xdr:row>
      <xdr:rowOff>26895</xdr:rowOff>
    </xdr:from>
    <xdr:to>
      <xdr:col>9</xdr:col>
      <xdr:colOff>835059</xdr:colOff>
      <xdr:row>1</xdr:row>
      <xdr:rowOff>612358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31ECFD6-EBD6-4F46-AD93-EB83E7A9C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9900" y="26895"/>
          <a:ext cx="1682219" cy="81025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64807</xdr:colOff>
      <xdr:row>0</xdr:row>
      <xdr:rowOff>28576</xdr:rowOff>
    </xdr:from>
    <xdr:to>
      <xdr:col>14</xdr:col>
      <xdr:colOff>894781</xdr:colOff>
      <xdr:row>1</xdr:row>
      <xdr:rowOff>647701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B2D6197-87D4-4B24-AFB1-7B460646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47" y="28576"/>
          <a:ext cx="1645314" cy="8153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142875</xdr:rowOff>
    </xdr:from>
    <xdr:to>
      <xdr:col>2</xdr:col>
      <xdr:colOff>508244</xdr:colOff>
      <xdr:row>1</xdr:row>
      <xdr:rowOff>556260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3CB8936-E053-4885-8FBC-9FCEE2D57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582664" cy="6057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122948</xdr:colOff>
      <xdr:row>0</xdr:row>
      <xdr:rowOff>37138</xdr:rowOff>
    </xdr:from>
    <xdr:to>
      <xdr:col>2</xdr:col>
      <xdr:colOff>439786</xdr:colOff>
      <xdr:row>1</xdr:row>
      <xdr:rowOff>660095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F42081A-68EA-4CC2-9E06-76308A07B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8" y="37138"/>
          <a:ext cx="2138018" cy="8134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225166</xdr:colOff>
      <xdr:row>0</xdr:row>
      <xdr:rowOff>42182</xdr:rowOff>
    </xdr:from>
    <xdr:to>
      <xdr:col>9</xdr:col>
      <xdr:colOff>887781</xdr:colOff>
      <xdr:row>1</xdr:row>
      <xdr:rowOff>666640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48E7B74-5110-4844-85ED-DBD5243B6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4186" y="42182"/>
          <a:ext cx="1653215" cy="8149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167640</xdr:rowOff>
    </xdr:from>
    <xdr:to>
      <xdr:col>2</xdr:col>
      <xdr:colOff>629587</xdr:colOff>
      <xdr:row>0</xdr:row>
      <xdr:rowOff>1293902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605C06E-B712-4ED1-BD67-4E51DBED2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167640"/>
          <a:ext cx="2923207" cy="112626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236220</xdr:colOff>
      <xdr:row>0</xdr:row>
      <xdr:rowOff>68580</xdr:rowOff>
    </xdr:from>
    <xdr:to>
      <xdr:col>20</xdr:col>
      <xdr:colOff>446871</xdr:colOff>
      <xdr:row>0</xdr:row>
      <xdr:rowOff>1383871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65805A6D-F834-41C3-BFF0-7A3A0BCA8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68580"/>
          <a:ext cx="2649051" cy="13152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28240</xdr:colOff>
      <xdr:row>0</xdr:row>
      <xdr:rowOff>141644</xdr:rowOff>
    </xdr:from>
    <xdr:to>
      <xdr:col>2</xdr:col>
      <xdr:colOff>501185</xdr:colOff>
      <xdr:row>1</xdr:row>
      <xdr:rowOff>484320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50250DB-2255-48AA-8563-C24C92B61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40" y="141644"/>
          <a:ext cx="1585465" cy="5598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143440</xdr:colOff>
      <xdr:row>0</xdr:row>
      <xdr:rowOff>26895</xdr:rowOff>
    </xdr:from>
    <xdr:to>
      <xdr:col>9</xdr:col>
      <xdr:colOff>835059</xdr:colOff>
      <xdr:row>1</xdr:row>
      <xdr:rowOff>543778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6F4CAC-5D57-49C9-88C4-1DC865287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5140" y="26895"/>
          <a:ext cx="1682219" cy="7607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64807</xdr:colOff>
      <xdr:row>0</xdr:row>
      <xdr:rowOff>28576</xdr:rowOff>
    </xdr:from>
    <xdr:to>
      <xdr:col>14</xdr:col>
      <xdr:colOff>894781</xdr:colOff>
      <xdr:row>1</xdr:row>
      <xdr:rowOff>642621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87AE1D-D83C-46CE-9B9E-0762511E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47" y="28576"/>
          <a:ext cx="1645314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142875</xdr:rowOff>
    </xdr:from>
    <xdr:to>
      <xdr:col>2</xdr:col>
      <xdr:colOff>508244</xdr:colOff>
      <xdr:row>1</xdr:row>
      <xdr:rowOff>554567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3E686BA-5AD9-49E5-9C04-E1B40A4B2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582664" cy="6038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122948</xdr:colOff>
      <xdr:row>0</xdr:row>
      <xdr:rowOff>37138</xdr:rowOff>
    </xdr:from>
    <xdr:to>
      <xdr:col>2</xdr:col>
      <xdr:colOff>432166</xdr:colOff>
      <xdr:row>1</xdr:row>
      <xdr:rowOff>675335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8A0E38F-5C50-44B9-ADDD-9B99213E4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8" y="37138"/>
          <a:ext cx="2138018" cy="8134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202306</xdr:colOff>
      <xdr:row>0</xdr:row>
      <xdr:rowOff>42182</xdr:rowOff>
    </xdr:from>
    <xdr:to>
      <xdr:col>9</xdr:col>
      <xdr:colOff>910641</xdr:colOff>
      <xdr:row>1</xdr:row>
      <xdr:rowOff>681880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B176D6E-CCDE-40D0-A36F-B3E2DE20F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4106" y="42182"/>
          <a:ext cx="1653215" cy="81495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161925</xdr:rowOff>
    </xdr:from>
    <xdr:to>
      <xdr:col>2</xdr:col>
      <xdr:colOff>627682</xdr:colOff>
      <xdr:row>0</xdr:row>
      <xdr:rowOff>1288187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58F8A4D-2956-4C35-99B2-82B1E3096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1925"/>
          <a:ext cx="2923207" cy="112626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19050</xdr:colOff>
      <xdr:row>0</xdr:row>
      <xdr:rowOff>66675</xdr:rowOff>
    </xdr:from>
    <xdr:to>
      <xdr:col>12</xdr:col>
      <xdr:colOff>638175</xdr:colOff>
      <xdr:row>0</xdr:row>
      <xdr:rowOff>1381966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94BBA5B-89B1-4318-8188-17E68D0F3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0550" y="66675"/>
          <a:ext cx="2647950" cy="13152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OS\BACKUP%2001\PREFEITURA\SEINFRAMH\TR%20AV.%20DOS%20TAP&#218;IOS\PLANILHA%20E%20CRONOGRAMA%20%20AV.%20TAP&#218;I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Cronograma"/>
    </sheetNames>
    <sheetDataSet>
      <sheetData sheetId="0">
        <row r="75">
          <cell r="M75">
            <v>30832.77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4"/>
  <sheetViews>
    <sheetView topLeftCell="B1" zoomScale="130" zoomScaleNormal="130" workbookViewId="0">
      <selection activeCell="B13" sqref="B1:E14"/>
    </sheetView>
  </sheetViews>
  <sheetFormatPr defaultRowHeight="14.25"/>
  <cols>
    <col min="3" max="3" width="34.5" customWidth="1"/>
    <col min="4" max="4" width="17.25" customWidth="1"/>
    <col min="5" max="5" width="12.625" bestFit="1" customWidth="1"/>
    <col min="6" max="6" width="15.25" customWidth="1"/>
  </cols>
  <sheetData>
    <row r="1" spans="2:6" ht="55.15" customHeight="1" thickBot="1">
      <c r="B1" s="762"/>
      <c r="C1" s="818" t="s">
        <v>742</v>
      </c>
      <c r="D1" s="818"/>
      <c r="E1" s="764"/>
    </row>
    <row r="2" spans="2:6" ht="15" thickBot="1">
      <c r="B2" s="821" t="s">
        <v>547</v>
      </c>
      <c r="C2" s="822" t="s">
        <v>550</v>
      </c>
      <c r="D2" s="822" t="s">
        <v>602</v>
      </c>
      <c r="E2" s="823" t="s">
        <v>685</v>
      </c>
    </row>
    <row r="3" spans="2:6" ht="15" thickBot="1">
      <c r="B3" s="821"/>
      <c r="C3" s="822"/>
      <c r="D3" s="822"/>
      <c r="E3" s="823"/>
    </row>
    <row r="4" spans="2:6" ht="15" thickBot="1">
      <c r="B4" s="691">
        <v>1</v>
      </c>
      <c r="C4" s="321" t="str">
        <f>VLOOKUP(B4,'PLANILHA CONSOLIDADA'!$A:$P,4,0)</f>
        <v>SERVIÇOS PRELIMINARES</v>
      </c>
      <c r="D4" s="322">
        <f>VLOOKUP(B4,'PLANILHA CONSOLIDADA'!$A:$P,16,0)</f>
        <v>138669.8763631825</v>
      </c>
      <c r="E4" s="692">
        <f>D4/$D$12</f>
        <v>4.3064303313421905E-2</v>
      </c>
      <c r="F4" s="81"/>
    </row>
    <row r="5" spans="2:6" ht="15" thickBot="1">
      <c r="B5" s="691">
        <v>2</v>
      </c>
      <c r="C5" s="321" t="str">
        <f>VLOOKUP(B5,'PLANILHA CONSOLIDADA'!$A:$P,4,0)</f>
        <v>TERRAPLENAGEM</v>
      </c>
      <c r="D5" s="322">
        <f>VLOOKUP(B5,'PLANILHA CONSOLIDADA'!$A:$P,16,0)</f>
        <v>367290.28</v>
      </c>
      <c r="E5" s="692">
        <f t="shared" ref="E5:E11" si="0">D5/$D$12</f>
        <v>0.11406298495980467</v>
      </c>
      <c r="F5" s="81"/>
    </row>
    <row r="6" spans="2:6" ht="15" thickBot="1">
      <c r="B6" s="691">
        <v>3</v>
      </c>
      <c r="C6" s="321" t="str">
        <f>VLOOKUP(B6,'PLANILHA CONSOLIDADA'!$A:$P,4,0)</f>
        <v>PAVIMENTO</v>
      </c>
      <c r="D6" s="322">
        <f>VLOOKUP(B6,'PLANILHA CONSOLIDADA'!$A:$P,16,0)</f>
        <v>1966917.0000000002</v>
      </c>
      <c r="E6" s="692">
        <f t="shared" si="0"/>
        <v>0.61083136800729965</v>
      </c>
      <c r="F6" s="81"/>
    </row>
    <row r="7" spans="2:6" ht="15" thickBot="1">
      <c r="B7" s="691">
        <v>4</v>
      </c>
      <c r="C7" s="321" t="str">
        <f>VLOOKUP(B7,'PLANILHA CONSOLIDADA'!$A:$P,4,0)</f>
        <v>MEIO FIO E SARJETA</v>
      </c>
      <c r="D7" s="322">
        <f>VLOOKUP(B7,'PLANILHA CONSOLIDADA'!$A:$P,16,0)</f>
        <v>245324.06</v>
      </c>
      <c r="E7" s="692">
        <f t="shared" si="0"/>
        <v>7.6186047085314151E-2</v>
      </c>
      <c r="F7" s="81"/>
    </row>
    <row r="8" spans="2:6" ht="15" thickBot="1">
      <c r="B8" s="691">
        <v>5</v>
      </c>
      <c r="C8" s="321" t="str">
        <f>VLOOKUP(B8,'PLANILHA CONSOLIDADA'!$A:$P,4,0)</f>
        <v>PASSEIO</v>
      </c>
      <c r="D8" s="322">
        <f>VLOOKUP(B8,'PLANILHA CONSOLIDADA'!$A:$P,16,0)</f>
        <v>270111.96000000002</v>
      </c>
      <c r="E8" s="692">
        <f t="shared" si="0"/>
        <v>8.3883996143168729E-2</v>
      </c>
      <c r="F8" s="81"/>
    </row>
    <row r="9" spans="2:6" ht="15" thickBot="1">
      <c r="B9" s="691">
        <v>6</v>
      </c>
      <c r="C9" s="321" t="str">
        <f>VLOOKUP(B9,'PLANILHA CONSOLIDADA'!$A:$P,4,0)</f>
        <v>SINALIZAÇÃO</v>
      </c>
      <c r="D9" s="322">
        <f>VLOOKUP(B9,'PLANILHA CONSOLIDADA'!$A:$P,16,0)</f>
        <v>49351.199999999997</v>
      </c>
      <c r="E9" s="692">
        <f t="shared" si="0"/>
        <v>1.5326147981232479E-2</v>
      </c>
      <c r="F9" s="81"/>
    </row>
    <row r="10" spans="2:6" ht="15" thickBot="1">
      <c r="B10" s="691">
        <v>7</v>
      </c>
      <c r="C10" s="321" t="str">
        <f>VLOOKUP(B10,'PLANILHA CONSOLIDADA'!$A:$P,4,0)</f>
        <v>ADMINISTRAÇÃO</v>
      </c>
      <c r="D10" s="322">
        <f>VLOOKUP(B10,'PLANILHA CONSOLIDADA'!$A:$P,16,0)</f>
        <v>182401.1</v>
      </c>
      <c r="E10" s="692">
        <f t="shared" si="0"/>
        <v>5.6645152509758295E-2</v>
      </c>
      <c r="F10" s="81"/>
    </row>
    <row r="11" spans="2:6" ht="15" hidden="1" thickBot="1">
      <c r="B11" s="691">
        <v>8</v>
      </c>
      <c r="C11" s="321" t="str">
        <f>VLOOKUP(B11,'PLANILHA CONSOLIDADA'!$A:$P,4,0)</f>
        <v>PAISAGISMO</v>
      </c>
      <c r="D11" s="322">
        <f>VLOOKUP(B11,'PLANILHA CONSOLIDADA'!$A:$P,16,0)</f>
        <v>0</v>
      </c>
      <c r="E11" s="692">
        <f t="shared" si="0"/>
        <v>0</v>
      </c>
      <c r="F11" s="81"/>
    </row>
    <row r="12" spans="2:6" ht="15">
      <c r="B12" s="693"/>
      <c r="C12" s="694" t="s">
        <v>539</v>
      </c>
      <c r="D12" s="695">
        <f>SUM(D4:D11)</f>
        <v>3220065.476363183</v>
      </c>
      <c r="E12" s="696">
        <f>SUM(E4:E11)</f>
        <v>1</v>
      </c>
      <c r="F12" s="81"/>
    </row>
    <row r="13" spans="2:6" ht="12.6" customHeight="1">
      <c r="B13" s="819" t="s">
        <v>743</v>
      </c>
      <c r="C13" s="819"/>
      <c r="D13" s="819"/>
      <c r="E13" s="819"/>
    </row>
    <row r="14" spans="2:6">
      <c r="B14" s="820"/>
      <c r="C14" s="820"/>
      <c r="D14" s="820"/>
      <c r="E14" s="820"/>
    </row>
  </sheetData>
  <mergeCells count="6">
    <mergeCell ref="C1:D1"/>
    <mergeCell ref="B13:E14"/>
    <mergeCell ref="B2:B3"/>
    <mergeCell ref="C2:C3"/>
    <mergeCell ref="D2:D3"/>
    <mergeCell ref="E2:E3"/>
  </mergeCells>
  <conditionalFormatting sqref="C2">
    <cfRule type="duplicateValues" dxfId="120" priority="1"/>
  </conditionalFormatting>
  <pageMargins left="1.1811023622047243" right="0.98425196850393704" top="0.78740157480314965" bottom="0.78740157480314965" header="0.39370078740157483" footer="0.31496062992125984"/>
  <pageSetup paperSize="9" scale="87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>
      <selection activeCell="J22" sqref="A1:J22"/>
    </sheetView>
  </sheetViews>
  <sheetFormatPr defaultRowHeight="14.25"/>
  <cols>
    <col min="1" max="1" width="11.75" customWidth="1"/>
    <col min="2" max="2" width="18.375" customWidth="1"/>
    <col min="3" max="3" width="12.5" customWidth="1"/>
    <col min="4" max="4" width="12.125" customWidth="1"/>
    <col min="5" max="5" width="9.625" customWidth="1"/>
    <col min="6" max="6" width="7.625" customWidth="1"/>
    <col min="7" max="7" width="17.75" customWidth="1"/>
    <col min="8" max="8" width="9.375" customWidth="1"/>
    <col min="9" max="9" width="10.625" customWidth="1"/>
    <col min="10" max="10" width="13.125" customWidth="1"/>
  </cols>
  <sheetData>
    <row r="1" spans="1:14" ht="21" customHeight="1">
      <c r="A1" s="768"/>
      <c r="B1" s="834" t="s">
        <v>776</v>
      </c>
      <c r="C1" s="834"/>
      <c r="D1" s="834"/>
      <c r="E1" s="834"/>
      <c r="F1" s="834"/>
      <c r="G1" s="834"/>
      <c r="H1" s="834"/>
      <c r="I1" s="768"/>
    </row>
    <row r="2" spans="1:14" ht="15" customHeight="1">
      <c r="A2" s="773" t="s">
        <v>772</v>
      </c>
      <c r="B2" s="834"/>
      <c r="C2" s="834"/>
      <c r="D2" s="834"/>
      <c r="E2" s="834"/>
      <c r="F2" s="834"/>
      <c r="G2" s="834"/>
      <c r="H2" s="834"/>
      <c r="I2" s="773"/>
    </row>
    <row r="3" spans="1:14">
      <c r="A3" s="827" t="s">
        <v>773</v>
      </c>
      <c r="B3" s="827"/>
      <c r="C3" s="827"/>
      <c r="D3" s="827"/>
      <c r="E3" s="827"/>
      <c r="F3" s="827"/>
      <c r="G3" s="827"/>
      <c r="H3" s="827"/>
      <c r="I3" s="827"/>
    </row>
    <row r="4" spans="1:14" ht="18.600000000000001" customHeight="1" thickBot="1">
      <c r="A4" s="833" t="s">
        <v>750</v>
      </c>
      <c r="B4" s="833"/>
      <c r="C4" s="833"/>
      <c r="D4" s="833"/>
      <c r="E4" s="833"/>
      <c r="F4" s="833"/>
      <c r="G4" s="833"/>
      <c r="H4" s="833"/>
      <c r="I4" s="833"/>
      <c r="J4" s="833"/>
    </row>
    <row r="5" spans="1:14" ht="15" thickBot="1">
      <c r="A5" s="836" t="s">
        <v>782</v>
      </c>
      <c r="B5" s="837"/>
      <c r="C5" s="837"/>
      <c r="D5" s="837"/>
      <c r="E5" s="838"/>
      <c r="F5" s="836" t="s">
        <v>783</v>
      </c>
      <c r="G5" s="837"/>
      <c r="H5" s="837"/>
      <c r="I5" s="837"/>
      <c r="J5" s="838"/>
    </row>
    <row r="6" spans="1:14" ht="45" customHeight="1" thickBot="1">
      <c r="A6" s="799" t="s">
        <v>751</v>
      </c>
      <c r="B6" s="800" t="s">
        <v>547</v>
      </c>
      <c r="C6" s="801" t="s">
        <v>769</v>
      </c>
      <c r="D6" s="801" t="s">
        <v>770</v>
      </c>
      <c r="E6" s="802" t="s">
        <v>771</v>
      </c>
      <c r="F6" s="799" t="s">
        <v>751</v>
      </c>
      <c r="G6" s="800" t="s">
        <v>547</v>
      </c>
      <c r="H6" s="801" t="s">
        <v>769</v>
      </c>
      <c r="I6" s="801" t="s">
        <v>770</v>
      </c>
      <c r="J6" s="802" t="s">
        <v>771</v>
      </c>
    </row>
    <row r="7" spans="1:14" ht="45.6" customHeight="1" thickBot="1">
      <c r="A7" s="783" t="s">
        <v>752</v>
      </c>
      <c r="B7" s="784" t="s">
        <v>753</v>
      </c>
      <c r="C7" s="797">
        <v>3.7999999999999999E-2</v>
      </c>
      <c r="D7" s="793">
        <v>3.9E-2</v>
      </c>
      <c r="E7" s="798">
        <v>4.6699999999999998E-2</v>
      </c>
      <c r="F7" s="783" t="s">
        <v>752</v>
      </c>
      <c r="G7" s="784" t="s">
        <v>753</v>
      </c>
      <c r="H7" s="797">
        <v>1.4999999999999999E-2</v>
      </c>
      <c r="I7" s="793">
        <v>0.03</v>
      </c>
      <c r="J7" s="798">
        <v>4.4900000000000002E-2</v>
      </c>
    </row>
    <row r="8" spans="1:14" ht="30.6" customHeight="1" thickBot="1">
      <c r="A8" s="783" t="s">
        <v>754</v>
      </c>
      <c r="B8" s="784" t="s">
        <v>755</v>
      </c>
      <c r="C8" s="797">
        <v>1.0200000000000001E-2</v>
      </c>
      <c r="D8" s="793">
        <v>1.0999999999999999E-2</v>
      </c>
      <c r="E8" s="798">
        <v>1.21E-2</v>
      </c>
      <c r="F8" s="783" t="s">
        <v>754</v>
      </c>
      <c r="G8" s="784" t="s">
        <v>755</v>
      </c>
      <c r="H8" s="797">
        <v>8.5000000000000006E-3</v>
      </c>
      <c r="I8" s="793">
        <v>9.4999999999999998E-3</v>
      </c>
      <c r="J8" s="798">
        <v>1.11E-2</v>
      </c>
      <c r="N8" s="769"/>
    </row>
    <row r="9" spans="1:14" ht="15" thickBot="1">
      <c r="A9" s="783" t="s">
        <v>756</v>
      </c>
      <c r="B9" s="784" t="s">
        <v>757</v>
      </c>
      <c r="C9" s="797">
        <v>5.0000000000000001E-3</v>
      </c>
      <c r="D9" s="793">
        <v>7.0000000000000001E-3</v>
      </c>
      <c r="E9" s="798">
        <v>9.7000000000000003E-3</v>
      </c>
      <c r="F9" s="783" t="s">
        <v>756</v>
      </c>
      <c r="G9" s="784" t="s">
        <v>757</v>
      </c>
      <c r="H9" s="797">
        <v>5.5999999999999999E-3</v>
      </c>
      <c r="I9" s="793">
        <v>5.5999999999999999E-3</v>
      </c>
      <c r="J9" s="798">
        <v>8.8999999999999999E-3</v>
      </c>
    </row>
    <row r="10" spans="1:14" ht="30.6" customHeight="1" thickBot="1">
      <c r="A10" s="783" t="s">
        <v>758</v>
      </c>
      <c r="B10" s="784" t="s">
        <v>759</v>
      </c>
      <c r="C10" s="797">
        <v>3.2000000000000002E-3</v>
      </c>
      <c r="D10" s="793">
        <v>6.4000000000000003E-3</v>
      </c>
      <c r="E10" s="798">
        <v>7.4000000000000003E-3</v>
      </c>
      <c r="F10" s="783" t="s">
        <v>758</v>
      </c>
      <c r="G10" s="784" t="s">
        <v>759</v>
      </c>
      <c r="H10" s="797">
        <v>3.0000000000000001E-3</v>
      </c>
      <c r="I10" s="793">
        <v>3.2000000000000002E-3</v>
      </c>
      <c r="J10" s="798">
        <v>8.2000000000000007E-3</v>
      </c>
    </row>
    <row r="11" spans="1:14" ht="15" thickBot="1">
      <c r="A11" s="783" t="s">
        <v>288</v>
      </c>
      <c r="B11" s="784" t="s">
        <v>760</v>
      </c>
      <c r="C11" s="797">
        <v>6.6400000000000001E-2</v>
      </c>
      <c r="D11" s="793">
        <v>7.9799999999999996E-2</v>
      </c>
      <c r="E11" s="798">
        <v>8.6900000000000005E-2</v>
      </c>
      <c r="F11" s="783" t="s">
        <v>288</v>
      </c>
      <c r="G11" s="784" t="s">
        <v>760</v>
      </c>
      <c r="H11" s="797">
        <v>3.5000000000000003E-2</v>
      </c>
      <c r="I11" s="793">
        <v>5.5399999999999998E-2</v>
      </c>
      <c r="J11" s="798">
        <v>6.2199999999999998E-2</v>
      </c>
    </row>
    <row r="12" spans="1:14" ht="30.6" customHeight="1" thickBot="1">
      <c r="A12" s="783" t="s">
        <v>306</v>
      </c>
      <c r="B12" s="784" t="s">
        <v>761</v>
      </c>
      <c r="C12" s="785"/>
      <c r="D12" s="796">
        <v>6.6500000000000004E-2</v>
      </c>
      <c r="E12" s="788"/>
      <c r="F12" s="783" t="s">
        <v>306</v>
      </c>
      <c r="G12" s="784" t="s">
        <v>761</v>
      </c>
      <c r="H12" s="785"/>
      <c r="I12" s="796">
        <v>3.6499999999999998E-2</v>
      </c>
      <c r="J12" s="788"/>
    </row>
    <row r="13" spans="1:14" ht="15" thickBot="1">
      <c r="A13" s="786"/>
      <c r="B13" s="787" t="s">
        <v>762</v>
      </c>
      <c r="C13" s="785"/>
      <c r="D13" s="794">
        <v>0.03</v>
      </c>
      <c r="E13" s="788"/>
      <c r="F13" s="786"/>
      <c r="G13" s="787" t="s">
        <v>762</v>
      </c>
      <c r="H13" s="785"/>
      <c r="I13" s="794">
        <v>0.03</v>
      </c>
      <c r="J13" s="788"/>
    </row>
    <row r="14" spans="1:14" ht="15" thickBot="1">
      <c r="A14" s="786"/>
      <c r="B14" s="787" t="s">
        <v>749</v>
      </c>
      <c r="C14" s="785"/>
      <c r="D14" s="794">
        <v>6.4999999999999997E-3</v>
      </c>
      <c r="E14" s="788"/>
      <c r="F14" s="786"/>
      <c r="G14" s="787" t="s">
        <v>749</v>
      </c>
      <c r="H14" s="785"/>
      <c r="I14" s="794">
        <v>6.4999999999999997E-3</v>
      </c>
      <c r="J14" s="788"/>
    </row>
    <row r="15" spans="1:14">
      <c r="A15" s="790"/>
      <c r="B15" s="791" t="s">
        <v>748</v>
      </c>
      <c r="C15" s="792"/>
      <c r="D15" s="795">
        <v>0.03</v>
      </c>
      <c r="E15" s="789"/>
      <c r="F15" s="790"/>
      <c r="G15" s="791" t="s">
        <v>748</v>
      </c>
      <c r="H15" s="792"/>
      <c r="I15" s="795">
        <v>0</v>
      </c>
      <c r="J15" s="789"/>
    </row>
    <row r="16" spans="1:14">
      <c r="A16" s="774"/>
      <c r="B16" s="770" t="s">
        <v>763</v>
      </c>
      <c r="C16" s="771"/>
      <c r="D16" s="772">
        <f>D12+D11+D10+D9+D8+D7</f>
        <v>0.2097</v>
      </c>
      <c r="E16" s="775"/>
      <c r="F16" s="774"/>
      <c r="G16" s="770" t="s">
        <v>763</v>
      </c>
      <c r="H16" s="771"/>
      <c r="I16" s="772">
        <f>I12+I11+I10+I9+I8+I7</f>
        <v>0.14019999999999999</v>
      </c>
      <c r="J16" s="775"/>
    </row>
    <row r="17" spans="1:10" ht="15.6" customHeight="1" thickBot="1">
      <c r="A17" s="830" t="s">
        <v>764</v>
      </c>
      <c r="B17" s="831"/>
      <c r="C17" s="831"/>
      <c r="D17" s="831"/>
      <c r="E17" s="832"/>
      <c r="F17" s="830" t="s">
        <v>764</v>
      </c>
      <c r="G17" s="831"/>
      <c r="H17" s="831"/>
      <c r="I17" s="831"/>
      <c r="J17" s="832"/>
    </row>
    <row r="18" spans="1:10" ht="30.6" customHeight="1" thickBot="1">
      <c r="A18" s="828" t="s">
        <v>765</v>
      </c>
      <c r="B18" s="839" t="s">
        <v>766</v>
      </c>
      <c r="C18" s="839"/>
      <c r="D18" s="839"/>
      <c r="E18" s="840">
        <v>-1</v>
      </c>
      <c r="F18" s="828" t="s">
        <v>765</v>
      </c>
      <c r="G18" s="839" t="s">
        <v>766</v>
      </c>
      <c r="H18" s="839"/>
      <c r="I18" s="839"/>
      <c r="J18" s="840">
        <v>-1</v>
      </c>
    </row>
    <row r="19" spans="1:10" ht="15.6" customHeight="1" thickBot="1">
      <c r="A19" s="829"/>
      <c r="B19" s="839" t="s">
        <v>767</v>
      </c>
      <c r="C19" s="839"/>
      <c r="D19" s="839"/>
      <c r="E19" s="841"/>
      <c r="F19" s="829"/>
      <c r="G19" s="839" t="s">
        <v>767</v>
      </c>
      <c r="H19" s="839"/>
      <c r="I19" s="839"/>
      <c r="J19" s="841"/>
    </row>
    <row r="20" spans="1:10" ht="15" customHeight="1">
      <c r="A20" s="824" t="s">
        <v>768</v>
      </c>
      <c r="B20" s="825"/>
      <c r="C20" s="825"/>
      <c r="D20" s="825"/>
      <c r="E20" s="826"/>
      <c r="F20" s="824" t="s">
        <v>768</v>
      </c>
      <c r="G20" s="825"/>
      <c r="H20" s="825"/>
      <c r="I20" s="825"/>
      <c r="J20" s="826"/>
    </row>
    <row r="21" spans="1:10" ht="30" customHeight="1">
      <c r="A21" s="776" t="s">
        <v>769</v>
      </c>
      <c r="B21" s="825" t="s">
        <v>784</v>
      </c>
      <c r="C21" s="825"/>
      <c r="D21" s="825"/>
      <c r="E21" s="777" t="s">
        <v>771</v>
      </c>
      <c r="F21" s="776" t="s">
        <v>769</v>
      </c>
      <c r="G21" s="825" t="s">
        <v>784</v>
      </c>
      <c r="H21" s="825"/>
      <c r="I21" s="825"/>
      <c r="J21" s="777" t="s">
        <v>771</v>
      </c>
    </row>
    <row r="22" spans="1:10" ht="15" customHeight="1" thickBot="1">
      <c r="A22" s="778">
        <v>0.19600000000000001</v>
      </c>
      <c r="B22" s="842">
        <v>0.2097</v>
      </c>
      <c r="C22" s="842"/>
      <c r="D22" s="842"/>
      <c r="E22" s="779">
        <v>0.24229999999999999</v>
      </c>
      <c r="F22" s="778">
        <v>0.111</v>
      </c>
      <c r="G22" s="835">
        <v>0.14019999999999999</v>
      </c>
      <c r="H22" s="835"/>
      <c r="I22" s="835"/>
      <c r="J22" s="779">
        <v>0.16800000000000001</v>
      </c>
    </row>
    <row r="23" spans="1:10" ht="15" customHeight="1"/>
  </sheetData>
  <mergeCells count="21">
    <mergeCell ref="B1:H2"/>
    <mergeCell ref="G22:I22"/>
    <mergeCell ref="F5:J5"/>
    <mergeCell ref="G18:I18"/>
    <mergeCell ref="G19:I19"/>
    <mergeCell ref="J18:J19"/>
    <mergeCell ref="A5:E5"/>
    <mergeCell ref="F18:F19"/>
    <mergeCell ref="A17:E17"/>
    <mergeCell ref="A20:E20"/>
    <mergeCell ref="B21:D21"/>
    <mergeCell ref="B22:D22"/>
    <mergeCell ref="B18:D18"/>
    <mergeCell ref="B19:D19"/>
    <mergeCell ref="E18:E19"/>
    <mergeCell ref="F20:J20"/>
    <mergeCell ref="G21:I21"/>
    <mergeCell ref="A3:I3"/>
    <mergeCell ref="A18:A19"/>
    <mergeCell ref="F17:J17"/>
    <mergeCell ref="A4:J4"/>
  </mergeCells>
  <pageMargins left="0.511811024" right="0.511811024" top="0.78740157499999996" bottom="0.78740157499999996" header="0.31496062000000002" footer="0.31496062000000002"/>
  <pageSetup paperSize="9" scale="5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opLeftCell="A10" zoomScale="85" zoomScaleNormal="85" workbookViewId="0">
      <selection activeCell="K1" sqref="A1:K26"/>
    </sheetView>
  </sheetViews>
  <sheetFormatPr defaultRowHeight="14.25"/>
  <cols>
    <col min="1" max="1" width="8.75" style="453"/>
    <col min="2" max="2" width="9.875" style="50" bestFit="1" customWidth="1"/>
    <col min="3" max="3" width="8.75" style="440"/>
    <col min="4" max="4" width="53.375" bestFit="1" customWidth="1"/>
    <col min="5" max="5" width="20.25" style="74" bestFit="1" customWidth="1"/>
    <col min="6" max="6" width="11.25" bestFit="1" customWidth="1"/>
    <col min="7" max="7" width="15.25" bestFit="1" customWidth="1"/>
    <col min="8" max="8" width="8.75" style="84"/>
    <col min="9" max="9" width="0" hidden="1" customWidth="1"/>
  </cols>
  <sheetData>
    <row r="1" spans="1:11" ht="69" customHeight="1">
      <c r="A1" s="843"/>
      <c r="B1" s="844"/>
      <c r="C1" s="845"/>
      <c r="D1" s="848" t="s">
        <v>745</v>
      </c>
      <c r="E1" s="849"/>
      <c r="F1" s="849"/>
      <c r="G1" s="846"/>
      <c r="H1" s="847"/>
    </row>
    <row r="2" spans="1:11" ht="15">
      <c r="A2" s="697" t="s">
        <v>6</v>
      </c>
      <c r="B2" s="436" t="s">
        <v>7</v>
      </c>
      <c r="C2" s="436" t="s">
        <v>8</v>
      </c>
      <c r="D2" s="426" t="s">
        <v>679</v>
      </c>
      <c r="E2" s="426" t="s">
        <v>718</v>
      </c>
      <c r="F2" s="426" t="s">
        <v>673</v>
      </c>
      <c r="G2" s="426" t="s">
        <v>674</v>
      </c>
      <c r="H2" s="698" t="s">
        <v>722</v>
      </c>
      <c r="J2" s="405" t="s">
        <v>722</v>
      </c>
      <c r="K2" s="405" t="s">
        <v>681</v>
      </c>
    </row>
    <row r="3" spans="1:11">
      <c r="A3" s="699">
        <v>1</v>
      </c>
      <c r="B3" s="437"/>
      <c r="C3" s="438"/>
      <c r="D3" s="427" t="s">
        <v>726</v>
      </c>
      <c r="E3" s="441">
        <f>'ABC-detalhada'!O17</f>
        <v>763050.00000000012</v>
      </c>
      <c r="F3" s="428">
        <f t="shared" ref="F3:F25" si="0">E3/$E$26</f>
        <v>0.23696723113276766</v>
      </c>
      <c r="G3" s="428">
        <f>F3</f>
        <v>0.23696723113276766</v>
      </c>
      <c r="H3" s="700" t="str">
        <f>IF(G3&lt;=$K$3,"A",IF(G3&lt;=$K$4,"B","C"))</f>
        <v>A</v>
      </c>
      <c r="J3" s="406" t="s">
        <v>137</v>
      </c>
      <c r="K3" s="407">
        <v>0.8</v>
      </c>
    </row>
    <row r="4" spans="1:11">
      <c r="A4" s="699">
        <v>2</v>
      </c>
      <c r="B4" s="437"/>
      <c r="C4" s="443"/>
      <c r="D4" s="429" t="s">
        <v>723</v>
      </c>
      <c r="E4" s="441">
        <f>'ABC-detalhada'!O4</f>
        <v>629562.06000000006</v>
      </c>
      <c r="F4" s="428">
        <f t="shared" si="0"/>
        <v>0.19551219210332393</v>
      </c>
      <c r="G4" s="428">
        <f>F4+G3</f>
        <v>0.43247942323609156</v>
      </c>
      <c r="H4" s="700" t="str">
        <f t="shared" ref="H4:H25" si="1">IF(G4&lt;=$K$3,"A",IF(G4&lt;=$K$4,"B","C"))</f>
        <v>A</v>
      </c>
      <c r="J4" s="406" t="s">
        <v>146</v>
      </c>
      <c r="K4" s="407">
        <v>0.95</v>
      </c>
    </row>
    <row r="5" spans="1:11">
      <c r="A5" s="699">
        <v>3</v>
      </c>
      <c r="B5" s="437"/>
      <c r="C5" s="444"/>
      <c r="D5" s="430" t="s">
        <v>728</v>
      </c>
      <c r="E5" s="441">
        <f>'ABC-detalhada'!O40</f>
        <v>258715.63</v>
      </c>
      <c r="F5" s="428">
        <f t="shared" si="0"/>
        <v>8.0344835190183594E-2</v>
      </c>
      <c r="G5" s="428">
        <f t="shared" ref="G5:G25" si="2">F5+G4</f>
        <v>0.51282425842627521</v>
      </c>
      <c r="H5" s="700" t="str">
        <f t="shared" si="1"/>
        <v>A</v>
      </c>
      <c r="J5" s="406" t="s">
        <v>157</v>
      </c>
      <c r="K5" s="407">
        <v>1</v>
      </c>
    </row>
    <row r="6" spans="1:11">
      <c r="A6" s="699">
        <v>4</v>
      </c>
      <c r="B6" s="437"/>
      <c r="C6" s="443"/>
      <c r="D6" s="429" t="s">
        <v>719</v>
      </c>
      <c r="E6" s="441">
        <f>'ABC-detalhada'!O7</f>
        <v>552769.29</v>
      </c>
      <c r="F6" s="428">
        <f t="shared" si="0"/>
        <v>0.17166399070378857</v>
      </c>
      <c r="G6" s="428">
        <f t="shared" si="2"/>
        <v>0.68448824913006379</v>
      </c>
      <c r="H6" s="700" t="str">
        <f t="shared" ref="H6" si="3">IF(G6&lt;=$K$3,"A",IF(G6&lt;=$K$4,"B","C"))</f>
        <v>A</v>
      </c>
      <c r="J6" s="406"/>
      <c r="K6" s="407"/>
    </row>
    <row r="7" spans="1:11">
      <c r="A7" s="699">
        <v>5</v>
      </c>
      <c r="B7" s="438" t="s">
        <v>88</v>
      </c>
      <c r="C7" s="438" t="s">
        <v>19</v>
      </c>
      <c r="D7" s="429" t="s">
        <v>89</v>
      </c>
      <c r="E7" s="431">
        <f>'ABC-detalhada'!O44</f>
        <v>182401.1</v>
      </c>
      <c r="F7" s="428">
        <f t="shared" si="0"/>
        <v>5.6645152509758288E-2</v>
      </c>
      <c r="G7" s="428">
        <f t="shared" si="2"/>
        <v>0.74113340163982211</v>
      </c>
      <c r="H7" s="700" t="str">
        <f t="shared" si="1"/>
        <v>A</v>
      </c>
    </row>
    <row r="8" spans="1:11" ht="51">
      <c r="A8" s="699">
        <v>6</v>
      </c>
      <c r="B8" s="438" t="s">
        <v>74</v>
      </c>
      <c r="C8" s="438" t="s">
        <v>24</v>
      </c>
      <c r="D8" s="429" t="s">
        <v>75</v>
      </c>
      <c r="E8" s="431">
        <f>'ABC-detalhada'!O45</f>
        <v>137812.29999999999</v>
      </c>
      <c r="F8" s="428">
        <f t="shared" si="0"/>
        <v>4.2797980665799505E-2</v>
      </c>
      <c r="G8" s="428">
        <f t="shared" si="2"/>
        <v>0.78393138230562165</v>
      </c>
      <c r="H8" s="700" t="str">
        <f t="shared" si="1"/>
        <v>A</v>
      </c>
    </row>
    <row r="9" spans="1:11" ht="38.25">
      <c r="A9" s="699">
        <v>7</v>
      </c>
      <c r="B9" s="438" t="s">
        <v>603</v>
      </c>
      <c r="C9" s="438" t="s">
        <v>27</v>
      </c>
      <c r="D9" s="432" t="s">
        <v>630</v>
      </c>
      <c r="E9" s="431">
        <f>'ABC-detalhada'!O46</f>
        <v>181839.18</v>
      </c>
      <c r="F9" s="428">
        <f t="shared" si="0"/>
        <v>5.6470646741436259E-2</v>
      </c>
      <c r="G9" s="428">
        <f t="shared" si="2"/>
        <v>0.84040202904705796</v>
      </c>
      <c r="H9" s="700" t="str">
        <f t="shared" si="1"/>
        <v>B</v>
      </c>
    </row>
    <row r="10" spans="1:11">
      <c r="A10" s="699">
        <v>8</v>
      </c>
      <c r="B10" s="437"/>
      <c r="C10" s="444"/>
      <c r="D10" s="430" t="s">
        <v>720</v>
      </c>
      <c r="E10" s="431">
        <f>'ABC-detalhada'!O30</f>
        <v>97873.146363182488</v>
      </c>
      <c r="F10" s="428">
        <f t="shared" si="0"/>
        <v>3.039476901374151E-2</v>
      </c>
      <c r="G10" s="428">
        <f t="shared" si="2"/>
        <v>0.87079679806079946</v>
      </c>
      <c r="H10" s="700" t="str">
        <f t="shared" si="1"/>
        <v>B</v>
      </c>
    </row>
    <row r="11" spans="1:11" ht="38.25">
      <c r="A11" s="699">
        <v>9</v>
      </c>
      <c r="B11" s="438" t="s">
        <v>78</v>
      </c>
      <c r="C11" s="438" t="s">
        <v>24</v>
      </c>
      <c r="D11" s="429" t="s">
        <v>79</v>
      </c>
      <c r="E11" s="431">
        <f>'ABC-detalhada'!O47</f>
        <v>107511.76000000001</v>
      </c>
      <c r="F11" s="428">
        <f t="shared" si="0"/>
        <v>3.3388066419514639E-2</v>
      </c>
      <c r="G11" s="428">
        <f t="shared" si="2"/>
        <v>0.9041848644803141</v>
      </c>
      <c r="H11" s="700" t="str">
        <f t="shared" si="1"/>
        <v>B</v>
      </c>
    </row>
    <row r="12" spans="1:11">
      <c r="A12" s="699">
        <v>10</v>
      </c>
      <c r="B12" s="438" t="s">
        <v>307</v>
      </c>
      <c r="C12" s="438" t="s">
        <v>24</v>
      </c>
      <c r="D12" s="433" t="s">
        <v>308</v>
      </c>
      <c r="E12" s="434">
        <f>'ABC-detalhada'!O11</f>
        <v>50031.990000000005</v>
      </c>
      <c r="F12" s="428">
        <f t="shared" si="0"/>
        <v>1.5537569147974994E-2</v>
      </c>
      <c r="G12" s="428">
        <f t="shared" si="2"/>
        <v>0.91972243362828909</v>
      </c>
      <c r="H12" s="700" t="str">
        <f t="shared" si="1"/>
        <v>B</v>
      </c>
    </row>
    <row r="13" spans="1:11" ht="38.25">
      <c r="A13" s="699">
        <v>11</v>
      </c>
      <c r="B13" s="438">
        <v>101124</v>
      </c>
      <c r="C13" s="438" t="s">
        <v>24</v>
      </c>
      <c r="D13" s="429" t="s">
        <v>397</v>
      </c>
      <c r="E13" s="441">
        <f>'ABC-detalhada'!O28</f>
        <v>42736.68</v>
      </c>
      <c r="F13" s="428">
        <f t="shared" si="0"/>
        <v>1.327199099326011E-2</v>
      </c>
      <c r="G13" s="428">
        <f t="shared" si="2"/>
        <v>0.93299442462154925</v>
      </c>
      <c r="H13" s="700" t="str">
        <f t="shared" si="1"/>
        <v>B</v>
      </c>
    </row>
    <row r="14" spans="1:11" ht="51">
      <c r="A14" s="699">
        <v>12</v>
      </c>
      <c r="B14" s="438" t="s">
        <v>330</v>
      </c>
      <c r="C14" s="438" t="s">
        <v>24</v>
      </c>
      <c r="D14" s="429" t="s">
        <v>331</v>
      </c>
      <c r="E14" s="431">
        <f>'ABC-detalhada'!O48</f>
        <v>49351.199999999997</v>
      </c>
      <c r="F14" s="428">
        <f t="shared" si="0"/>
        <v>1.5326147981232477E-2</v>
      </c>
      <c r="G14" s="428">
        <f t="shared" si="2"/>
        <v>0.94832057260278169</v>
      </c>
      <c r="H14" s="700" t="str">
        <f t="shared" si="1"/>
        <v>B</v>
      </c>
    </row>
    <row r="15" spans="1:11">
      <c r="A15" s="699">
        <v>13</v>
      </c>
      <c r="B15" s="437"/>
      <c r="C15" s="438"/>
      <c r="D15" s="427" t="s">
        <v>725</v>
      </c>
      <c r="E15" s="442">
        <f>'ABC-detalhada'!O12</f>
        <v>37946.200000000004</v>
      </c>
      <c r="F15" s="428">
        <f t="shared" si="0"/>
        <v>1.1784294536413378E-2</v>
      </c>
      <c r="G15" s="428">
        <f t="shared" si="2"/>
        <v>0.96010486713919507</v>
      </c>
      <c r="H15" s="700" t="str">
        <f t="shared" si="1"/>
        <v>C</v>
      </c>
    </row>
    <row r="16" spans="1:11">
      <c r="A16" s="699">
        <v>14</v>
      </c>
      <c r="B16" s="437"/>
      <c r="C16" s="438"/>
      <c r="D16" s="427" t="s">
        <v>727</v>
      </c>
      <c r="E16" s="431">
        <f>'ABC-detalhada'!O25</f>
        <v>28808.79</v>
      </c>
      <c r="F16" s="428">
        <f t="shared" si="0"/>
        <v>8.9466472689671249E-3</v>
      </c>
      <c r="G16" s="428">
        <f t="shared" si="2"/>
        <v>0.96905151440816217</v>
      </c>
      <c r="H16" s="700" t="str">
        <f t="shared" si="1"/>
        <v>C</v>
      </c>
    </row>
    <row r="17" spans="1:8">
      <c r="A17" s="699">
        <v>15</v>
      </c>
      <c r="B17" s="437"/>
      <c r="C17" s="444"/>
      <c r="D17" s="430" t="s">
        <v>721</v>
      </c>
      <c r="E17" s="431">
        <f>'ABC-detalhada'!O34</f>
        <v>33427.75</v>
      </c>
      <c r="F17" s="428">
        <f t="shared" si="0"/>
        <v>1.0381077728193923E-2</v>
      </c>
      <c r="G17" s="428">
        <f t="shared" si="2"/>
        <v>0.97943259213635614</v>
      </c>
      <c r="H17" s="700" t="str">
        <f t="shared" si="1"/>
        <v>C</v>
      </c>
    </row>
    <row r="18" spans="1:8">
      <c r="A18" s="699">
        <v>16</v>
      </c>
      <c r="B18" s="437"/>
      <c r="C18" s="444"/>
      <c r="D18" s="430" t="s">
        <v>564</v>
      </c>
      <c r="E18" s="431">
        <f>'ABC-detalhada'!O37</f>
        <v>22945.1</v>
      </c>
      <c r="F18" s="428">
        <f t="shared" si="0"/>
        <v>7.1256625582392583E-3</v>
      </c>
      <c r="G18" s="428">
        <f t="shared" si="2"/>
        <v>0.98655825469459535</v>
      </c>
      <c r="H18" s="700" t="str">
        <f t="shared" si="1"/>
        <v>C</v>
      </c>
    </row>
    <row r="19" spans="1:8">
      <c r="A19" s="699">
        <v>17</v>
      </c>
      <c r="B19" s="438" t="s">
        <v>41</v>
      </c>
      <c r="C19" s="438" t="s">
        <v>27</v>
      </c>
      <c r="D19" s="429" t="s">
        <v>562</v>
      </c>
      <c r="E19" s="431">
        <f>'ABC-detalhada'!O29</f>
        <v>13666.64</v>
      </c>
      <c r="F19" s="428">
        <f t="shared" si="0"/>
        <v>4.2442118336784313E-3</v>
      </c>
      <c r="G19" s="428">
        <f t="shared" si="2"/>
        <v>0.99080246652827375</v>
      </c>
      <c r="H19" s="700" t="str">
        <f t="shared" si="1"/>
        <v>C</v>
      </c>
    </row>
    <row r="20" spans="1:8" ht="25.5">
      <c r="A20" s="699">
        <v>18</v>
      </c>
      <c r="B20" s="438" t="s">
        <v>49</v>
      </c>
      <c r="C20" s="438" t="s">
        <v>24</v>
      </c>
      <c r="D20" s="429" t="s">
        <v>50</v>
      </c>
      <c r="E20" s="431">
        <f>'ABC-detalhada'!O49</f>
        <v>13802.25</v>
      </c>
      <c r="F20" s="428">
        <f t="shared" si="0"/>
        <v>4.2863258841520768E-3</v>
      </c>
      <c r="G20" s="428">
        <f t="shared" si="2"/>
        <v>0.99508879241242587</v>
      </c>
      <c r="H20" s="700" t="str">
        <f t="shared" si="1"/>
        <v>C</v>
      </c>
    </row>
    <row r="21" spans="1:8" ht="51">
      <c r="A21" s="699">
        <v>19</v>
      </c>
      <c r="B21" s="438" t="s">
        <v>472</v>
      </c>
      <c r="C21" s="438" t="s">
        <v>30</v>
      </c>
      <c r="D21" s="435" t="s">
        <v>644</v>
      </c>
      <c r="E21" s="431">
        <f>'ABC-detalhada'!O50</f>
        <v>0</v>
      </c>
      <c r="F21" s="428">
        <f t="shared" si="0"/>
        <v>0</v>
      </c>
      <c r="G21" s="428">
        <f t="shared" si="2"/>
        <v>0.99508879241242587</v>
      </c>
      <c r="H21" s="700" t="str">
        <f t="shared" si="1"/>
        <v>C</v>
      </c>
    </row>
    <row r="22" spans="1:8" ht="25.5">
      <c r="A22" s="699">
        <v>20</v>
      </c>
      <c r="B22" s="438" t="s">
        <v>69</v>
      </c>
      <c r="C22" s="438" t="s">
        <v>19</v>
      </c>
      <c r="D22" s="429" t="s">
        <v>70</v>
      </c>
      <c r="E22" s="431">
        <f>'ABC-detalhada'!O51</f>
        <v>8582.2199999999993</v>
      </c>
      <c r="F22" s="428">
        <f t="shared" si="0"/>
        <v>2.665231518736991E-3</v>
      </c>
      <c r="G22" s="428">
        <f t="shared" si="2"/>
        <v>0.99775402393116286</v>
      </c>
      <c r="H22" s="700" t="str">
        <f t="shared" si="1"/>
        <v>C</v>
      </c>
    </row>
    <row r="23" spans="1:8">
      <c r="A23" s="699">
        <v>21</v>
      </c>
      <c r="B23" s="438" t="s">
        <v>302</v>
      </c>
      <c r="C23" s="438" t="s">
        <v>19</v>
      </c>
      <c r="D23" s="435" t="s">
        <v>20</v>
      </c>
      <c r="E23" s="431">
        <f>'ABC-detalhada'!O52</f>
        <v>5429.58</v>
      </c>
      <c r="F23" s="428">
        <f t="shared" si="0"/>
        <v>1.6861706818869699E-3</v>
      </c>
      <c r="G23" s="428">
        <f t="shared" si="2"/>
        <v>0.99944019461304978</v>
      </c>
      <c r="H23" s="700" t="str">
        <f t="shared" si="1"/>
        <v>C</v>
      </c>
    </row>
    <row r="24" spans="1:8">
      <c r="A24" s="699">
        <v>22</v>
      </c>
      <c r="B24" s="439" t="s">
        <v>361</v>
      </c>
      <c r="C24" s="439" t="s">
        <v>27</v>
      </c>
      <c r="D24" s="435" t="s">
        <v>636</v>
      </c>
      <c r="E24" s="431">
        <f>'ABC-detalhada'!O53</f>
        <v>1802.61</v>
      </c>
      <c r="F24" s="428">
        <f t="shared" si="0"/>
        <v>5.598053869500534E-4</v>
      </c>
      <c r="G24" s="428">
        <f t="shared" si="2"/>
        <v>0.99999999999999989</v>
      </c>
      <c r="H24" s="700" t="str">
        <f t="shared" si="1"/>
        <v>C</v>
      </c>
    </row>
    <row r="25" spans="1:8">
      <c r="A25" s="701">
        <v>23</v>
      </c>
      <c r="B25" s="702"/>
      <c r="C25" s="703"/>
      <c r="D25" s="704" t="s">
        <v>476</v>
      </c>
      <c r="E25" s="705">
        <f>'ABC-detalhada'!O54</f>
        <v>0</v>
      </c>
      <c r="F25" s="706">
        <f t="shared" si="0"/>
        <v>0</v>
      </c>
      <c r="G25" s="706">
        <f t="shared" si="2"/>
        <v>0.99999999999999989</v>
      </c>
      <c r="H25" s="707" t="str">
        <f t="shared" si="1"/>
        <v>C</v>
      </c>
    </row>
    <row r="26" spans="1:8">
      <c r="A26" s="452"/>
      <c r="E26" s="761">
        <f>SUM(E3:E25)</f>
        <v>3220065.4763631835</v>
      </c>
    </row>
  </sheetData>
  <sortState ref="B3:E25">
    <sortCondition descending="1" ref="E3:E25"/>
  </sortState>
  <mergeCells count="3">
    <mergeCell ref="A1:C1"/>
    <mergeCell ref="G1:H1"/>
    <mergeCell ref="D1:F1"/>
  </mergeCells>
  <conditionalFormatting sqref="D6">
    <cfRule type="duplicateValues" dxfId="119" priority="1"/>
  </conditionalFormatting>
  <conditionalFormatting sqref="D9">
    <cfRule type="duplicateValues" dxfId="118" priority="6"/>
  </conditionalFormatting>
  <conditionalFormatting sqref="D15:D16 D3">
    <cfRule type="duplicateValues" dxfId="117" priority="8"/>
  </conditionalFormatting>
  <conditionalFormatting sqref="D17:D18">
    <cfRule type="duplicateValues" dxfId="116" priority="3"/>
  </conditionalFormatting>
  <conditionalFormatting sqref="D19">
    <cfRule type="duplicateValues" dxfId="115" priority="2"/>
  </conditionalFormatting>
  <conditionalFormatting sqref="D20:D22 D10">
    <cfRule type="duplicateValues" dxfId="114" priority="7"/>
  </conditionalFormatting>
  <conditionalFormatting sqref="D23">
    <cfRule type="duplicateValues" dxfId="113" priority="4"/>
  </conditionalFormatting>
  <conditionalFormatting sqref="D24">
    <cfRule type="duplicateValues" dxfId="112" priority="5"/>
  </conditionalFormatting>
  <conditionalFormatting sqref="H3:H25">
    <cfRule type="cellIs" dxfId="111" priority="9" operator="equal">
      <formula>"C"</formula>
    </cfRule>
    <cfRule type="cellIs" dxfId="110" priority="10" operator="equal">
      <formula>"B"</formula>
    </cfRule>
    <cfRule type="cellIs" dxfId="109" priority="11" operator="equal">
      <formula>"A"</formula>
    </cfRule>
  </conditionalFormatting>
  <pageMargins left="0.511811024" right="0.511811024" top="0.78740157499999996" bottom="0.78740157499999996" header="0.31496062000000002" footer="0.31496062000000002"/>
  <pageSetup paperSize="9" scale="76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23"/>
  <sheetViews>
    <sheetView zoomScale="70" zoomScaleNormal="70" workbookViewId="0">
      <pane ySplit="3" topLeftCell="A4" activePane="bottomLeft" state="frozen"/>
      <selection pane="bottomLeft" activeCell="AE11" sqref="AE11"/>
    </sheetView>
  </sheetViews>
  <sheetFormatPr defaultRowHeight="14.25"/>
  <cols>
    <col min="1" max="1" width="6" style="84" customWidth="1"/>
    <col min="2" max="2" width="13.5" style="84" customWidth="1"/>
    <col min="3" max="3" width="7.75" style="87" bestFit="1" customWidth="1"/>
    <col min="4" max="4" width="60.375" style="74" customWidth="1"/>
    <col min="5" max="5" width="7.375" bestFit="1" customWidth="1"/>
    <col min="6" max="7" width="11.75" customWidth="1"/>
    <col min="8" max="9" width="11.75" hidden="1" customWidth="1"/>
    <col min="10" max="10" width="17.375" bestFit="1" customWidth="1"/>
    <col min="11" max="11" width="8.5" hidden="1" customWidth="1"/>
    <col min="12" max="12" width="8" style="239" hidden="1" customWidth="1"/>
    <col min="13" max="13" width="19.25" style="239" customWidth="1"/>
    <col min="14" max="14" width="18.5" style="239" customWidth="1"/>
    <col min="15" max="15" width="18.375" style="239" customWidth="1"/>
    <col min="16" max="20" width="14" hidden="1" customWidth="1"/>
    <col min="21" max="21" width="13" hidden="1" customWidth="1"/>
    <col min="22" max="22" width="9.375" style="87" hidden="1" customWidth="1"/>
    <col min="23" max="23" width="13.25" style="87" hidden="1" customWidth="1"/>
    <col min="24" max="24" width="0" style="84" hidden="1" customWidth="1"/>
    <col min="25" max="27" width="0" hidden="1" customWidth="1"/>
    <col min="28" max="28" width="0.75" hidden="1" customWidth="1"/>
  </cols>
  <sheetData>
    <row r="1" spans="1:28" ht="75" customHeight="1">
      <c r="A1" s="853"/>
      <c r="B1" s="854"/>
      <c r="C1" s="854"/>
      <c r="D1" s="855" t="s">
        <v>746</v>
      </c>
      <c r="E1" s="855"/>
      <c r="F1" s="855"/>
      <c r="G1" s="855"/>
      <c r="H1" s="855"/>
      <c r="I1" s="855"/>
      <c r="J1" s="855"/>
      <c r="K1" s="855"/>
      <c r="L1" s="855"/>
      <c r="M1" s="855"/>
      <c r="N1" s="855"/>
      <c r="O1" s="856"/>
    </row>
    <row r="2" spans="1:28" ht="15">
      <c r="A2" s="713"/>
      <c r="B2" s="258"/>
      <c r="C2" s="258"/>
      <c r="D2" s="258"/>
      <c r="E2" s="852" t="s">
        <v>677</v>
      </c>
      <c r="F2" s="852"/>
      <c r="G2" s="852"/>
      <c r="H2" s="852"/>
      <c r="I2" s="852"/>
      <c r="J2" s="852" t="s">
        <v>678</v>
      </c>
      <c r="K2" s="258"/>
      <c r="L2" s="258"/>
      <c r="M2" s="258"/>
      <c r="N2" s="258"/>
      <c r="O2" s="714"/>
      <c r="P2" s="708"/>
      <c r="Q2" s="258"/>
      <c r="R2" s="258"/>
      <c r="S2" s="258"/>
      <c r="T2" s="258"/>
      <c r="U2" s="258"/>
      <c r="V2" s="258"/>
      <c r="W2" s="258"/>
      <c r="X2" s="259"/>
    </row>
    <row r="3" spans="1:28" ht="15">
      <c r="A3" s="713" t="s">
        <v>6</v>
      </c>
      <c r="B3" s="258" t="s">
        <v>7</v>
      </c>
      <c r="C3" s="258" t="s">
        <v>8</v>
      </c>
      <c r="D3" s="258" t="s">
        <v>679</v>
      </c>
      <c r="E3" s="258"/>
      <c r="F3" s="258" t="s">
        <v>541</v>
      </c>
      <c r="G3" s="258" t="s">
        <v>542</v>
      </c>
      <c r="H3" s="258" t="s">
        <v>543</v>
      </c>
      <c r="I3" s="258" t="s">
        <v>544</v>
      </c>
      <c r="J3" s="852"/>
      <c r="K3" s="258"/>
      <c r="L3" s="258"/>
      <c r="M3" s="258" t="s">
        <v>675</v>
      </c>
      <c r="N3" s="258" t="s">
        <v>676</v>
      </c>
      <c r="O3" s="714" t="s">
        <v>718</v>
      </c>
      <c r="P3" s="708" t="s">
        <v>541</v>
      </c>
      <c r="Q3" s="258" t="s">
        <v>542</v>
      </c>
      <c r="R3" s="258" t="s">
        <v>543</v>
      </c>
      <c r="S3" s="258" t="s">
        <v>544</v>
      </c>
      <c r="T3" s="258" t="s">
        <v>670</v>
      </c>
      <c r="U3" s="258" t="s">
        <v>671</v>
      </c>
      <c r="V3" s="258" t="s">
        <v>673</v>
      </c>
      <c r="W3" s="258" t="s">
        <v>674</v>
      </c>
      <c r="X3" s="258" t="s">
        <v>680</v>
      </c>
    </row>
    <row r="4" spans="1:28" s="74" customFormat="1" ht="13.9" customHeight="1">
      <c r="A4" s="715">
        <v>1</v>
      </c>
      <c r="B4" s="716"/>
      <c r="C4" s="445"/>
      <c r="D4" s="400" t="s">
        <v>723</v>
      </c>
      <c r="E4" s="401"/>
      <c r="F4" s="401"/>
      <c r="G4" s="401"/>
      <c r="H4" s="401"/>
      <c r="I4" s="401"/>
      <c r="J4" s="401"/>
      <c r="K4" s="401"/>
      <c r="L4" s="401"/>
      <c r="M4" s="401"/>
      <c r="N4" s="402"/>
      <c r="O4" s="717">
        <f>SUM(N5:N6)</f>
        <v>629562.06000000006</v>
      </c>
      <c r="P4" s="709"/>
      <c r="Q4" s="481"/>
      <c r="R4" s="481"/>
      <c r="S4" s="481"/>
      <c r="T4" s="481"/>
      <c r="U4" s="481"/>
      <c r="V4" s="482">
        <f>O4/N58</f>
        <v>0.19551219210332396</v>
      </c>
      <c r="W4" s="482">
        <f>V4</f>
        <v>0.19551219210332396</v>
      </c>
      <c r="X4" s="320" t="str">
        <f>IF(W5&lt;=$AA$5,"A",IF(W5&lt;=$AA$6,"B","C"))</f>
        <v>A</v>
      </c>
      <c r="Z4" s="483" t="s">
        <v>680</v>
      </c>
      <c r="AA4" s="483" t="s">
        <v>681</v>
      </c>
    </row>
    <row r="5" spans="1:28" s="74" customFormat="1" ht="15">
      <c r="A5" s="718"/>
      <c r="B5" s="261" t="s">
        <v>60</v>
      </c>
      <c r="C5" s="261" t="s">
        <v>27</v>
      </c>
      <c r="D5" s="260" t="s">
        <v>565</v>
      </c>
      <c r="E5" s="261" t="s">
        <v>61</v>
      </c>
      <c r="F5" s="261">
        <f>VLOOKUP($D$5,'PLANILHA CONSOLIDADA'!$D$3:$I$61,3,0)</f>
        <v>444.19439999999997</v>
      </c>
      <c r="G5" s="261">
        <f>VLOOKUP($D$5,'PLANILHA CONSOLIDADA'!$D$3:$I$61,4,0)</f>
        <v>1010.617392</v>
      </c>
      <c r="H5" s="261">
        <f>VLOOKUP($D$5,'PLANILHA CONSOLIDADA'!$D$3:$I$61,5,0)</f>
        <v>431.30755200000004</v>
      </c>
      <c r="I5" s="261">
        <f>VLOOKUP($D$5,'PLANILHA CONSOLIDADA'!$D$3:$I$61,6,0)</f>
        <v>1015.6451999999999</v>
      </c>
      <c r="J5" s="261">
        <f>SUM(F5:G5)</f>
        <v>1454.811792</v>
      </c>
      <c r="K5" s="262">
        <f>VLOOKUP(D5,'PLANILHA CONSOLIDADA'!$D$6:$P$61,7,0)</f>
        <v>1454.811792</v>
      </c>
      <c r="L5" s="263">
        <f>J5-K5</f>
        <v>0</v>
      </c>
      <c r="M5" s="264">
        <f>VLOOKUP(D5,'PLANILHA CONSOLIDADA'!$D$6:$P$61,8,0)</f>
        <v>237.37918607218677</v>
      </c>
      <c r="N5" s="264">
        <f>'PLANILHA CONSOLIDADA'!P33</f>
        <v>345342.03</v>
      </c>
      <c r="O5" s="719"/>
      <c r="P5" s="710">
        <f>VLOOKUP(D5,'PLANILHA CONSOLIDADA'!D4:O64,9,0)</f>
        <v>105442.5</v>
      </c>
      <c r="Q5" s="267">
        <f>VLOOKUP(D5,'PLANILHA CONSOLIDADA'!D4:O64,10,0)</f>
        <v>239899.53</v>
      </c>
      <c r="R5" s="267">
        <f>VLOOKUP(D5,'PLANILHA CONSOLIDADA'!D4:O64,11,0)</f>
        <v>102383.43</v>
      </c>
      <c r="S5" s="267">
        <f>VLOOKUP(D5,'PLANILHA CONSOLIDADA'!D4:O64,12,0)</f>
        <v>241093.03</v>
      </c>
      <c r="T5" s="267">
        <f>SUM(P5:S5)</f>
        <v>688818.49</v>
      </c>
      <c r="U5" s="267">
        <f>T5-N5</f>
        <v>343476.45999999996</v>
      </c>
      <c r="V5" s="390"/>
      <c r="W5" s="390"/>
      <c r="X5" s="850"/>
      <c r="Z5" s="242" t="s">
        <v>137</v>
      </c>
      <c r="AA5" s="243">
        <v>0.8</v>
      </c>
      <c r="AB5" s="74" t="s">
        <v>632</v>
      </c>
    </row>
    <row r="6" spans="1:28" s="74" customFormat="1" ht="15">
      <c r="A6" s="718"/>
      <c r="B6" s="261" t="s">
        <v>303</v>
      </c>
      <c r="C6" s="261" t="s">
        <v>303</v>
      </c>
      <c r="D6" s="260" t="s">
        <v>310</v>
      </c>
      <c r="E6" s="261" t="s">
        <v>61</v>
      </c>
      <c r="F6" s="261">
        <f>VLOOKUP(D6,'PLANILHA CONSOLIDADA'!$D$3:$I$61,3,0)</f>
        <v>28.646096856</v>
      </c>
      <c r="G6" s="261">
        <f>VLOOKUP(D6,'PLANILHA CONSOLIDADA'!$D$3:$I$61,4,0)</f>
        <v>33.230435059680005</v>
      </c>
      <c r="H6" s="261">
        <f>VLOOKUP(D6,'PLANILHA CONSOLIDADA'!$D$3:$I$61,5,0)</f>
        <v>27.815024028480007</v>
      </c>
      <c r="I6" s="261">
        <f>VLOOKUP(D6,'PLANILHA CONSOLIDADA'!$D$3:$I$61,6,0)</f>
        <v>65.498958947999995</v>
      </c>
      <c r="J6" s="261">
        <f>SUM(F6:G6)</f>
        <v>61.876531915680005</v>
      </c>
      <c r="K6" s="262">
        <f>VLOOKUP(D6,'PLANILHA CONSOLIDADA'!$D$6:$P$61,7,0)</f>
        <v>61.876531915680005</v>
      </c>
      <c r="L6" s="263">
        <f>J6-K6</f>
        <v>0</v>
      </c>
      <c r="M6" s="264">
        <f>'PLANILHA CONSOLIDADA'!K42</f>
        <v>4593.341308</v>
      </c>
      <c r="N6" s="264">
        <f>'PLANILHA CONSOLIDADA'!P42</f>
        <v>284220.03000000003</v>
      </c>
      <c r="O6" s="719"/>
      <c r="P6" s="710">
        <f>VLOOKUP(D6,'PLANILHA CONSOLIDADA'!D4:O63,9,0)</f>
        <v>131581.29999999999</v>
      </c>
      <c r="Q6" s="267">
        <f>VLOOKUP(D6,'PLANILHA CONSOLIDADA'!D4:O63,10,0)</f>
        <v>152638.73000000001</v>
      </c>
      <c r="R6" s="267">
        <f>VLOOKUP(D6,'PLANILHA CONSOLIDADA'!D4:O63,11,0)</f>
        <v>127763.89</v>
      </c>
      <c r="S6" s="267">
        <f>VLOOKUP(D6,'PLANILHA CONSOLIDADA'!D4:O63,12,0)</f>
        <v>300859.07</v>
      </c>
      <c r="T6" s="267">
        <f>SUM(P6:S6)</f>
        <v>712842.99</v>
      </c>
      <c r="U6" s="267">
        <f>T6-N6</f>
        <v>428622.95999999996</v>
      </c>
      <c r="V6" s="391"/>
      <c r="W6" s="391"/>
      <c r="X6" s="851"/>
      <c r="Z6" s="242" t="s">
        <v>146</v>
      </c>
      <c r="AA6" s="243">
        <v>0.95</v>
      </c>
      <c r="AB6" s="74" t="s">
        <v>632</v>
      </c>
    </row>
    <row r="7" spans="1:28" s="74" customFormat="1" ht="13.9" customHeight="1">
      <c r="A7" s="715">
        <v>2</v>
      </c>
      <c r="B7" s="716"/>
      <c r="C7" s="446"/>
      <c r="D7" s="398" t="s">
        <v>719</v>
      </c>
      <c r="E7" s="398"/>
      <c r="F7" s="398"/>
      <c r="G7" s="398"/>
      <c r="H7" s="398"/>
      <c r="I7" s="398"/>
      <c r="J7" s="398"/>
      <c r="K7" s="398"/>
      <c r="L7" s="398"/>
      <c r="M7" s="398"/>
      <c r="N7" s="399"/>
      <c r="O7" s="717">
        <f>SUM(N8:N10)</f>
        <v>552769.29</v>
      </c>
      <c r="P7" s="710"/>
      <c r="Q7" s="267"/>
      <c r="R7" s="267"/>
      <c r="S7" s="267"/>
      <c r="T7" s="267"/>
      <c r="U7" s="267"/>
      <c r="V7" s="373">
        <f>O7/N58</f>
        <v>0.1716639907037886</v>
      </c>
      <c r="W7" s="373">
        <f>V7+W4</f>
        <v>0.36717618280711256</v>
      </c>
      <c r="X7" s="374" t="str">
        <f>IF(W5&lt;=$AA$5,"A",IF(W5&lt;=$AA$6,"B","C"))</f>
        <v>A</v>
      </c>
      <c r="Z7" s="87"/>
      <c r="AA7" s="371"/>
    </row>
    <row r="8" spans="1:28" s="74" customFormat="1" ht="38.25">
      <c r="A8" s="718"/>
      <c r="B8" s="261">
        <v>96397</v>
      </c>
      <c r="C8" s="261" t="s">
        <v>24</v>
      </c>
      <c r="D8" s="418" t="s">
        <v>412</v>
      </c>
      <c r="E8" s="261" t="s">
        <v>28</v>
      </c>
      <c r="F8" s="261">
        <f>VLOOKUP(D8,'PLANILHA CONSOLIDADA'!D4:P61,3,0)</f>
        <v>0</v>
      </c>
      <c r="G8" s="261">
        <f>VLOOKUP(D8,'PLANILHA CONSOLIDADA'!$D$3:$I$61,4,0)</f>
        <v>762.06274000000008</v>
      </c>
      <c r="H8" s="261">
        <f>VLOOKUP(D8,'PLANILHA CONSOLIDADA'!$D$3:$I$61,5,0)</f>
        <v>0</v>
      </c>
      <c r="I8" s="261">
        <f>VLOOKUP(D8,'PLANILHA CONSOLIDADA'!$D$3:$I$61,6,0)</f>
        <v>828.65200000000004</v>
      </c>
      <c r="J8" s="261">
        <f>SUM(F8:G8)</f>
        <v>762.06274000000008</v>
      </c>
      <c r="K8" s="262">
        <f>VLOOKUP(D8,'PLANILHA CONSOLIDADA'!$D$6:$P$61,7,0)</f>
        <v>762.06274000000008</v>
      </c>
      <c r="L8" s="263">
        <f t="shared" ref="L8:L14" si="0">J8-K8</f>
        <v>0</v>
      </c>
      <c r="M8" s="264">
        <f>VLOOKUP(D8,'PLANILHA CONSOLIDADA'!$D$6:$P$61,8,0)</f>
        <v>283.59450737499998</v>
      </c>
      <c r="N8" s="264">
        <f>'PLANILHA CONSOLIDADA'!P25</f>
        <v>216116.8</v>
      </c>
      <c r="O8" s="719"/>
      <c r="P8" s="710"/>
      <c r="Q8" s="267"/>
      <c r="R8" s="267"/>
      <c r="S8" s="267"/>
      <c r="T8" s="267"/>
      <c r="U8" s="267"/>
      <c r="V8" s="373"/>
      <c r="W8" s="373"/>
      <c r="X8" s="374"/>
      <c r="Z8" s="87"/>
      <c r="AA8" s="371"/>
      <c r="AB8" s="74" t="s">
        <v>632</v>
      </c>
    </row>
    <row r="9" spans="1:28" s="74" customFormat="1" ht="51">
      <c r="A9" s="718"/>
      <c r="B9" s="261" t="s">
        <v>52</v>
      </c>
      <c r="C9" s="261" t="s">
        <v>24</v>
      </c>
      <c r="D9" s="418" t="s">
        <v>53</v>
      </c>
      <c r="E9" s="261" t="s">
        <v>28</v>
      </c>
      <c r="F9" s="261">
        <f>VLOOKUP(D9,'PLANILHA CONSOLIDADA'!$D$3:$I$61,3,0)</f>
        <v>390.40000000000003</v>
      </c>
      <c r="G9" s="261">
        <f>VLOOKUP(D9,'PLANILHA CONSOLIDADA'!$D$3:$I$61,4,0)</f>
        <v>762.06274000000008</v>
      </c>
      <c r="H9" s="261">
        <f>VLOOKUP(D9,'PLANILHA CONSOLIDADA'!$D$3:$I$61,5,0)</f>
        <v>718.84592000000009</v>
      </c>
      <c r="I9" s="261">
        <f>VLOOKUP(D9,'PLANILHA CONSOLIDADA'!$D$3:$I$61,6,0)</f>
        <v>828.65200000000004</v>
      </c>
      <c r="J9" s="261">
        <f t="shared" ref="J9:J10" si="1">SUM(F9:G9)</f>
        <v>1152.4627400000002</v>
      </c>
      <c r="K9" s="262">
        <f>VLOOKUP(D9,'PLANILHA CONSOLIDADA'!$D$6:$P$61,7,0)</f>
        <v>1152.4627400000002</v>
      </c>
      <c r="L9" s="263">
        <f t="shared" si="0"/>
        <v>0</v>
      </c>
      <c r="M9" s="264">
        <f>VLOOKUP(D9,'PLANILHA CONSOLIDADA'!$D$6:$P$61,8,0)</f>
        <v>113.035178499</v>
      </c>
      <c r="N9" s="264">
        <f>'PLANILHA CONSOLIDADA'!P23</f>
        <v>130268.82</v>
      </c>
      <c r="O9" s="719"/>
      <c r="P9" s="710"/>
      <c r="Q9" s="267"/>
      <c r="R9" s="267"/>
      <c r="S9" s="267"/>
      <c r="T9" s="267"/>
      <c r="U9" s="267"/>
      <c r="V9" s="373"/>
      <c r="W9" s="373"/>
      <c r="X9" s="374"/>
      <c r="Z9" s="87"/>
      <c r="AA9" s="371"/>
      <c r="AB9" s="74" t="s">
        <v>632</v>
      </c>
    </row>
    <row r="10" spans="1:28" s="74" customFormat="1" ht="38.25">
      <c r="A10" s="718"/>
      <c r="B10" s="261" t="s">
        <v>54</v>
      </c>
      <c r="C10" s="261" t="s">
        <v>24</v>
      </c>
      <c r="D10" s="418" t="s">
        <v>55</v>
      </c>
      <c r="E10" s="261" t="s">
        <v>28</v>
      </c>
      <c r="F10" s="261">
        <f>VLOOKUP(D10,'PLANILHA CONSOLIDADA'!$D$3:$I$61,3,0)</f>
        <v>979.6</v>
      </c>
      <c r="G10" s="261">
        <f>VLOOKUP(D10,'PLANILHA CONSOLIDADA'!$D$3:$I$61,4,0)</f>
        <v>0</v>
      </c>
      <c r="H10" s="261">
        <f>VLOOKUP(D10,'PLANILHA CONSOLIDADA'!$D$3:$I$61,5,0)</f>
        <v>718.84592000000009</v>
      </c>
      <c r="I10" s="261">
        <f>VLOOKUP(D10,'PLANILHA CONSOLIDADA'!$D$3:$I$61,6,0)</f>
        <v>0</v>
      </c>
      <c r="J10" s="261">
        <f t="shared" si="1"/>
        <v>979.6</v>
      </c>
      <c r="K10" s="262">
        <f>VLOOKUP(D10,'PLANILHA CONSOLIDADA'!$D$6:$P$61,7,0)</f>
        <v>979.6</v>
      </c>
      <c r="L10" s="263">
        <f t="shared" si="0"/>
        <v>0</v>
      </c>
      <c r="M10" s="264">
        <f>VLOOKUP(D10,'PLANILHA CONSOLIDADA'!$D$6:$P$61,8,0)</f>
        <v>210.68158184299998</v>
      </c>
      <c r="N10" s="264">
        <f>'PLANILHA CONSOLIDADA'!P26</f>
        <v>206383.67</v>
      </c>
      <c r="O10" s="719"/>
      <c r="P10" s="710"/>
      <c r="Q10" s="267"/>
      <c r="R10" s="267"/>
      <c r="S10" s="267"/>
      <c r="T10" s="267"/>
      <c r="U10" s="267"/>
      <c r="V10" s="373"/>
      <c r="W10" s="373"/>
      <c r="X10" s="374"/>
      <c r="Z10" s="87"/>
      <c r="AA10" s="371"/>
      <c r="AB10" s="74" t="s">
        <v>632</v>
      </c>
    </row>
    <row r="11" spans="1:28" s="74" customFormat="1" ht="15">
      <c r="A11" s="720">
        <v>3</v>
      </c>
      <c r="B11" s="421" t="s">
        <v>307</v>
      </c>
      <c r="C11" s="421" t="s">
        <v>24</v>
      </c>
      <c r="D11" s="422" t="s">
        <v>308</v>
      </c>
      <c r="E11" s="421" t="s">
        <v>28</v>
      </c>
      <c r="F11" s="421">
        <f>VLOOKUP(D11,'PLANILHA CONSOLIDADA'!$D$3:$I$61,3,0)</f>
        <v>244.00000000000003</v>
      </c>
      <c r="G11" s="421">
        <f>VLOOKUP(D11,'PLANILHA CONSOLIDADA'!$D$3:$I$61,4,0)</f>
        <v>476.28921250000008</v>
      </c>
      <c r="H11" s="421">
        <f>VLOOKUP(D11,'PLANILHA CONSOLIDADA'!$D$3:$I$61,5,0)</f>
        <v>449.27870000000007</v>
      </c>
      <c r="I11" s="421">
        <f>VLOOKUP(D11,'PLANILHA CONSOLIDADA'!$D$3:$I$61,6,0)</f>
        <v>517.90750000000003</v>
      </c>
      <c r="J11" s="421">
        <f>SUM(F11:I11)</f>
        <v>1687.4754125000002</v>
      </c>
      <c r="K11" s="423">
        <f>VLOOKUP(D11,'PLANILHA CONSOLIDADA'!$D$6:$P$61,7,0)</f>
        <v>720.28921250000008</v>
      </c>
      <c r="L11" s="424">
        <f>J11-K11</f>
        <v>967.1862000000001</v>
      </c>
      <c r="M11" s="425">
        <f>VLOOKUP(D11,'PLANILHA CONSOLIDADA'!$D$6:$P$61,8,0)</f>
        <v>69.46098400000001</v>
      </c>
      <c r="N11" s="425">
        <f>'PLANILHA CONSOLIDADA'!P24</f>
        <v>50031.990000000005</v>
      </c>
      <c r="O11" s="719">
        <f>N11</f>
        <v>50031.990000000005</v>
      </c>
      <c r="P11" s="710"/>
      <c r="Q11" s="267"/>
      <c r="R11" s="267"/>
      <c r="S11" s="267"/>
      <c r="T11" s="267"/>
      <c r="U11" s="267"/>
      <c r="V11" s="373"/>
      <c r="W11" s="373"/>
      <c r="X11" s="374"/>
      <c r="Z11" s="87"/>
      <c r="AA11" s="371"/>
      <c r="AB11" s="74" t="s">
        <v>632</v>
      </c>
    </row>
    <row r="12" spans="1:28" s="74" customFormat="1" ht="15">
      <c r="A12" s="720">
        <v>4</v>
      </c>
      <c r="B12" s="716"/>
      <c r="C12" s="388"/>
      <c r="D12" s="414" t="s">
        <v>725</v>
      </c>
      <c r="E12" s="388"/>
      <c r="F12" s="388"/>
      <c r="G12" s="388"/>
      <c r="H12" s="388"/>
      <c r="I12" s="388"/>
      <c r="J12" s="388"/>
      <c r="K12" s="411"/>
      <c r="L12" s="411"/>
      <c r="M12" s="412"/>
      <c r="N12" s="412"/>
      <c r="O12" s="719">
        <f>SUM(N13:N16)</f>
        <v>37946.200000000004</v>
      </c>
      <c r="P12" s="710"/>
      <c r="Q12" s="267"/>
      <c r="R12" s="267"/>
      <c r="S12" s="267"/>
      <c r="T12" s="267"/>
      <c r="U12" s="267"/>
      <c r="V12" s="373"/>
      <c r="W12" s="373"/>
      <c r="X12" s="374"/>
      <c r="Z12" s="87"/>
      <c r="AA12" s="371"/>
    </row>
    <row r="13" spans="1:28" s="74" customFormat="1" ht="51">
      <c r="A13" s="718"/>
      <c r="B13" s="261" t="s">
        <v>42</v>
      </c>
      <c r="C13" s="261" t="s">
        <v>24</v>
      </c>
      <c r="D13" s="418" t="s">
        <v>659</v>
      </c>
      <c r="E13" s="261" t="s">
        <v>28</v>
      </c>
      <c r="F13" s="261">
        <f>VLOOKUP(D13,'PLANILHA CONSOLIDADA'!$D$3:$I$61,3,0)</f>
        <v>1712.5</v>
      </c>
      <c r="G13" s="375">
        <f>VLOOKUP(D13,'PLANILHA CONSOLIDADA'!$D$3:$I$61,4,0)</f>
        <v>1905.1568500000003</v>
      </c>
      <c r="H13" s="375">
        <f>VLOOKUP(D13,'PLANILHA CONSOLIDADA'!$D$3:$I$61,5,0)</f>
        <v>1797.1148000000003</v>
      </c>
      <c r="I13" s="375">
        <f>VLOOKUP(D13,'PLANILHA CONSOLIDADA'!$D$3:$I$61,6,0)</f>
        <v>2071.63</v>
      </c>
      <c r="J13" s="375">
        <f>SUM(F13:G13)</f>
        <v>3617.6568500000003</v>
      </c>
      <c r="K13" s="269" t="e">
        <f>'PLANILHA CONSOLIDADA'!#REF!</f>
        <v>#REF!</v>
      </c>
      <c r="L13" s="263" t="e">
        <f t="shared" si="0"/>
        <v>#REF!</v>
      </c>
      <c r="M13" s="264">
        <f>VLOOKUP(D13,'PLANILHA CONSOLIDADA'!$D$6:$P$61,8,0)</f>
        <v>9.444493229399999</v>
      </c>
      <c r="N13" s="264">
        <f>'PLANILHA CONSOLIDADA'!P27</f>
        <v>34166.93</v>
      </c>
      <c r="O13" s="719"/>
      <c r="P13" s="710"/>
      <c r="Q13" s="267"/>
      <c r="R13" s="267"/>
      <c r="S13" s="267"/>
      <c r="T13" s="267"/>
      <c r="U13" s="267"/>
      <c r="V13" s="373"/>
      <c r="W13" s="373"/>
      <c r="X13" s="374"/>
      <c r="Z13" s="87"/>
      <c r="AA13" s="371"/>
      <c r="AB13" s="74" t="s">
        <v>632</v>
      </c>
    </row>
    <row r="14" spans="1:28" s="74" customFormat="1" ht="51">
      <c r="A14" s="718"/>
      <c r="B14" s="261" t="s">
        <v>42</v>
      </c>
      <c r="C14" s="261" t="s">
        <v>24</v>
      </c>
      <c r="D14" s="418" t="s">
        <v>682</v>
      </c>
      <c r="E14" s="261" t="s">
        <v>28</v>
      </c>
      <c r="F14" s="261">
        <f>VLOOKUP(D14,'PLANILHA CONSOLIDADA'!$D$3:$I$61,3,0)</f>
        <v>0</v>
      </c>
      <c r="G14" s="375">
        <f>VLOOKUP(D14,'PLANILHA CONSOLIDADA'!$D$3:$I$61,4,0)</f>
        <v>0</v>
      </c>
      <c r="H14" s="375">
        <f>VLOOKUP(D14,'PLANILHA CONSOLIDADA'!$D$3:$I$61,5,0)</f>
        <v>193.92915672000001</v>
      </c>
      <c r="I14" s="375">
        <f>VLOOKUP(D14,'PLANILHA CONSOLIDADA'!$D$3:$I$61,6,0)</f>
        <v>0</v>
      </c>
      <c r="J14" s="375">
        <f t="shared" ref="J14:J16" si="2">SUM(F14:G14)</f>
        <v>0</v>
      </c>
      <c r="K14" s="269" t="e">
        <f>'PLANILHA CONSOLIDADA'!#REF!</f>
        <v>#REF!</v>
      </c>
      <c r="L14" s="263" t="e">
        <f t="shared" si="0"/>
        <v>#REF!</v>
      </c>
      <c r="M14" s="264">
        <f>VLOOKUP(D14,'PLANILHA CONSOLIDADA'!$D$6:$P$61,8,0)</f>
        <v>9.444493229399999</v>
      </c>
      <c r="N14" s="264">
        <f t="shared" ref="N14" si="3">TRUNC(M14*J14,2)</f>
        <v>0</v>
      </c>
      <c r="O14" s="719"/>
      <c r="P14" s="710"/>
      <c r="Q14" s="267"/>
      <c r="R14" s="267"/>
      <c r="S14" s="267"/>
      <c r="T14" s="267"/>
      <c r="U14" s="267"/>
      <c r="V14" s="373"/>
      <c r="W14" s="373"/>
      <c r="X14" s="374"/>
      <c r="Z14" s="87"/>
      <c r="AA14" s="371"/>
      <c r="AB14" s="74" t="s">
        <v>632</v>
      </c>
    </row>
    <row r="15" spans="1:28" s="74" customFormat="1" ht="51.75" thickBot="1">
      <c r="A15" s="721"/>
      <c r="B15" s="261" t="s">
        <v>42</v>
      </c>
      <c r="C15" s="261" t="s">
        <v>24</v>
      </c>
      <c r="D15" s="260" t="s">
        <v>667</v>
      </c>
      <c r="E15" s="261" t="s">
        <v>28</v>
      </c>
      <c r="F15" s="261">
        <f>VLOOKUP(D15,'PLANILHA CONSOLIDADA'!$D$3:$I$61,3,0)</f>
        <v>101.37052799999999</v>
      </c>
      <c r="G15" s="375">
        <f>VLOOKUP(D15,'PLANILHA CONSOLIDADA'!$D$3:$I$61,4,0)</f>
        <v>12.761892000000001</v>
      </c>
      <c r="H15" s="375">
        <f>VLOOKUP(D15,'PLANILHA CONSOLIDADA'!$D$3:$I$61,5,0)</f>
        <v>303.67784483999998</v>
      </c>
      <c r="I15" s="375">
        <f>VLOOKUP(D15,'PLANILHA CONSOLIDADA'!$D$3:$I$61,6,0)</f>
        <v>11.359961999999999</v>
      </c>
      <c r="J15" s="375">
        <f t="shared" si="2"/>
        <v>114.13242</v>
      </c>
      <c r="K15" s="269" t="e">
        <f>'PLANILHA CONSOLIDADA'!#REF!</f>
        <v>#REF!</v>
      </c>
      <c r="L15" s="263" t="e">
        <f>J15-K15</f>
        <v>#REF!</v>
      </c>
      <c r="M15" s="264">
        <f>VLOOKUP(D15,'PLANILHA CONSOLIDADA'!$D$6:$P$61,8,0)</f>
        <v>9.444493229399999</v>
      </c>
      <c r="N15" s="264">
        <f>'PLANILHA CONSOLIDADA'!P52</f>
        <v>1077.9100000000001</v>
      </c>
      <c r="O15" s="719"/>
      <c r="P15" s="710"/>
      <c r="Q15" s="267"/>
      <c r="R15" s="267"/>
      <c r="S15" s="267"/>
      <c r="T15" s="267"/>
      <c r="U15" s="267"/>
      <c r="V15" s="373"/>
      <c r="W15" s="373"/>
      <c r="X15" s="374"/>
      <c r="Z15" s="87"/>
      <c r="AA15" s="371"/>
    </row>
    <row r="16" spans="1:28" s="74" customFormat="1" ht="51.75" thickBot="1">
      <c r="A16" s="722"/>
      <c r="B16" s="288">
        <v>100977</v>
      </c>
      <c r="C16" s="288" t="s">
        <v>24</v>
      </c>
      <c r="D16" s="297" t="s">
        <v>669</v>
      </c>
      <c r="E16" s="288" t="s">
        <v>28</v>
      </c>
      <c r="F16" s="289">
        <f>VLOOKUP($D$16,'PLANILHA CONSOLIDADA'!$D$6:$K$12,3,0)</f>
        <v>262.02500000000003</v>
      </c>
      <c r="G16" s="289">
        <f>VLOOKUP($D$16,'PLANILHA CONSOLIDADA'!$D$6:$K$12,4,0)</f>
        <v>24.00075</v>
      </c>
      <c r="H16" s="289">
        <f>VLOOKUP($D$16,'PLANILHA CONSOLIDADA'!$D$6:$K$12,5,0)</f>
        <v>496.98951499999993</v>
      </c>
      <c r="I16" s="289">
        <f>VLOOKUP($D$16,'PLANILHA CONSOLIDADA'!$D$6:$K$12,6,0)</f>
        <v>62.6218</v>
      </c>
      <c r="J16" s="375">
        <f t="shared" si="2"/>
        <v>286.02575000000002</v>
      </c>
      <c r="K16" s="289">
        <f>VLOOKUP($D$16,'PLANILHA CONSOLIDADA'!$D$6:$K$12,3,0)</f>
        <v>262.02500000000003</v>
      </c>
      <c r="L16" s="289">
        <f>VLOOKUP($D$16,'PLANILHA CONSOLIDADA'!$D$6:$K$12,3,0)</f>
        <v>262.02500000000003</v>
      </c>
      <c r="M16" s="387">
        <f>VLOOKUP($D$16,'PLANILHA CONSOLIDADA'!$D$6:$K$12,8,0)</f>
        <v>9.444493229399999</v>
      </c>
      <c r="N16" s="264">
        <f>'PLANILHA CONSOLIDADA'!P11</f>
        <v>2701.36</v>
      </c>
      <c r="O16" s="723"/>
      <c r="P16" s="710"/>
      <c r="Q16" s="267"/>
      <c r="R16" s="267"/>
      <c r="S16" s="267"/>
      <c r="T16" s="267"/>
      <c r="U16" s="267"/>
      <c r="V16" s="265">
        <f>O16/$N$58</f>
        <v>0</v>
      </c>
      <c r="W16" s="265" t="e">
        <f>V16+W53</f>
        <v>#REF!</v>
      </c>
      <c r="X16" s="266"/>
    </row>
    <row r="17" spans="1:28" s="74" customFormat="1" ht="15.75" thickBot="1">
      <c r="A17" s="720">
        <v>5</v>
      </c>
      <c r="B17" s="716"/>
      <c r="C17" s="716"/>
      <c r="D17" s="724" t="s">
        <v>726</v>
      </c>
      <c r="E17" s="716"/>
      <c r="F17" s="388"/>
      <c r="G17" s="413"/>
      <c r="H17" s="413"/>
      <c r="I17" s="413"/>
      <c r="J17" s="413"/>
      <c r="K17" s="269"/>
      <c r="L17" s="263"/>
      <c r="M17" s="412"/>
      <c r="N17" s="412"/>
      <c r="O17" s="719">
        <f>SUM(N18:N24)</f>
        <v>763050.00000000012</v>
      </c>
      <c r="P17" s="710"/>
      <c r="Q17" s="267"/>
      <c r="R17" s="267"/>
      <c r="S17" s="267"/>
      <c r="T17" s="267"/>
      <c r="U17" s="267"/>
      <c r="V17" s="373"/>
      <c r="W17" s="373"/>
      <c r="X17" s="374"/>
      <c r="Z17" s="87"/>
      <c r="AA17" s="371"/>
    </row>
    <row r="18" spans="1:28" s="74" customFormat="1" ht="26.25" thickBot="1">
      <c r="A18" s="721"/>
      <c r="B18" s="288" t="s">
        <v>56</v>
      </c>
      <c r="C18" s="288" t="s">
        <v>24</v>
      </c>
      <c r="D18" s="297" t="s">
        <v>658</v>
      </c>
      <c r="E18" s="261" t="s">
        <v>729</v>
      </c>
      <c r="F18" s="261">
        <f>VLOOKUP($D$18,'PLANILHA CONSOLIDADA'!$D$3:$I$61,3,0)</f>
        <v>51375</v>
      </c>
      <c r="G18" s="261">
        <f>VLOOKUP($D$18,'PLANILHA CONSOLIDADA'!$D$3:$I$61,4,0)</f>
        <v>57154.705500000011</v>
      </c>
      <c r="H18" s="261">
        <f>VLOOKUP($D$18,'PLANILHA CONSOLIDADA'!$D$3:$I$61,5,0)</f>
        <v>53913.44400000001</v>
      </c>
      <c r="I18" s="261">
        <f>VLOOKUP($D$18,'PLANILHA CONSOLIDADA'!$D$3:$I$61,6,0)</f>
        <v>62148.9</v>
      </c>
      <c r="J18" s="261">
        <f>SUM(F18:G18)</f>
        <v>108529.70550000001</v>
      </c>
      <c r="K18" s="261">
        <f>VLOOKUP($D$18,'PLANILHA CONSOLIDADA'!$D$3:$I$61,3,0)</f>
        <v>51375</v>
      </c>
      <c r="L18" s="261">
        <f>VLOOKUP($D$18,'PLANILHA CONSOLIDADA'!$D$3:$I$61,3,0)</f>
        <v>51375</v>
      </c>
      <c r="M18" s="382">
        <f>'PLANILHA CONSOLIDADA'!K28</f>
        <v>3.0135828654000001</v>
      </c>
      <c r="N18" s="264">
        <f>'PLANILHA CONSOLIDADA'!P28</f>
        <v>327063.25</v>
      </c>
      <c r="O18" s="725"/>
      <c r="P18" s="710"/>
      <c r="Q18" s="267"/>
      <c r="R18" s="267"/>
      <c r="S18" s="267"/>
      <c r="T18" s="267"/>
      <c r="U18" s="267"/>
      <c r="V18" s="373"/>
      <c r="W18" s="373"/>
      <c r="X18" s="374"/>
      <c r="Z18" s="87"/>
      <c r="AA18" s="371"/>
      <c r="AB18" s="74" t="s">
        <v>632</v>
      </c>
    </row>
    <row r="19" spans="1:28" s="74" customFormat="1" ht="26.25" thickBot="1">
      <c r="A19" s="721"/>
      <c r="B19" s="386" t="s">
        <v>56</v>
      </c>
      <c r="C19" s="447" t="s">
        <v>24</v>
      </c>
      <c r="D19" s="200" t="s">
        <v>418</v>
      </c>
      <c r="E19" s="261" t="s">
        <v>729</v>
      </c>
      <c r="F19" s="261">
        <f>VLOOKUP($D$19,'PLANILHA CONSOLIDADA'!$D$3:$I$61,3,0)</f>
        <v>5552.43</v>
      </c>
      <c r="G19" s="261">
        <f>VLOOKUP($D$19,'PLANILHA CONSOLIDADA'!$D$3:$I$61,4,0)</f>
        <v>12632.717400000001</v>
      </c>
      <c r="H19" s="261">
        <f>VLOOKUP($D$19,'PLANILHA CONSOLIDADA'!$D$3:$I$61,5,0)</f>
        <v>5817.8747016000007</v>
      </c>
      <c r="I19" s="261">
        <f>VLOOKUP($D$19,'PLANILHA CONSOLIDADA'!$D$3:$I$61,6,0)</f>
        <v>12695.565000000001</v>
      </c>
      <c r="J19" s="261">
        <f t="shared" ref="J19:J24" si="4">SUM(F19:G19)</f>
        <v>18185.147400000002</v>
      </c>
      <c r="K19" s="262"/>
      <c r="L19" s="263"/>
      <c r="M19" s="264">
        <f>'OBRA 01 - SINTÉTICA'!H44</f>
        <v>3.0135828654000001</v>
      </c>
      <c r="N19" s="264">
        <f>'PLANILHA CONSOLIDADA'!P36</f>
        <v>54802.44</v>
      </c>
      <c r="O19" s="725"/>
      <c r="P19" s="710"/>
      <c r="Q19" s="267"/>
      <c r="R19" s="267"/>
      <c r="S19" s="267"/>
      <c r="T19" s="267"/>
      <c r="U19" s="267"/>
      <c r="V19" s="392"/>
      <c r="W19" s="392"/>
      <c r="X19" s="374"/>
      <c r="Z19" s="242" t="s">
        <v>157</v>
      </c>
      <c r="AA19" s="244">
        <v>1</v>
      </c>
      <c r="AB19" s="74" t="s">
        <v>632</v>
      </c>
    </row>
    <row r="20" spans="1:28" s="74" customFormat="1" ht="43.5" thickBot="1">
      <c r="A20" s="721"/>
      <c r="B20" s="288" t="s">
        <v>34</v>
      </c>
      <c r="C20" s="288" t="s">
        <v>24</v>
      </c>
      <c r="D20" s="376" t="s">
        <v>654</v>
      </c>
      <c r="E20" s="261" t="s">
        <v>729</v>
      </c>
      <c r="F20" s="261">
        <f>VLOOKUP($D$20,'PLANILHA CONSOLIDADA'!$D$16:$K$18,3,0)</f>
        <v>29280.000000000004</v>
      </c>
      <c r="G20" s="261">
        <f>VLOOKUP($D$20,'PLANILHA CONSOLIDADA'!$D$16:$K$18,4,0)</f>
        <v>57154.705500000011</v>
      </c>
      <c r="H20" s="261">
        <f>VLOOKUP($D$20,'PLANILHA CONSOLIDADA'!$D$16:$K$18,5,0)</f>
        <v>53913.44400000001</v>
      </c>
      <c r="I20" s="261">
        <f>VLOOKUP($D$20,'PLANILHA CONSOLIDADA'!$D$16:$K$18,6,0)</f>
        <v>62148.9</v>
      </c>
      <c r="J20" s="261">
        <f t="shared" si="4"/>
        <v>86434.705500000011</v>
      </c>
      <c r="K20" s="388">
        <f>VLOOKUP($D$20,'PLANILHA CONSOLIDADA'!$D$16:$K$18,3,0)</f>
        <v>29280.000000000004</v>
      </c>
      <c r="L20" s="388">
        <f>VLOOKUP($D$20,'PLANILHA CONSOLIDADA'!$D$16:$K$18,3,0)</f>
        <v>29280.000000000004</v>
      </c>
      <c r="M20" s="372">
        <f>VLOOKUP($D$20,'PLANILHA CONSOLIDADA'!$D$16:$K$18,8,0)</f>
        <v>3.5967840741999999</v>
      </c>
      <c r="N20" s="264">
        <f>'PLANILHA CONSOLIDADA'!P18</f>
        <v>310886.96000000002</v>
      </c>
      <c r="O20" s="725"/>
      <c r="P20" s="710"/>
      <c r="Q20" s="267"/>
      <c r="R20" s="267"/>
      <c r="S20" s="267"/>
      <c r="T20" s="267"/>
      <c r="U20" s="267"/>
      <c r="V20" s="373"/>
      <c r="W20" s="373"/>
      <c r="X20" s="374"/>
      <c r="Z20" s="87"/>
      <c r="AA20" s="371"/>
      <c r="AB20" s="74" t="s">
        <v>632</v>
      </c>
    </row>
    <row r="21" spans="1:28" s="74" customFormat="1" ht="39" thickBot="1">
      <c r="A21" s="721"/>
      <c r="B21" s="288" t="s">
        <v>34</v>
      </c>
      <c r="C21" s="288" t="s">
        <v>24</v>
      </c>
      <c r="D21" s="297" t="s">
        <v>656</v>
      </c>
      <c r="E21" s="261" t="s">
        <v>729</v>
      </c>
      <c r="F21" s="378">
        <f>VLOOKUP($D$21,'PLANILHA CONSOLIDADA'!$D$6:$O$12,3,0)</f>
        <v>7860.7500000000009</v>
      </c>
      <c r="G21" s="378">
        <f>VLOOKUP($D$21,'PLANILHA CONSOLIDADA'!$D$6:$O$12,4,0)</f>
        <v>720.02250000000004</v>
      </c>
      <c r="H21" s="378">
        <f>VLOOKUP($D$21,'PLANILHA CONSOLIDADA'!$D$6:$O$12,5,0)</f>
        <v>14909.685449999997</v>
      </c>
      <c r="I21" s="378">
        <f>VLOOKUP($D$21,'PLANILHA CONSOLIDADA'!$D$6:$O$12,6,0)</f>
        <v>1878.654</v>
      </c>
      <c r="J21" s="261">
        <f t="shared" si="4"/>
        <v>8580.7725000000009</v>
      </c>
      <c r="K21" s="377">
        <f>VLOOKUP($D$21,'PLANILHA CONSOLIDADA'!$D$6:$O$12,3,0)</f>
        <v>7860.7500000000009</v>
      </c>
      <c r="L21" s="377">
        <f>VLOOKUP($D$21,'PLANILHA CONSOLIDADA'!$D$6:$O$12,3,0)</f>
        <v>7860.7500000000009</v>
      </c>
      <c r="M21" s="383">
        <f>VLOOKUP($D$21,'PLANILHA CONSOLIDADA'!$D$6:$O$12,8,0)</f>
        <v>3.5967840741999999</v>
      </c>
      <c r="N21" s="264">
        <f t="shared" ref="N21:N23" si="5">TRUNC(M21*J21,2)</f>
        <v>30863.18</v>
      </c>
      <c r="O21" s="725"/>
      <c r="P21" s="710"/>
      <c r="Q21" s="267"/>
      <c r="R21" s="267"/>
      <c r="S21" s="267"/>
      <c r="T21" s="267"/>
      <c r="U21" s="267"/>
      <c r="V21" s="373"/>
      <c r="W21" s="373"/>
      <c r="X21" s="374"/>
      <c r="Z21" s="87"/>
      <c r="AA21" s="371"/>
      <c r="AB21" s="74" t="s">
        <v>632</v>
      </c>
    </row>
    <row r="22" spans="1:28" s="74" customFormat="1" ht="39" thickBot="1">
      <c r="A22" s="718"/>
      <c r="B22" s="315" t="s">
        <v>56</v>
      </c>
      <c r="C22" s="298" t="s">
        <v>24</v>
      </c>
      <c r="D22" s="300" t="s">
        <v>653</v>
      </c>
      <c r="E22" s="261" t="s">
        <v>729</v>
      </c>
      <c r="F22" s="381">
        <f>VLOOKUP($D$22,'PLANILHA CONSOLIDADA'!$D$49:$K$53,3,0)</f>
        <v>3041.1158399999999</v>
      </c>
      <c r="G22" s="381">
        <f>VLOOKUP($D$22,'PLANILHA CONSOLIDADA'!$D$49:$K$53,4,0)</f>
        <v>382.85676000000007</v>
      </c>
      <c r="H22" s="381">
        <f>VLOOKUP($D$22,'PLANILHA CONSOLIDADA'!$D$49:$K$53,5,0)</f>
        <v>9110.3353451999992</v>
      </c>
      <c r="I22" s="381">
        <f>VLOOKUP($D$22,'PLANILHA CONSOLIDADA'!$D$49:$K$53,6,0)</f>
        <v>340.79885999999999</v>
      </c>
      <c r="J22" s="261">
        <f t="shared" si="4"/>
        <v>3423.9726000000001</v>
      </c>
      <c r="K22" s="380">
        <f>VLOOKUP($D$22,'PLANILHA CONSOLIDADA'!$D$49:$K$53,3,0)</f>
        <v>3041.1158399999999</v>
      </c>
      <c r="L22" s="380">
        <f>VLOOKUP($D$22,'PLANILHA CONSOLIDADA'!$D$49:$K$53,3,0)</f>
        <v>3041.1158399999999</v>
      </c>
      <c r="M22" s="384">
        <f>VLOOKUP($D$22,'PLANILHA CONSOLIDADA'!$D$49:$K$53,8,0)</f>
        <v>3.0135828654000001</v>
      </c>
      <c r="N22" s="264">
        <f>'PLANILHA CONSOLIDADA'!P53</f>
        <v>10318.42</v>
      </c>
      <c r="O22" s="726"/>
      <c r="P22" s="710"/>
      <c r="Q22" s="267"/>
      <c r="R22" s="267"/>
      <c r="S22" s="267"/>
      <c r="T22" s="267"/>
      <c r="U22" s="267"/>
      <c r="V22" s="373"/>
      <c r="W22" s="373"/>
      <c r="X22" s="374"/>
      <c r="Z22" s="87"/>
      <c r="AA22" s="371"/>
      <c r="AB22" s="74" t="s">
        <v>632</v>
      </c>
    </row>
    <row r="23" spans="1:28" s="74" customFormat="1" ht="39" thickBot="1">
      <c r="A23" s="718"/>
      <c r="B23" s="288">
        <v>95875</v>
      </c>
      <c r="C23" s="288" t="s">
        <v>24</v>
      </c>
      <c r="D23" s="297" t="s">
        <v>668</v>
      </c>
      <c r="E23" s="261" t="s">
        <v>729</v>
      </c>
      <c r="F23" s="381">
        <f>VLOOKUP($D$23,'PLANILHA CONSOLIDADA'!$D$30:$K$44,3,0)</f>
        <v>0</v>
      </c>
      <c r="G23" s="381">
        <f>VLOOKUP($D$23,'PLANILHA CONSOLIDADA'!$D$30:$K$44,4,0)</f>
        <v>0</v>
      </c>
      <c r="H23" s="381">
        <f>VLOOKUP($D$23,'PLANILHA CONSOLIDADA'!$D$30:$K$44,5,0)</f>
        <v>5391.3444000000009</v>
      </c>
      <c r="I23" s="381">
        <f>VLOOKUP($D$23,'PLANILHA CONSOLIDADA'!$D$30:$K$44,6,0)</f>
        <v>0</v>
      </c>
      <c r="J23" s="261">
        <f t="shared" si="4"/>
        <v>0</v>
      </c>
      <c r="K23" s="381">
        <f>VLOOKUP($D$23,'PLANILHA CONSOLIDADA'!$D$30:$K$44,3,0)</f>
        <v>0</v>
      </c>
      <c r="L23" s="381">
        <f>VLOOKUP($D$23,'PLANILHA CONSOLIDADA'!$D$30:$K$44,3,0)</f>
        <v>0</v>
      </c>
      <c r="M23" s="385">
        <f>VLOOKUP($D$23,'PLANILHA CONSOLIDADA'!$D$30:$K$44,8,0)</f>
        <v>3.0135828654000001</v>
      </c>
      <c r="N23" s="264">
        <f t="shared" si="5"/>
        <v>0</v>
      </c>
      <c r="O23" s="726"/>
      <c r="P23" s="710"/>
      <c r="Q23" s="267"/>
      <c r="R23" s="267"/>
      <c r="S23" s="267"/>
      <c r="T23" s="267"/>
      <c r="U23" s="267"/>
      <c r="V23" s="373"/>
      <c r="W23" s="373"/>
      <c r="X23" s="374"/>
      <c r="Z23" s="87"/>
      <c r="AA23" s="371"/>
      <c r="AB23" s="74" t="s">
        <v>632</v>
      </c>
    </row>
    <row r="24" spans="1:28" s="74" customFormat="1" ht="26.25" thickBot="1">
      <c r="A24" s="718"/>
      <c r="B24" s="288" t="s">
        <v>56</v>
      </c>
      <c r="C24" s="288" t="s">
        <v>24</v>
      </c>
      <c r="D24" s="419" t="s">
        <v>419</v>
      </c>
      <c r="E24" s="261" t="s">
        <v>729</v>
      </c>
      <c r="F24" s="381">
        <f>VLOOKUP($D$24,'PLANILHA CONSOLIDADA'!$D$30:$K$44,3,0)</f>
        <v>0</v>
      </c>
      <c r="G24" s="381">
        <f>VLOOKUP($D$24,'PLANILHA CONSOLIDADA'!$D$30:$K$44,4,0)</f>
        <v>9661.5081000000009</v>
      </c>
      <c r="H24" s="381">
        <f>VLOOKUP($D$24,'PLANILHA CONSOLIDADA'!$D$30:$K$44,5,0)</f>
        <v>0</v>
      </c>
      <c r="I24" s="381">
        <f>VLOOKUP($D$24,'PLANILHA CONSOLIDADA'!$D$30:$K$44,6,0)</f>
        <v>9721.0125000000007</v>
      </c>
      <c r="J24" s="261">
        <f t="shared" si="4"/>
        <v>9661.5081000000009</v>
      </c>
      <c r="K24" s="381">
        <f>VLOOKUP($D$24,'PLANILHA CONSOLIDADA'!$D$30:$K$44,3,0)</f>
        <v>0</v>
      </c>
      <c r="L24" s="381">
        <f>VLOOKUP($D$24,'PLANILHA CONSOLIDADA'!$D$30:$K$44,3,0)</f>
        <v>0</v>
      </c>
      <c r="M24" s="385">
        <f>VLOOKUP($D$24,'PLANILHA CONSOLIDADA'!$D$30:$K$44,8,0)</f>
        <v>3.0135828654000001</v>
      </c>
      <c r="N24" s="264">
        <f>'PLANILHA CONSOLIDADA'!P38</f>
        <v>29115.75</v>
      </c>
      <c r="O24" s="726"/>
      <c r="P24" s="710"/>
      <c r="Q24" s="267"/>
      <c r="R24" s="267"/>
      <c r="S24" s="267"/>
      <c r="T24" s="267"/>
      <c r="U24" s="267"/>
      <c r="V24" s="373"/>
      <c r="W24" s="373"/>
      <c r="X24" s="374"/>
      <c r="Z24" s="87"/>
      <c r="AA24" s="371"/>
      <c r="AB24" s="74" t="s">
        <v>632</v>
      </c>
    </row>
    <row r="25" spans="1:28" s="74" customFormat="1" ht="15">
      <c r="A25" s="720">
        <v>6</v>
      </c>
      <c r="B25" s="716"/>
      <c r="C25" s="716"/>
      <c r="D25" s="724" t="s">
        <v>727</v>
      </c>
      <c r="E25" s="716"/>
      <c r="F25" s="415"/>
      <c r="G25" s="415"/>
      <c r="H25" s="415"/>
      <c r="I25" s="415"/>
      <c r="J25" s="415"/>
      <c r="K25" s="415"/>
      <c r="L25" s="415"/>
      <c r="M25" s="416"/>
      <c r="N25" s="417"/>
      <c r="O25" s="727">
        <f>SUM(N26:N27)</f>
        <v>28808.79</v>
      </c>
      <c r="P25" s="710"/>
      <c r="Q25" s="267"/>
      <c r="R25" s="267"/>
      <c r="S25" s="267"/>
      <c r="T25" s="267"/>
      <c r="U25" s="267"/>
      <c r="V25" s="373"/>
      <c r="W25" s="373"/>
      <c r="X25" s="374"/>
      <c r="Z25" s="87"/>
      <c r="AA25" s="371"/>
    </row>
    <row r="26" spans="1:28" s="74" customFormat="1" ht="38.25">
      <c r="A26" s="722"/>
      <c r="B26" s="261" t="s">
        <v>67</v>
      </c>
      <c r="C26" s="261" t="s">
        <v>24</v>
      </c>
      <c r="D26" s="260" t="s">
        <v>68</v>
      </c>
      <c r="E26" s="261" t="s">
        <v>730</v>
      </c>
      <c r="F26" s="261">
        <f>VLOOKUP(D26,'PLANILHA CONSOLIDADA'!$D$3:$I$61,3,0)</f>
        <v>16508.247972319998</v>
      </c>
      <c r="G26" s="261">
        <f>VLOOKUP(D26,'PLANILHA CONSOLIDADA'!$D$3:$I$61,4,0)</f>
        <v>19921.608319449602</v>
      </c>
      <c r="H26" s="261">
        <f>VLOOKUP(D26,'PLANILHA CONSOLIDADA'!$D$3:$I$61,5,0)</f>
        <v>16029.315139385602</v>
      </c>
      <c r="I26" s="261">
        <f>VLOOKUP(D26,'PLANILHA CONSOLIDADA'!$D$3:$I$61,6,0)</f>
        <v>35106.117230559998</v>
      </c>
      <c r="J26" s="261">
        <f>SUM(F26:G26)</f>
        <v>36429.856291769596</v>
      </c>
      <c r="K26" s="262">
        <f>VLOOKUP(D26,'PLANILHA CONSOLIDADA'!$D$6:$P$61,7,0)</f>
        <v>36429.856291769596</v>
      </c>
      <c r="L26" s="263">
        <f>J26-K26</f>
        <v>0</v>
      </c>
      <c r="M26" s="263">
        <f>VLOOKUP(D26,'PLANILHA CONSOLIDADA'!$D$6:$P$61,8,0)</f>
        <v>0.68072843250000004</v>
      </c>
      <c r="N26" s="264">
        <f>'PLANILHA CONSOLIDADA'!P35</f>
        <v>24798.83</v>
      </c>
      <c r="O26" s="723"/>
      <c r="P26" s="710">
        <f>VLOOKUP(D26,'PLANILHA CONSOLIDADA'!D21:O81,9,0)</f>
        <v>11237.63</v>
      </c>
      <c r="Q26" s="267">
        <f>VLOOKUP(D26,'PLANILHA CONSOLIDADA'!D21:O81,10,0)</f>
        <v>13561.2</v>
      </c>
      <c r="R26" s="267">
        <f>VLOOKUP(D26,'PLANILHA CONSOLIDADA'!D21:O81,11,0)</f>
        <v>10911.61</v>
      </c>
      <c r="S26" s="267">
        <f>VLOOKUP(D26,'PLANILHA CONSOLIDADA'!D21:O81,12,0)</f>
        <v>23897.73</v>
      </c>
      <c r="T26" s="267">
        <f>SUM(P26:S26)</f>
        <v>59608.17</v>
      </c>
      <c r="U26" s="267">
        <f>T26-N26</f>
        <v>34809.339999999997</v>
      </c>
      <c r="V26" s="265">
        <f>O26/$N$58</f>
        <v>0</v>
      </c>
      <c r="W26" s="265" t="e">
        <f>V26+W48</f>
        <v>#REF!</v>
      </c>
      <c r="X26" s="266" t="e">
        <f>IF(W26&lt;=$AA$5,"A",IF(W26&lt;=$AA$6,"B","C"))</f>
        <v>#REF!</v>
      </c>
      <c r="AB26" s="74" t="s">
        <v>632</v>
      </c>
    </row>
    <row r="27" spans="1:28" s="74" customFormat="1" ht="38.25">
      <c r="A27" s="722"/>
      <c r="B27" s="261" t="s">
        <v>64</v>
      </c>
      <c r="C27" s="261" t="s">
        <v>24</v>
      </c>
      <c r="D27" s="260" t="s">
        <v>65</v>
      </c>
      <c r="E27" s="261" t="s">
        <v>730</v>
      </c>
      <c r="F27" s="261">
        <f>VLOOKUP(D27,'PLANILHA CONSOLIDADA'!$D$3:$I$61,3,0)</f>
        <v>1053.7179556799999</v>
      </c>
      <c r="G27" s="261">
        <f>VLOOKUP(D27,'PLANILHA CONSOLIDADA'!$D$3:$I$61,4,0)</f>
        <v>1271.5920203904002</v>
      </c>
      <c r="H27" s="261">
        <f>VLOOKUP(D27,'PLANILHA CONSOLIDADA'!$D$3:$I$61,5,0)</f>
        <v>1023.1477748544002</v>
      </c>
      <c r="I27" s="261">
        <f>VLOOKUP(D27,'PLANILHA CONSOLIDADA'!$D$3:$I$61,6,0)</f>
        <v>2240.8159934400001</v>
      </c>
      <c r="J27" s="261">
        <f>SUM(F27:G27)</f>
        <v>2325.3099760703999</v>
      </c>
      <c r="K27" s="270">
        <f>VLOOKUP(D27,'PLANILHA CONSOLIDADA'!$D$6:$P$61,7,0)</f>
        <v>2325.3099760703999</v>
      </c>
      <c r="L27" s="263">
        <f>J27-K27</f>
        <v>0</v>
      </c>
      <c r="M27" s="263">
        <f>VLOOKUP(D27,'PLANILHA CONSOLIDADA'!$D$6:$P$61,8,0)</f>
        <v>1.7244854156</v>
      </c>
      <c r="N27" s="264">
        <f>'PLANILHA CONSOLIDADA'!P34</f>
        <v>4009.96</v>
      </c>
      <c r="O27" s="723"/>
      <c r="P27" s="710">
        <f>VLOOKUP(D27,'PLANILHA CONSOLIDADA'!D29:O90,9,0)</f>
        <v>1817.12</v>
      </c>
      <c r="Q27" s="267">
        <f>VLOOKUP(D27,'PLANILHA CONSOLIDADA'!D29:O90,10,0)</f>
        <v>2192.84</v>
      </c>
      <c r="R27" s="267">
        <f>VLOOKUP(D27,'PLANILHA CONSOLIDADA'!D29:O90,11,0)</f>
        <v>1764.4</v>
      </c>
      <c r="S27" s="267">
        <f>VLOOKUP(D27,'PLANILHA CONSOLIDADA'!D29:O90,12,0)</f>
        <v>3864.25</v>
      </c>
      <c r="T27" s="267">
        <f>SUM(P27:S27)</f>
        <v>9638.61</v>
      </c>
      <c r="U27" s="267">
        <f>T27-N27</f>
        <v>5628.6500000000005</v>
      </c>
      <c r="V27" s="265">
        <f>O27/$N$58</f>
        <v>0</v>
      </c>
      <c r="W27" s="265" t="e">
        <f>V27+W52</f>
        <v>#REF!</v>
      </c>
      <c r="X27" s="266" t="e">
        <f>IF(W27&lt;=$AA$5,"A",IF(W27&lt;=$AA$6,"B","C"))</f>
        <v>#REF!</v>
      </c>
      <c r="AB27" s="74" t="s">
        <v>632</v>
      </c>
    </row>
    <row r="28" spans="1:28" s="74" customFormat="1" ht="38.25">
      <c r="A28" s="720">
        <v>7</v>
      </c>
      <c r="B28" s="388">
        <v>101124</v>
      </c>
      <c r="C28" s="388" t="s">
        <v>24</v>
      </c>
      <c r="D28" s="403" t="s">
        <v>397</v>
      </c>
      <c r="E28" s="388" t="s">
        <v>28</v>
      </c>
      <c r="F28" s="388">
        <f>VLOOKUP(D28,'PLANILHA CONSOLIDADA'!$D$3:$I$61,3,0)</f>
        <v>780.80000000000007</v>
      </c>
      <c r="G28" s="388">
        <f>VLOOKUP(D28,'PLANILHA CONSOLIDADA'!$D$3:$I$61,4,0)</f>
        <v>1524.1254800000002</v>
      </c>
      <c r="H28" s="388">
        <f>VLOOKUP(D28,'PLANILHA CONSOLIDADA'!$D$3:$I$61,5,0)</f>
        <v>1437.6918400000002</v>
      </c>
      <c r="I28" s="388">
        <f>VLOOKUP(D28,'PLANILHA CONSOLIDADA'!$D$3:$I$61,6,0)</f>
        <v>2071.63</v>
      </c>
      <c r="J28" s="388">
        <f>SUM(F28:G28)</f>
        <v>2304.9254800000003</v>
      </c>
      <c r="K28" s="411">
        <f>VLOOKUP(D28,'PLANILHA CONSOLIDADA'!$D$6:$P$61,7,0)</f>
        <v>2304.9254800000003</v>
      </c>
      <c r="L28" s="411">
        <f>J28-K28</f>
        <v>0</v>
      </c>
      <c r="M28" s="412">
        <f>VLOOKUP(D28,'PLANILHA CONSOLIDADA'!$D$6:$P$61,8,0)</f>
        <v>18.541465052499998</v>
      </c>
      <c r="N28" s="412">
        <f>'PLANILHA CONSOLIDADA'!P16</f>
        <v>42736.68</v>
      </c>
      <c r="O28" s="719">
        <f>N28</f>
        <v>42736.68</v>
      </c>
      <c r="P28" s="710"/>
      <c r="Q28" s="267"/>
      <c r="R28" s="267"/>
      <c r="S28" s="267"/>
      <c r="T28" s="267"/>
      <c r="U28" s="267"/>
      <c r="V28" s="373">
        <f>O28/$O$57</f>
        <v>1.3271990993260114E-2</v>
      </c>
      <c r="W28" s="373"/>
      <c r="X28" s="374"/>
      <c r="Z28" s="87"/>
      <c r="AA28" s="371"/>
      <c r="AB28" s="74" t="s">
        <v>632</v>
      </c>
    </row>
    <row r="29" spans="1:28" s="74" customFormat="1" ht="25.9" customHeight="1">
      <c r="A29" s="720">
        <v>8</v>
      </c>
      <c r="B29" s="388" t="s">
        <v>41</v>
      </c>
      <c r="C29" s="388" t="s">
        <v>27</v>
      </c>
      <c r="D29" s="403" t="s">
        <v>562</v>
      </c>
      <c r="E29" s="388" t="s">
        <v>28</v>
      </c>
      <c r="F29" s="388">
        <f>VLOOKUP(D29,'PLANILHA CONSOLIDADA'!$D$3:$I$61,3,0)</f>
        <v>780.80000000000007</v>
      </c>
      <c r="G29" s="388">
        <f>VLOOKUP(D29,'PLANILHA CONSOLIDADA'!$D$3:$I$61,4,0)</f>
        <v>1524.1254800000002</v>
      </c>
      <c r="H29" s="388">
        <f>VLOOKUP(D29,'PLANILHA CONSOLIDADA'!$D$3:$I$61,5,0)</f>
        <v>1437.6918400000002</v>
      </c>
      <c r="I29" s="388">
        <f>VLOOKUP(D29,'PLANILHA CONSOLIDADA'!$D$3:$I$61,6,0)</f>
        <v>2071.63</v>
      </c>
      <c r="J29" s="388">
        <f>SUM(F29:G29)</f>
        <v>2304.9254800000003</v>
      </c>
      <c r="K29" s="411">
        <f>VLOOKUP(D29,'PLANILHA CONSOLIDADA'!$D$6:$P$61,7,0)</f>
        <v>2304.9254800000003</v>
      </c>
      <c r="L29" s="411">
        <f>J29-K29</f>
        <v>0</v>
      </c>
      <c r="M29" s="412">
        <f>VLOOKUP(D29,'PLANILHA CONSOLIDADA'!$D$6:$P$61,8,0)</f>
        <v>5.9293249085570734</v>
      </c>
      <c r="N29" s="412">
        <f>'PLANILHA CONSOLIDADA'!P17</f>
        <v>13666.64</v>
      </c>
      <c r="O29" s="719">
        <f>N29</f>
        <v>13666.64</v>
      </c>
      <c r="P29" s="710"/>
      <c r="Q29" s="267"/>
      <c r="R29" s="267"/>
      <c r="S29" s="267"/>
      <c r="T29" s="267"/>
      <c r="U29" s="267"/>
      <c r="V29" s="373">
        <f>O29/$O$57</f>
        <v>4.2442118336784322E-3</v>
      </c>
      <c r="W29" s="373"/>
      <c r="X29" s="374"/>
      <c r="Z29" s="87"/>
      <c r="AA29" s="371"/>
      <c r="AB29" s="74" t="s">
        <v>632</v>
      </c>
    </row>
    <row r="30" spans="1:28" s="74" customFormat="1" ht="15">
      <c r="A30" s="715">
        <v>9</v>
      </c>
      <c r="B30" s="716"/>
      <c r="C30" s="448"/>
      <c r="D30" s="396" t="s">
        <v>720</v>
      </c>
      <c r="E30" s="396"/>
      <c r="F30" s="396"/>
      <c r="G30" s="396"/>
      <c r="H30" s="396"/>
      <c r="I30" s="396"/>
      <c r="J30" s="396"/>
      <c r="K30" s="396"/>
      <c r="L30" s="396"/>
      <c r="M30" s="396"/>
      <c r="N30" s="397"/>
      <c r="O30" s="717">
        <f>SUM(N31:N33)</f>
        <v>97873.146363182488</v>
      </c>
      <c r="P30" s="710"/>
      <c r="Q30" s="267"/>
      <c r="R30" s="267"/>
      <c r="S30" s="267"/>
      <c r="T30" s="267"/>
      <c r="U30" s="267"/>
      <c r="V30" s="373">
        <f>O30/N58</f>
        <v>3.0394769013741517E-2</v>
      </c>
      <c r="W30" s="373" t="e">
        <f>V30+#REF!</f>
        <v>#REF!</v>
      </c>
      <c r="X30" s="374" t="str">
        <f>IF(W5&lt;=$AA$5,"A",IF(W5&lt;=$AA$6,"B","C"))</f>
        <v>A</v>
      </c>
      <c r="Z30" s="87"/>
      <c r="AA30" s="371"/>
    </row>
    <row r="31" spans="1:28" s="74" customFormat="1" ht="15">
      <c r="A31" s="718"/>
      <c r="B31" s="261" t="s">
        <v>29</v>
      </c>
      <c r="C31" s="261" t="s">
        <v>30</v>
      </c>
      <c r="D31" s="260" t="s">
        <v>560</v>
      </c>
      <c r="E31" s="261" t="s">
        <v>31</v>
      </c>
      <c r="F31" s="261">
        <f>VLOOKUP(D31,'PLANILHA CONSOLIDADA'!$D$3:$I$61,3,0)</f>
        <v>732</v>
      </c>
      <c r="G31" s="261">
        <f>VLOOKUP(D31,'PLANILHA CONSOLIDADA'!$D$3:$I$61,4,0)</f>
        <v>533.35</v>
      </c>
      <c r="H31" s="261">
        <f>VLOOKUP(D31,'PLANILHA CONSOLIDADA'!$D$3:$I$61,5,0)</f>
        <v>1391.37</v>
      </c>
      <c r="I31" s="261">
        <f>VLOOKUP(D31,'PLANILHA CONSOLIDADA'!$D$3:$I$61,6,0)</f>
        <v>66.36</v>
      </c>
      <c r="J31" s="261">
        <f>SUM(F31:G31)</f>
        <v>1265.3499999999999</v>
      </c>
      <c r="K31" s="262">
        <f>VLOOKUP(D31,'PLANILHA CONSOLIDADA'!$D$6:$P$61,7,0)</f>
        <v>1265.3499999999999</v>
      </c>
      <c r="L31" s="263">
        <f>J31-K31</f>
        <v>0</v>
      </c>
      <c r="M31" s="264">
        <f>VLOOKUP(D31,'PLANILHA CONSOLIDADA'!$D$6:$P$61,8,0)</f>
        <v>11.871390950000002</v>
      </c>
      <c r="N31" s="264">
        <f>'PLANILHA CONSOLIDADA'!P9</f>
        <v>15021.456363182502</v>
      </c>
      <c r="O31" s="719"/>
      <c r="P31" s="710"/>
      <c r="Q31" s="267"/>
      <c r="R31" s="267"/>
      <c r="S31" s="267"/>
      <c r="T31" s="267"/>
      <c r="U31" s="267"/>
      <c r="V31" s="373"/>
      <c r="W31" s="373"/>
      <c r="X31" s="374"/>
      <c r="Z31" s="87"/>
      <c r="AA31" s="371"/>
      <c r="AB31" s="74" t="s">
        <v>632</v>
      </c>
    </row>
    <row r="32" spans="1:28" s="74" customFormat="1" ht="25.5">
      <c r="A32" s="718"/>
      <c r="B32" s="261" t="s">
        <v>23</v>
      </c>
      <c r="C32" s="261" t="s">
        <v>24</v>
      </c>
      <c r="D32" s="260" t="s">
        <v>25</v>
      </c>
      <c r="E32" s="261" t="s">
        <v>21</v>
      </c>
      <c r="F32" s="261">
        <f>VLOOKUP(D32,'PLANILHA CONSOLIDADA'!$D$3:$I$61,3,0)</f>
        <v>2946</v>
      </c>
      <c r="G32" s="261">
        <f>VLOOKUP(D32,'PLANILHA CONSOLIDADA'!$D$3:$I$61,4,0)</f>
        <v>0</v>
      </c>
      <c r="H32" s="261">
        <f>VLOOKUP(D32,'PLANILHA CONSOLIDADA'!$D$3:$I$61,5,0)</f>
        <v>113.0973</v>
      </c>
      <c r="I32" s="261">
        <f>VLOOKUP(D32,'PLANILHA CONSOLIDADA'!$D$3:$I$61,6,0)</f>
        <v>156.11000000000001</v>
      </c>
      <c r="J32" s="261">
        <f t="shared" ref="J32:J33" si="6">SUM(F32:G32)</f>
        <v>2946</v>
      </c>
      <c r="K32" s="262">
        <f>VLOOKUP(D32,'PLANILHA CONSOLIDADA'!$D$6:$P$61,7,0)</f>
        <v>2946</v>
      </c>
      <c r="L32" s="263">
        <f>J32-K32</f>
        <v>0</v>
      </c>
      <c r="M32" s="264">
        <f>VLOOKUP(D32,'PLANILHA CONSOLIDADA'!$D$6:$P$61,8,0)</f>
        <v>27.400256623199997</v>
      </c>
      <c r="N32" s="264">
        <f>'PLANILHA CONSOLIDADA'!P7</f>
        <v>80721.149999999994</v>
      </c>
      <c r="O32" s="719"/>
      <c r="P32" s="710"/>
      <c r="Q32" s="267"/>
      <c r="R32" s="267"/>
      <c r="S32" s="267"/>
      <c r="T32" s="267"/>
      <c r="U32" s="267"/>
      <c r="V32" s="373"/>
      <c r="W32" s="373"/>
      <c r="X32" s="374"/>
      <c r="Z32" s="87"/>
      <c r="AA32" s="371"/>
      <c r="AB32" s="74" t="s">
        <v>632</v>
      </c>
    </row>
    <row r="33" spans="1:28" s="74" customFormat="1" ht="15">
      <c r="A33" s="718"/>
      <c r="B33" s="261" t="s">
        <v>362</v>
      </c>
      <c r="C33" s="261" t="s">
        <v>27</v>
      </c>
      <c r="D33" s="260" t="s">
        <v>561</v>
      </c>
      <c r="E33" s="261" t="s">
        <v>28</v>
      </c>
      <c r="F33" s="261">
        <f>VLOOKUP(D33,'PLANILHA CONSOLIDADA'!$D$3:$I$61,3,0)</f>
        <v>4.5</v>
      </c>
      <c r="G33" s="261">
        <f>VLOOKUP(D33,'PLANILHA CONSOLIDADA'!$D$3:$I$61,4,0)</f>
        <v>0</v>
      </c>
      <c r="H33" s="261">
        <f>VLOOKUP(D33,'PLANILHA CONSOLIDADA'!$D$3:$I$61,5,0)</f>
        <v>428.72299999999996</v>
      </c>
      <c r="I33" s="261">
        <f>VLOOKUP(D33,'PLANILHA CONSOLIDADA'!$D$3:$I$61,6,0)</f>
        <v>51.830100000000002</v>
      </c>
      <c r="J33" s="261">
        <f t="shared" si="6"/>
        <v>4.5</v>
      </c>
      <c r="K33" s="262">
        <f>VLOOKUP(D33,'PLANILHA CONSOLIDADA'!$D$6:$P$61,7,0)</f>
        <v>4.5</v>
      </c>
      <c r="L33" s="263">
        <f>J33-K33</f>
        <v>0</v>
      </c>
      <c r="M33" s="264">
        <f>VLOOKUP(D33,'PLANILHA CONSOLIDADA'!$D$6:$P$61,8,0)</f>
        <v>473.45342400776383</v>
      </c>
      <c r="N33" s="264">
        <f>'PLANILHA CONSOLIDADA'!P10</f>
        <v>2130.54</v>
      </c>
      <c r="O33" s="719"/>
      <c r="P33" s="710"/>
      <c r="Q33" s="267"/>
      <c r="R33" s="267"/>
      <c r="S33" s="267"/>
      <c r="T33" s="267"/>
      <c r="U33" s="267"/>
      <c r="V33" s="373"/>
      <c r="W33" s="373"/>
      <c r="X33" s="374"/>
      <c r="Z33" s="87"/>
      <c r="AA33" s="371"/>
      <c r="AB33" s="74" t="s">
        <v>632</v>
      </c>
    </row>
    <row r="34" spans="1:28" s="74" customFormat="1" ht="15">
      <c r="A34" s="715">
        <v>10</v>
      </c>
      <c r="B34" s="716"/>
      <c r="C34" s="448"/>
      <c r="D34" s="396" t="s">
        <v>721</v>
      </c>
      <c r="E34" s="396"/>
      <c r="F34" s="396"/>
      <c r="G34" s="396"/>
      <c r="H34" s="396"/>
      <c r="I34" s="396"/>
      <c r="J34" s="396"/>
      <c r="K34" s="396"/>
      <c r="L34" s="396"/>
      <c r="M34" s="396"/>
      <c r="N34" s="397"/>
      <c r="O34" s="717">
        <f>SUM(N35:N36)</f>
        <v>33427.75</v>
      </c>
      <c r="P34" s="710"/>
      <c r="Q34" s="267"/>
      <c r="R34" s="267"/>
      <c r="S34" s="267"/>
      <c r="T34" s="267"/>
      <c r="U34" s="267"/>
      <c r="V34" s="373">
        <f>O34/N58</f>
        <v>1.0381077728193924E-2</v>
      </c>
      <c r="W34" s="373" t="e">
        <f>V34+W30</f>
        <v>#REF!</v>
      </c>
      <c r="X34" s="374" t="str">
        <f>IF(W5&lt;=$AA$5,"A",IF(W5&lt;=$AA$6,"B","C"))</f>
        <v>A</v>
      </c>
      <c r="Z34" s="87"/>
      <c r="AA34" s="371"/>
    </row>
    <row r="35" spans="1:28" s="74" customFormat="1" ht="15">
      <c r="A35" s="718"/>
      <c r="B35" s="261" t="s">
        <v>303</v>
      </c>
      <c r="C35" s="261" t="s">
        <v>303</v>
      </c>
      <c r="D35" s="260" t="s">
        <v>305</v>
      </c>
      <c r="E35" s="261" t="s">
        <v>61</v>
      </c>
      <c r="F35" s="261">
        <f>VLOOKUP(D35,'PLANILHA CONSOLIDADA'!$D$3:$I$61,3,0)</f>
        <v>4.812106</v>
      </c>
      <c r="G35" s="261">
        <f>VLOOKUP(D35,'PLANILHA CONSOLIDADA'!$D$3:$I$61,4,0)</f>
        <v>5.3661503999999995</v>
      </c>
      <c r="H35" s="261">
        <f>VLOOKUP(D35,'PLANILHA CONSOLIDADA'!$D$3:$I$61,5,0)</f>
        <v>4.6724984799999998</v>
      </c>
      <c r="I35" s="261">
        <f>VLOOKUP(D35,'PLANILHA CONSOLIDADA'!$D$3:$I$61,6,0)</f>
        <v>5.3862379999999996</v>
      </c>
      <c r="J35" s="261">
        <f>SUM(F35:G35)</f>
        <v>10.178256399999999</v>
      </c>
      <c r="K35" s="262">
        <f>VLOOKUP(D35,'PLANILHA CONSOLIDADA'!$D$6:$P$61,7,0)</f>
        <v>10.178256399999999</v>
      </c>
      <c r="L35" s="263">
        <f>J35-K35</f>
        <v>0</v>
      </c>
      <c r="M35" s="264">
        <f>VLOOKUP(D35,'PLANILHA CONSOLIDADA'!$D$6:$P$61,8,0)</f>
        <v>2913.0285680000006</v>
      </c>
      <c r="N35" s="264">
        <f>'PLANILHA CONSOLIDADA'!P41</f>
        <v>29649.54</v>
      </c>
      <c r="O35" s="719"/>
      <c r="P35" s="710"/>
      <c r="Q35" s="267"/>
      <c r="R35" s="267"/>
      <c r="S35" s="267"/>
      <c r="T35" s="267"/>
      <c r="U35" s="267"/>
      <c r="V35" s="373"/>
      <c r="W35" s="373"/>
      <c r="X35" s="374"/>
      <c r="Z35" s="87"/>
      <c r="AA35" s="371"/>
      <c r="AB35" s="74" t="s">
        <v>632</v>
      </c>
    </row>
    <row r="36" spans="1:28" s="74" customFormat="1" ht="15">
      <c r="A36" s="721"/>
      <c r="B36" s="261" t="s">
        <v>62</v>
      </c>
      <c r="C36" s="261" t="s">
        <v>27</v>
      </c>
      <c r="D36" s="260" t="s">
        <v>563</v>
      </c>
      <c r="E36" s="261" t="s">
        <v>21</v>
      </c>
      <c r="F36" s="261">
        <f>VLOOKUP(D36,'PLANILHA CONSOLIDADA'!$D$3:$I$61,3,0)</f>
        <v>3701.62</v>
      </c>
      <c r="G36" s="261">
        <f>VLOOKUP(D36,'PLANILHA CONSOLIDADA'!$D$3:$I$61,4,0)</f>
        <v>4127.808</v>
      </c>
      <c r="H36" s="261">
        <f>VLOOKUP(D36,'PLANILHA CONSOLIDADA'!$D$3:$I$61,5,0)</f>
        <v>3594.2296000000001</v>
      </c>
      <c r="I36" s="261">
        <f>VLOOKUP(D36,'PLANILHA CONSOLIDADA'!$D$3:$I$61,6,0)</f>
        <v>4143.26</v>
      </c>
      <c r="J36" s="261">
        <f>SUM(F36:G36)</f>
        <v>7829.4279999999999</v>
      </c>
      <c r="K36" s="262">
        <f>VLOOKUP(D36,'PLANILHA CONSOLIDADA'!$D$6:$P$61,7,0)</f>
        <v>7829.4279999999999</v>
      </c>
      <c r="L36" s="263">
        <f>J36-K36</f>
        <v>0</v>
      </c>
      <c r="M36" s="264">
        <f>VLOOKUP(D36,'PLANILHA CONSOLIDADA'!$D$6:$P$61,8,0)</f>
        <v>0.48256611851029407</v>
      </c>
      <c r="N36" s="264">
        <f>'PLANILHA CONSOLIDADA'!P31</f>
        <v>3778.21</v>
      </c>
      <c r="O36" s="725"/>
      <c r="P36" s="710"/>
      <c r="Q36" s="267"/>
      <c r="R36" s="267"/>
      <c r="S36" s="267"/>
      <c r="T36" s="267"/>
      <c r="U36" s="267"/>
      <c r="V36" s="373"/>
      <c r="W36" s="373"/>
      <c r="X36" s="374"/>
      <c r="Z36" s="87"/>
      <c r="AA36" s="371"/>
      <c r="AB36" s="74" t="s">
        <v>632</v>
      </c>
    </row>
    <row r="37" spans="1:28" s="74" customFormat="1" ht="15">
      <c r="A37" s="728">
        <v>11</v>
      </c>
      <c r="B37" s="716"/>
      <c r="C37" s="449"/>
      <c r="D37" s="394" t="s">
        <v>564</v>
      </c>
      <c r="E37" s="394"/>
      <c r="F37" s="394"/>
      <c r="G37" s="394"/>
      <c r="H37" s="394"/>
      <c r="I37" s="394"/>
      <c r="J37" s="394"/>
      <c r="K37" s="394"/>
      <c r="L37" s="394"/>
      <c r="M37" s="394"/>
      <c r="N37" s="395"/>
      <c r="O37" s="717">
        <f>SUM(N38:N39)</f>
        <v>22945.1</v>
      </c>
      <c r="P37" s="710"/>
      <c r="Q37" s="267"/>
      <c r="R37" s="267"/>
      <c r="S37" s="267"/>
      <c r="T37" s="267"/>
      <c r="U37" s="267"/>
      <c r="V37" s="373">
        <f>O37/N58</f>
        <v>7.1256625582392591E-3</v>
      </c>
      <c r="W37" s="373" t="e">
        <f>V37+W34</f>
        <v>#REF!</v>
      </c>
      <c r="X37" s="374" t="str">
        <f>IF(W5&lt;=$AA$5,"A",IF(W5&lt;=$AA$6,"B","C"))</f>
        <v>A</v>
      </c>
      <c r="Z37" s="87"/>
      <c r="AA37" s="371"/>
    </row>
    <row r="38" spans="1:28" s="74" customFormat="1" ht="15">
      <c r="A38" s="721"/>
      <c r="B38" s="261" t="s">
        <v>303</v>
      </c>
      <c r="C38" s="261" t="s">
        <v>303</v>
      </c>
      <c r="D38" s="260" t="s">
        <v>304</v>
      </c>
      <c r="E38" s="261" t="s">
        <v>61</v>
      </c>
      <c r="F38" s="261">
        <f>VLOOKUP(D38,'PLANILHA CONSOLIDADA'!$D$3:$I$61,3,0)</f>
        <v>1.665729</v>
      </c>
      <c r="G38" s="261">
        <f>VLOOKUP(D38,'PLANILHA CONSOLIDADA'!$D$3:$I$61,4,0)</f>
        <v>3.7898152200000004</v>
      </c>
      <c r="H38" s="261">
        <f>VLOOKUP(D38,'PLANILHA CONSOLIDADA'!$D$3:$I$61,5,0)</f>
        <v>1.61740332</v>
      </c>
      <c r="I38" s="261">
        <f>VLOOKUP(D38,'PLANILHA CONSOLIDADA'!$D$3:$I$61,6,0)</f>
        <v>3.8086694999999997</v>
      </c>
      <c r="J38" s="261">
        <f>SUM(F38:G38)</f>
        <v>5.4555442200000002</v>
      </c>
      <c r="K38" s="262">
        <f>VLOOKUP(D38,'PLANILHA CONSOLIDADA'!$D$6:$P$61,7,0)</f>
        <v>5.4555442200000002</v>
      </c>
      <c r="L38" s="263">
        <f>J38-K38</f>
        <v>0</v>
      </c>
      <c r="M38" s="264">
        <f>VLOOKUP(D38,'PLANILHA CONSOLIDADA'!$D$6:$P$61,8,0)</f>
        <v>3463.3232940000003</v>
      </c>
      <c r="N38" s="264">
        <f>'PLANILHA CONSOLIDADA'!P40</f>
        <v>18894.3</v>
      </c>
      <c r="O38" s="719"/>
      <c r="P38" s="710"/>
      <c r="Q38" s="267"/>
      <c r="R38" s="267"/>
      <c r="S38" s="267"/>
      <c r="T38" s="267"/>
      <c r="U38" s="267"/>
      <c r="V38" s="373"/>
      <c r="W38" s="373"/>
      <c r="X38" s="374"/>
      <c r="Z38" s="87"/>
      <c r="AA38" s="371"/>
      <c r="AB38" s="74" t="s">
        <v>632</v>
      </c>
    </row>
    <row r="39" spans="1:28" s="74" customFormat="1" ht="15">
      <c r="A39" s="721"/>
      <c r="B39" s="261" t="s">
        <v>63</v>
      </c>
      <c r="C39" s="261" t="s">
        <v>27</v>
      </c>
      <c r="D39" s="260" t="s">
        <v>564</v>
      </c>
      <c r="E39" s="261" t="s">
        <v>21</v>
      </c>
      <c r="F39" s="261">
        <f>VLOOKUP(D39,'PLANILHA CONSOLIDADA'!$D$3:$I$61,3,0)</f>
        <v>3701.62</v>
      </c>
      <c r="G39" s="261">
        <f>VLOOKUP(D39,'PLANILHA CONSOLIDADA'!$D$3:$I$61,4,0)</f>
        <v>8421.8116000000009</v>
      </c>
      <c r="H39" s="261">
        <f>VLOOKUP(D39,'PLANILHA CONSOLIDADA'!$D$3:$I$61,5,0)</f>
        <v>3594.2296000000001</v>
      </c>
      <c r="I39" s="261">
        <f>VLOOKUP(D39,'PLANILHA CONSOLIDADA'!$D$3:$I$61,6,0)</f>
        <v>8463.7099999999991</v>
      </c>
      <c r="J39" s="261">
        <f>SUM(F39:G39)</f>
        <v>12123.4316</v>
      </c>
      <c r="K39" s="262">
        <f>VLOOKUP(D39,'PLANILHA CONSOLIDADA'!$D$6:$P$61,7,0)</f>
        <v>12123.4316</v>
      </c>
      <c r="L39" s="263">
        <f>J39-K39</f>
        <v>0</v>
      </c>
      <c r="M39" s="264">
        <f>VLOOKUP(D39,'PLANILHA CONSOLIDADA'!$D$6:$P$61,8,0)</f>
        <v>0.33413026924000006</v>
      </c>
      <c r="N39" s="264">
        <f>'PLANILHA CONSOLIDADA'!P32</f>
        <v>4050.8</v>
      </c>
      <c r="O39" s="725"/>
      <c r="P39" s="710"/>
      <c r="Q39" s="267"/>
      <c r="R39" s="267"/>
      <c r="S39" s="267"/>
      <c r="T39" s="267"/>
      <c r="U39" s="267"/>
      <c r="V39" s="373"/>
      <c r="W39" s="373"/>
      <c r="X39" s="374"/>
      <c r="Z39" s="87"/>
      <c r="AA39" s="371"/>
      <c r="AB39" s="74" t="s">
        <v>632</v>
      </c>
    </row>
    <row r="40" spans="1:28" s="74" customFormat="1" ht="15">
      <c r="A40" s="715">
        <v>12</v>
      </c>
      <c r="B40" s="716"/>
      <c r="C40" s="449"/>
      <c r="D40" s="393" t="s">
        <v>728</v>
      </c>
      <c r="E40" s="394"/>
      <c r="F40" s="394"/>
      <c r="G40" s="394"/>
      <c r="H40" s="394"/>
      <c r="I40" s="394"/>
      <c r="J40" s="394"/>
      <c r="K40" s="394"/>
      <c r="L40" s="394"/>
      <c r="M40" s="394"/>
      <c r="N40" s="395"/>
      <c r="O40" s="726">
        <f>SUM(N41:N43)</f>
        <v>258715.63</v>
      </c>
      <c r="P40" s="710"/>
      <c r="Q40" s="267"/>
      <c r="R40" s="267"/>
      <c r="S40" s="267"/>
      <c r="T40" s="267"/>
      <c r="U40" s="267"/>
      <c r="V40" s="373">
        <f>O40/N58</f>
        <v>8.0344835190183608E-2</v>
      </c>
      <c r="W40" s="373" t="e">
        <f>V40+W37</f>
        <v>#REF!</v>
      </c>
      <c r="X40" s="374" t="str">
        <f>IF(W5&lt;=$AA$5,"A",IF(W5&lt;=$AA$6,"B","C"))</f>
        <v>A</v>
      </c>
      <c r="Z40" s="87"/>
      <c r="AA40" s="371"/>
    </row>
    <row r="41" spans="1:28" s="74" customFormat="1" ht="38.25">
      <c r="A41" s="718"/>
      <c r="B41" s="261">
        <v>92398</v>
      </c>
      <c r="C41" s="261" t="s">
        <v>24</v>
      </c>
      <c r="D41" s="268" t="s">
        <v>459</v>
      </c>
      <c r="E41" s="261" t="s">
        <v>21</v>
      </c>
      <c r="F41" s="261">
        <f>VLOOKUP(D41,'PLANILHA CONSOLIDADA'!$D$3:$I$61,3,0)</f>
        <v>0</v>
      </c>
      <c r="G41" s="261">
        <f>VLOOKUP(D41,'PLANILHA CONSOLIDADA'!$D$3:$I$61,4,0)</f>
        <v>0</v>
      </c>
      <c r="H41" s="261">
        <f>VLOOKUP(D41,'PLANILHA CONSOLIDADA'!$D$3:$I$61,5,0)</f>
        <v>2911.8492000000001</v>
      </c>
      <c r="I41" s="261">
        <f>VLOOKUP(D41,'PLANILHA CONSOLIDADA'!$D$3:$I$61,6,0)</f>
        <v>0</v>
      </c>
      <c r="J41" s="261">
        <f>SUM(F41:G41)</f>
        <v>0</v>
      </c>
      <c r="K41" s="262">
        <f>VLOOKUP(D41,'PLANILHA CONSOLIDADA'!$D$6:$P$61,7,0)</f>
        <v>0</v>
      </c>
      <c r="L41" s="263">
        <f>J41-K41</f>
        <v>0</v>
      </c>
      <c r="M41" s="264">
        <f>VLOOKUP(D41,'PLANILHA CONSOLIDADA'!$D$6:$P$61,8,0)</f>
        <v>97.311888632100008</v>
      </c>
      <c r="N41" s="264">
        <f>'PLANILHA CONSOLIDADA'!P43</f>
        <v>0</v>
      </c>
      <c r="O41" s="726"/>
      <c r="P41" s="710"/>
      <c r="Q41" s="267"/>
      <c r="R41" s="267"/>
      <c r="S41" s="267"/>
      <c r="T41" s="267"/>
      <c r="U41" s="267"/>
      <c r="V41" s="373"/>
      <c r="W41" s="373"/>
      <c r="X41" s="374"/>
      <c r="Z41" s="87"/>
      <c r="AA41" s="371"/>
      <c r="AB41" s="74" t="s">
        <v>632</v>
      </c>
    </row>
    <row r="42" spans="1:28" s="74" customFormat="1" ht="39" thickBot="1">
      <c r="A42" s="718"/>
      <c r="B42" s="261" t="s">
        <v>422</v>
      </c>
      <c r="C42" s="261" t="s">
        <v>24</v>
      </c>
      <c r="D42" s="260" t="s">
        <v>423</v>
      </c>
      <c r="E42" s="261" t="s">
        <v>21</v>
      </c>
      <c r="F42" s="261">
        <f>VLOOKUP(D42,'PLANILHA CONSOLIDADA'!$D$3:$I$61,3,0)</f>
        <v>0</v>
      </c>
      <c r="G42" s="261">
        <f>VLOOKUP(D42,'PLANILHA CONSOLIDADA'!$D$3:$I$61,4,0)</f>
        <v>927.05</v>
      </c>
      <c r="H42" s="261">
        <f>VLOOKUP(D42,'PLANILHA CONSOLIDADA'!$D$3:$I$61,5,0)</f>
        <v>0</v>
      </c>
      <c r="I42" s="261">
        <f>VLOOKUP(D42,'PLANILHA CONSOLIDADA'!$D$3:$I$61,6,0)</f>
        <v>1242.79</v>
      </c>
      <c r="J42" s="261">
        <f t="shared" ref="J42:J43" si="7">SUM(F42:G42)</f>
        <v>927.05</v>
      </c>
      <c r="K42" s="262">
        <f>VLOOKUP(D42,'PLANILHA CONSOLIDADA'!$D$6:$P$61,7,0)</f>
        <v>927.05</v>
      </c>
      <c r="L42" s="263">
        <f>J42-K42</f>
        <v>0</v>
      </c>
      <c r="M42" s="264">
        <f>VLOOKUP(D42,'PLANILHA CONSOLIDADA'!$D$6:$P$61,8,0)</f>
        <v>96.723704668999986</v>
      </c>
      <c r="N42" s="264">
        <f>'PLANILHA CONSOLIDADA'!P50</f>
        <v>89667.71</v>
      </c>
      <c r="O42" s="726"/>
      <c r="P42" s="710"/>
      <c r="Q42" s="267"/>
      <c r="R42" s="267"/>
      <c r="S42" s="267"/>
      <c r="T42" s="267"/>
      <c r="U42" s="267"/>
      <c r="V42" s="373"/>
      <c r="W42" s="373"/>
      <c r="X42" s="374"/>
      <c r="Z42" s="87"/>
      <c r="AA42" s="371"/>
      <c r="AB42" s="74" t="s">
        <v>632</v>
      </c>
    </row>
    <row r="43" spans="1:28" s="74" customFormat="1" ht="26.25" thickBot="1">
      <c r="A43" s="718"/>
      <c r="B43" s="288" t="s">
        <v>82</v>
      </c>
      <c r="C43" s="288" t="s">
        <v>24</v>
      </c>
      <c r="D43" s="297" t="s">
        <v>83</v>
      </c>
      <c r="E43" s="288" t="s">
        <v>21</v>
      </c>
      <c r="F43" s="289">
        <f>VLOOKUP($D$43,'PLANILHA CONSOLIDADA'!$D$49:$K$53,3,0)</f>
        <v>1522.08</v>
      </c>
      <c r="G43" s="289">
        <f>VLOOKUP($D$43,'PLANILHA CONSOLIDADA'!$D$49:$K$53,4,0)</f>
        <v>191.62</v>
      </c>
      <c r="H43" s="289">
        <f>VLOOKUP($D$43,'PLANILHA CONSOLIDADA'!$D$49:$K$53,5,0)</f>
        <v>4559.7273999999998</v>
      </c>
      <c r="I43" s="289">
        <f>VLOOKUP($D$43,'PLANILHA CONSOLIDADA'!$D$49:$K$53,6,0)</f>
        <v>170.57</v>
      </c>
      <c r="J43" s="261">
        <f t="shared" si="7"/>
        <v>1713.6999999999998</v>
      </c>
      <c r="K43" s="262">
        <f>VLOOKUP(D43,'PLANILHA CONSOLIDADA'!$D$6:$P$61,7,0)</f>
        <v>1713.6999999999998</v>
      </c>
      <c r="L43" s="379"/>
      <c r="M43" s="384">
        <f>'PLANILHA CONSOLIDADA'!K49</f>
        <v>98.644993758200002</v>
      </c>
      <c r="N43" s="264">
        <f>'PLANILHA CONSOLIDADA'!P49</f>
        <v>169047.92</v>
      </c>
      <c r="O43" s="726"/>
      <c r="P43" s="710"/>
      <c r="Q43" s="267"/>
      <c r="R43" s="267"/>
      <c r="S43" s="267"/>
      <c r="T43" s="267"/>
      <c r="U43" s="267"/>
      <c r="V43" s="373"/>
      <c r="W43" s="373"/>
      <c r="X43" s="374"/>
      <c r="Z43" s="87"/>
      <c r="AA43" s="371"/>
      <c r="AB43" s="74" t="s">
        <v>632</v>
      </c>
    </row>
    <row r="44" spans="1:28" s="74" customFormat="1" ht="15">
      <c r="A44" s="729">
        <v>13</v>
      </c>
      <c r="B44" s="388" t="s">
        <v>88</v>
      </c>
      <c r="C44" s="388" t="s">
        <v>19</v>
      </c>
      <c r="D44" s="403" t="s">
        <v>89</v>
      </c>
      <c r="E44" s="388" t="s">
        <v>731</v>
      </c>
      <c r="F44" s="388">
        <f>VLOOKUP(D44,'PLANILHA CONSOLIDADA'!$D$3:$I$61,3,0)</f>
        <v>1.36</v>
      </c>
      <c r="G44" s="388">
        <f>VLOOKUP(D44,'PLANILHA CONSOLIDADA'!$D$3:$I$61,4,0)</f>
        <v>1.6</v>
      </c>
      <c r="H44" s="388">
        <f>VLOOKUP(D44,'PLANILHA CONSOLIDADA'!$D$3:$I$61,5,0)</f>
        <v>3.18</v>
      </c>
      <c r="I44" s="388">
        <f>VLOOKUP(D44,'PLANILHA CONSOLIDADA'!$D$3:$I$61,6,0)</f>
        <v>1.45</v>
      </c>
      <c r="J44" s="388">
        <f>SUM(F44:G44)</f>
        <v>2.96</v>
      </c>
      <c r="K44" s="262">
        <f>VLOOKUP(D44,'PLANILHA CONSOLIDADA'!$D$6:$P$61,7,0)</f>
        <v>2.96</v>
      </c>
      <c r="L44" s="263">
        <f t="shared" ref="L44:L53" si="8">J44-K44</f>
        <v>0</v>
      </c>
      <c r="M44" s="412">
        <f>VLOOKUP(D44,'PLANILHA CONSOLIDADA'!$D$6:$P$61,8,0)</f>
        <v>61621.997029999991</v>
      </c>
      <c r="N44" s="412">
        <f>'PLANILHA CONSOLIDADA'!P60</f>
        <v>182401.1</v>
      </c>
      <c r="O44" s="730">
        <f t="shared" ref="O44:O53" si="9">N44</f>
        <v>182401.1</v>
      </c>
      <c r="P44" s="710">
        <f>VLOOKUP(D44,'PLANILHA CONSOLIDADA'!D6:O66,9,0)</f>
        <v>83805.91</v>
      </c>
      <c r="Q44" s="267">
        <f>VLOOKUP(D44,'PLANILHA CONSOLIDADA'!D6:O66,10,0)</f>
        <v>98595.19</v>
      </c>
      <c r="R44" s="267">
        <f>VLOOKUP(D44,'PLANILHA CONSOLIDADA'!D6:O66,11,0)</f>
        <v>195957.95</v>
      </c>
      <c r="S44" s="267">
        <f>VLOOKUP(D44,'PLANILHA CONSOLIDADA'!D6:O66,12,0)</f>
        <v>89351.89</v>
      </c>
      <c r="T44" s="267">
        <f t="shared" ref="T44:T53" si="10">SUM(P44:S44)</f>
        <v>467710.94000000006</v>
      </c>
      <c r="U44" s="267">
        <f t="shared" ref="U44:U53" si="11">T44-N44</f>
        <v>285309.84000000008</v>
      </c>
      <c r="V44" s="265">
        <f t="shared" ref="V44:V56" si="12">O44/$N$58</f>
        <v>5.6645152509758295E-2</v>
      </c>
      <c r="W44" s="265" t="e">
        <f>V44+W40</f>
        <v>#REF!</v>
      </c>
      <c r="X44" s="266" t="str">
        <f>IF(W5&lt;=$AA$5,"A",IF(W5&lt;=$AA$6,"B","C"))</f>
        <v>A</v>
      </c>
      <c r="AB44" s="74" t="s">
        <v>632</v>
      </c>
    </row>
    <row r="45" spans="1:28" s="74" customFormat="1" ht="51">
      <c r="A45" s="729">
        <v>14</v>
      </c>
      <c r="B45" s="388" t="s">
        <v>74</v>
      </c>
      <c r="C45" s="388" t="s">
        <v>24</v>
      </c>
      <c r="D45" s="403" t="s">
        <v>75</v>
      </c>
      <c r="E45" s="388" t="s">
        <v>31</v>
      </c>
      <c r="F45" s="388">
        <f>VLOOKUP(D45,'PLANILHA CONSOLIDADA'!$D$3:$I$61,3,0)</f>
        <v>1392.43</v>
      </c>
      <c r="G45" s="388">
        <f>VLOOKUP(D45,'PLANILHA CONSOLIDADA'!$D$3:$I$61,4,0)</f>
        <v>885.87</v>
      </c>
      <c r="H45" s="388">
        <f>VLOOKUP(D45,'PLANILHA CONSOLIDADA'!$D$3:$I$61,5,0)</f>
        <v>3595.0539999999996</v>
      </c>
      <c r="I45" s="388">
        <f>VLOOKUP(D45,'PLANILHA CONSOLIDADA'!$D$3:$I$61,6,0)</f>
        <v>1362.0000000000002</v>
      </c>
      <c r="J45" s="388">
        <f t="shared" ref="J45:J53" si="13">SUM(F45:G45)</f>
        <v>2278.3000000000002</v>
      </c>
      <c r="K45" s="262">
        <f>VLOOKUP(D45,'PLANILHA CONSOLIDADA'!$D$6:$P$61,7,0)</f>
        <v>2278.3000000000002</v>
      </c>
      <c r="L45" s="263">
        <f t="shared" si="8"/>
        <v>0</v>
      </c>
      <c r="M45" s="411">
        <f>VLOOKUP(D45,'PLANILHA CONSOLIDADA'!$D$6:$P$61,8,0)</f>
        <v>60.489098463599994</v>
      </c>
      <c r="N45" s="412">
        <f>'PLANILHA CONSOLIDADA'!P46</f>
        <v>137812.29999999999</v>
      </c>
      <c r="O45" s="730">
        <f t="shared" si="9"/>
        <v>137812.29999999999</v>
      </c>
      <c r="P45" s="710">
        <f>VLOOKUP(D45,'PLANILHA CONSOLIDADA'!D8:O68,9,0)</f>
        <v>84226.83</v>
      </c>
      <c r="Q45" s="267">
        <f>VLOOKUP(D45,'PLANILHA CONSOLIDADA'!D8:O68,10,0)</f>
        <v>53585.47</v>
      </c>
      <c r="R45" s="267">
        <f>VLOOKUP(D45,'PLANILHA CONSOLIDADA'!D8:O68,11,0)</f>
        <v>217461.57</v>
      </c>
      <c r="S45" s="267">
        <f>VLOOKUP(D45,'PLANILHA CONSOLIDADA'!D8:O68,12,0)</f>
        <v>82386.149999999994</v>
      </c>
      <c r="T45" s="267">
        <f t="shared" si="10"/>
        <v>437660.02</v>
      </c>
      <c r="U45" s="267">
        <f t="shared" si="11"/>
        <v>299847.72000000003</v>
      </c>
      <c r="V45" s="265">
        <f t="shared" si="12"/>
        <v>4.2797980665799505E-2</v>
      </c>
      <c r="W45" s="265" t="e">
        <f t="shared" ref="W45:W56" si="14">V45+W44</f>
        <v>#REF!</v>
      </c>
      <c r="X45" s="266" t="str">
        <f>IF(W5&lt;=$AA$5,"A",IF(W5&lt;=$AA$6,"B","C"))</f>
        <v>A</v>
      </c>
      <c r="AB45" s="74" t="s">
        <v>632</v>
      </c>
    </row>
    <row r="46" spans="1:28" s="74" customFormat="1" ht="25.5">
      <c r="A46" s="729">
        <v>15</v>
      </c>
      <c r="B46" s="388" t="s">
        <v>603</v>
      </c>
      <c r="C46" s="388" t="s">
        <v>27</v>
      </c>
      <c r="D46" s="420" t="s">
        <v>630</v>
      </c>
      <c r="E46" s="388" t="s">
        <v>28</v>
      </c>
      <c r="F46" s="388">
        <f>VLOOKUP(D46,'PLANILHA CONSOLIDADA'!$D$3:$I$61,3,0)</f>
        <v>0</v>
      </c>
      <c r="G46" s="388">
        <f>VLOOKUP(D46,'PLANILHA CONSOLIDADA'!$D$3:$I$61,4,0)</f>
        <v>1288.20108</v>
      </c>
      <c r="H46" s="388">
        <f>VLOOKUP(D46,'PLANILHA CONSOLIDADA'!$D$3:$I$61,5,0)</f>
        <v>0</v>
      </c>
      <c r="I46" s="388">
        <f>VLOOKUP(D46,'PLANILHA CONSOLIDADA'!$D$3:$I$61,6,0)</f>
        <v>1296.135</v>
      </c>
      <c r="J46" s="388">
        <f t="shared" si="13"/>
        <v>1288.20108</v>
      </c>
      <c r="K46" s="262">
        <f>VLOOKUP(D46,'PLANILHA CONSOLIDADA'!$D$6:$P$61,7,0)</f>
        <v>1288.20108</v>
      </c>
      <c r="L46" s="263">
        <f t="shared" si="8"/>
        <v>0</v>
      </c>
      <c r="M46" s="411">
        <f>VLOOKUP(D46,'PLANILHA CONSOLIDADA'!$D$6:$P$61,8,0)</f>
        <v>141.15745806278048</v>
      </c>
      <c r="N46" s="412">
        <f>'PLANILHA CONSOLIDADA'!P30</f>
        <v>181839.18</v>
      </c>
      <c r="O46" s="730">
        <f t="shared" si="9"/>
        <v>181839.18</v>
      </c>
      <c r="P46" s="710">
        <f>VLOOKUP(D46,'PLANILHA CONSOLIDADA'!D9:O69,9,0)</f>
        <v>0</v>
      </c>
      <c r="Q46" s="267">
        <f>VLOOKUP(D46,'PLANILHA CONSOLIDADA'!D9:O69,10,0)</f>
        <v>181839.18</v>
      </c>
      <c r="R46" s="267">
        <f>VLOOKUP(D46,'PLANILHA CONSOLIDADA'!D9:O69,11,0)</f>
        <v>0</v>
      </c>
      <c r="S46" s="267">
        <f>VLOOKUP(D46,'PLANILHA CONSOLIDADA'!D9:O69,12,0)</f>
        <v>182959.12</v>
      </c>
      <c r="T46" s="267">
        <f t="shared" si="10"/>
        <v>364798.3</v>
      </c>
      <c r="U46" s="267">
        <f t="shared" si="11"/>
        <v>182959.12</v>
      </c>
      <c r="V46" s="265">
        <f t="shared" si="12"/>
        <v>5.6470646741436266E-2</v>
      </c>
      <c r="W46" s="265" t="e">
        <f t="shared" si="14"/>
        <v>#REF!</v>
      </c>
      <c r="X46" s="266" t="str">
        <f>IF(W5&lt;=$AA$5,"A",IF(W5&lt;=$AA$6,"B","C"))</f>
        <v>A</v>
      </c>
      <c r="AB46" s="74" t="s">
        <v>632</v>
      </c>
    </row>
    <row r="47" spans="1:28" s="74" customFormat="1" ht="25.5">
      <c r="A47" s="729">
        <v>16</v>
      </c>
      <c r="B47" s="388" t="s">
        <v>78</v>
      </c>
      <c r="C47" s="388" t="s">
        <v>24</v>
      </c>
      <c r="D47" s="403" t="s">
        <v>79</v>
      </c>
      <c r="E47" s="388" t="s">
        <v>31</v>
      </c>
      <c r="F47" s="388">
        <f>VLOOKUP(D47,'PLANILHA CONSOLIDADA'!$D$3:$I$61,3,0)</f>
        <v>1247.9099999999999</v>
      </c>
      <c r="G47" s="388">
        <f>VLOOKUP(D47,'PLANILHA CONSOLIDADA'!$D$3:$I$61,4,0)</f>
        <v>885.87</v>
      </c>
      <c r="H47" s="388">
        <f>VLOOKUP(D47,'PLANILHA CONSOLIDADA'!$D$3:$I$61,5,0)</f>
        <v>3595.0539999999996</v>
      </c>
      <c r="I47" s="388">
        <f>VLOOKUP(D47,'PLANILHA CONSOLIDADA'!$D$3:$I$61,6,0)</f>
        <v>825.43000000000006</v>
      </c>
      <c r="J47" s="388">
        <f t="shared" si="13"/>
        <v>2133.7799999999997</v>
      </c>
      <c r="K47" s="262">
        <f>VLOOKUP(D47,'PLANILHA CONSOLIDADA'!$D$6:$P$61,7,0)</f>
        <v>2133.7799999999997</v>
      </c>
      <c r="L47" s="263">
        <f t="shared" si="8"/>
        <v>0</v>
      </c>
      <c r="M47" s="411">
        <f>VLOOKUP(D47,'PLANILHA CONSOLIDADA'!$D$6:$P$61,8,0)</f>
        <v>50.385590916699996</v>
      </c>
      <c r="N47" s="412">
        <f>'PLANILHA CONSOLIDADA'!P47</f>
        <v>107511.76000000001</v>
      </c>
      <c r="O47" s="730">
        <f t="shared" si="9"/>
        <v>107511.76000000001</v>
      </c>
      <c r="P47" s="710">
        <f>VLOOKUP(D47,'PLANILHA CONSOLIDADA'!D11:O71,9,0)</f>
        <v>62876.68</v>
      </c>
      <c r="Q47" s="267">
        <f>VLOOKUP(D47,'PLANILHA CONSOLIDADA'!D11:O71,10,0)</f>
        <v>44635.08</v>
      </c>
      <c r="R47" s="267">
        <f>VLOOKUP(D47,'PLANILHA CONSOLIDADA'!D11:O71,11,0)</f>
        <v>181138.92</v>
      </c>
      <c r="S47" s="267">
        <f>VLOOKUP(D47,'PLANILHA CONSOLIDADA'!D11:O71,12,0)</f>
        <v>41589.769999999997</v>
      </c>
      <c r="T47" s="267">
        <f t="shared" si="10"/>
        <v>330240.45000000007</v>
      </c>
      <c r="U47" s="267">
        <f t="shared" si="11"/>
        <v>222728.69000000006</v>
      </c>
      <c r="V47" s="265">
        <f t="shared" si="12"/>
        <v>3.3388066419514639E-2</v>
      </c>
      <c r="W47" s="265" t="e">
        <f t="shared" si="14"/>
        <v>#REF!</v>
      </c>
      <c r="X47" s="266" t="e">
        <f t="shared" ref="X47:X56" si="15">IF(W47&lt;=$AA$5,"A",IF(W47&lt;=$AA$6,"B","C"))</f>
        <v>#REF!</v>
      </c>
      <c r="AB47" s="74" t="s">
        <v>632</v>
      </c>
    </row>
    <row r="48" spans="1:28" s="74" customFormat="1" ht="51">
      <c r="A48" s="729">
        <v>17</v>
      </c>
      <c r="B48" s="388" t="s">
        <v>330</v>
      </c>
      <c r="C48" s="388" t="s">
        <v>24</v>
      </c>
      <c r="D48" s="403" t="s">
        <v>331</v>
      </c>
      <c r="E48" s="388" t="s">
        <v>31</v>
      </c>
      <c r="F48" s="388">
        <f>VLOOKUP(D48,'PLANILHA CONSOLIDADA'!$D$3:$I$61,3,0)</f>
        <v>3670.0439999999999</v>
      </c>
      <c r="G48" s="388">
        <f>VLOOKUP(D48,'PLANILHA CONSOLIDADA'!$D$3:$I$61,4,0)</f>
        <v>2716.65</v>
      </c>
      <c r="H48" s="388">
        <f>VLOOKUP(D48,'PLANILHA CONSOLIDADA'!$D$3:$I$61,5,0)</f>
        <v>2070</v>
      </c>
      <c r="I48" s="388">
        <f>VLOOKUP(D48,'PLANILHA CONSOLIDADA'!$D$3:$I$61,6,0)</f>
        <v>3808.3028571428567</v>
      </c>
      <c r="J48" s="388">
        <f t="shared" si="13"/>
        <v>6386.6939999999995</v>
      </c>
      <c r="K48" s="262">
        <f>VLOOKUP(D48,'PLANILHA CONSOLIDADA'!$D$6:$P$61,7,0)</f>
        <v>6386.6939999999995</v>
      </c>
      <c r="L48" s="263">
        <f t="shared" si="8"/>
        <v>0</v>
      </c>
      <c r="M48" s="411">
        <f>VLOOKUP(D48,'PLANILHA CONSOLIDADA'!$D$6:$P$61,8,0)</f>
        <v>7.7271922221000002</v>
      </c>
      <c r="N48" s="412">
        <f>'PLANILHA CONSOLIDADA'!P55</f>
        <v>49351.199999999997</v>
      </c>
      <c r="O48" s="730">
        <f t="shared" si="9"/>
        <v>49351.199999999997</v>
      </c>
      <c r="P48" s="710">
        <f>VLOOKUP(D48,'PLANILHA CONSOLIDADA'!D18:O78,9,0)</f>
        <v>28359.13</v>
      </c>
      <c r="Q48" s="267">
        <f>VLOOKUP(D48,'PLANILHA CONSOLIDADA'!D18:O78,10,0)</f>
        <v>20992.07</v>
      </c>
      <c r="R48" s="267">
        <f>VLOOKUP(D48,'PLANILHA CONSOLIDADA'!D18:O78,11,0)</f>
        <v>15995.28</v>
      </c>
      <c r="S48" s="267">
        <f>VLOOKUP(D48,'PLANILHA CONSOLIDADA'!D18:O78,12,0)</f>
        <v>29427.48</v>
      </c>
      <c r="T48" s="267">
        <f t="shared" si="10"/>
        <v>94773.959999999992</v>
      </c>
      <c r="U48" s="267">
        <f t="shared" si="11"/>
        <v>45422.759999999995</v>
      </c>
      <c r="V48" s="265">
        <f t="shared" si="12"/>
        <v>1.5326147981232479E-2</v>
      </c>
      <c r="W48" s="265" t="e">
        <f t="shared" si="14"/>
        <v>#REF!</v>
      </c>
      <c r="X48" s="266" t="e">
        <f t="shared" si="15"/>
        <v>#REF!</v>
      </c>
      <c r="AB48" s="74" t="s">
        <v>632</v>
      </c>
    </row>
    <row r="49" spans="1:28" s="74" customFormat="1" ht="25.5">
      <c r="A49" s="729">
        <v>18</v>
      </c>
      <c r="B49" s="388" t="s">
        <v>49</v>
      </c>
      <c r="C49" s="388" t="s">
        <v>24</v>
      </c>
      <c r="D49" s="403" t="s">
        <v>50</v>
      </c>
      <c r="E49" s="388" t="s">
        <v>21</v>
      </c>
      <c r="F49" s="388">
        <f>VLOOKUP(D49,'PLANILHA CONSOLIDADA'!$D$3:$I$61,3,0)</f>
        <v>1952</v>
      </c>
      <c r="G49" s="388">
        <f>VLOOKUP(D49,'PLANILHA CONSOLIDADA'!$D$3:$I$61,4,0)</f>
        <v>3810.3137000000002</v>
      </c>
      <c r="H49" s="388">
        <f>VLOOKUP(D49,'PLANILHA CONSOLIDADA'!$D$3:$I$61,5,0)</f>
        <v>3594.2296000000001</v>
      </c>
      <c r="I49" s="388">
        <f>VLOOKUP(D49,'PLANILHA CONSOLIDADA'!$D$3:$I$61,6,0)</f>
        <v>4143.26</v>
      </c>
      <c r="J49" s="388">
        <f t="shared" si="13"/>
        <v>5762.3137000000006</v>
      </c>
      <c r="K49" s="262">
        <f>VLOOKUP(D49,'PLANILHA CONSOLIDADA'!$D$6:$P$61,7,0)</f>
        <v>5762.3137000000006</v>
      </c>
      <c r="L49" s="263">
        <f t="shared" si="8"/>
        <v>0</v>
      </c>
      <c r="M49" s="411">
        <f>VLOOKUP(D49,'PLANILHA CONSOLIDADA'!$D$6:$P$61,8,0)</f>
        <v>2.3952638115629998</v>
      </c>
      <c r="N49" s="412">
        <f>'PLANILHA CONSOLIDADA'!P22</f>
        <v>13802.25</v>
      </c>
      <c r="O49" s="730">
        <f t="shared" si="9"/>
        <v>13802.25</v>
      </c>
      <c r="P49" s="710" t="e">
        <f>VLOOKUP(D49,'PLANILHA CONSOLIDADA'!D25:O86,9,0)</f>
        <v>#N/A</v>
      </c>
      <c r="Q49" s="267" t="e">
        <f>VLOOKUP(D49,'PLANILHA CONSOLIDADA'!D25:O86,10,0)</f>
        <v>#N/A</v>
      </c>
      <c r="R49" s="267" t="e">
        <f>VLOOKUP(D49,'PLANILHA CONSOLIDADA'!D25:O86,11,0)</f>
        <v>#N/A</v>
      </c>
      <c r="S49" s="267" t="e">
        <f>VLOOKUP(D49,'PLANILHA CONSOLIDADA'!D25:O86,12,0)</f>
        <v>#N/A</v>
      </c>
      <c r="T49" s="267" t="e">
        <f t="shared" si="10"/>
        <v>#N/A</v>
      </c>
      <c r="U49" s="267" t="e">
        <f t="shared" si="11"/>
        <v>#N/A</v>
      </c>
      <c r="V49" s="265">
        <f t="shared" si="12"/>
        <v>4.2863258841520776E-3</v>
      </c>
      <c r="W49" s="265" t="e">
        <f>V49+W26</f>
        <v>#REF!</v>
      </c>
      <c r="X49" s="266" t="e">
        <f t="shared" si="15"/>
        <v>#REF!</v>
      </c>
      <c r="AB49" s="74" t="s">
        <v>632</v>
      </c>
    </row>
    <row r="50" spans="1:28" s="74" customFormat="1" ht="38.25">
      <c r="A50" s="729">
        <v>19</v>
      </c>
      <c r="B50" s="388" t="s">
        <v>472</v>
      </c>
      <c r="C50" s="388" t="s">
        <v>30</v>
      </c>
      <c r="D50" s="404" t="s">
        <v>644</v>
      </c>
      <c r="E50" s="388" t="s">
        <v>84</v>
      </c>
      <c r="F50" s="388">
        <f>VLOOKUP(D50,'PLANILHA CONSOLIDADA'!$D$3:$I$61,3,0)</f>
        <v>0</v>
      </c>
      <c r="G50" s="388">
        <f>VLOOKUP(D50,'PLANILHA CONSOLIDADA'!$D$3:$I$61,4,0)</f>
        <v>0</v>
      </c>
      <c r="H50" s="388">
        <f>VLOOKUP(D50,'PLANILHA CONSOLIDADA'!$D$3:$I$61,5,0)</f>
        <v>43</v>
      </c>
      <c r="I50" s="388">
        <f>VLOOKUP(D50,'PLANILHA CONSOLIDADA'!$D$3:$I$61,6,0)</f>
        <v>0</v>
      </c>
      <c r="J50" s="388">
        <f t="shared" si="13"/>
        <v>0</v>
      </c>
      <c r="K50" s="262">
        <f>VLOOKUP(D50,'PLANILHA CONSOLIDADA'!$D$6:$P$61,7,0)</f>
        <v>0</v>
      </c>
      <c r="L50" s="263">
        <f t="shared" si="8"/>
        <v>0</v>
      </c>
      <c r="M50" s="411">
        <f>VLOOKUP(D50,'PLANILHA CONSOLIDADA'!$D$6:$P$61,8,0)</f>
        <v>501.81694772000009</v>
      </c>
      <c r="N50" s="412">
        <f t="shared" ref="N50:N53" si="16">TRUNC(K50*M50,2)</f>
        <v>0</v>
      </c>
      <c r="O50" s="730">
        <f t="shared" si="9"/>
        <v>0</v>
      </c>
      <c r="P50" s="710">
        <f>VLOOKUP(D50,'PLANILHA CONSOLIDADA'!D26:O87,9,0)</f>
        <v>0</v>
      </c>
      <c r="Q50" s="267">
        <f>VLOOKUP(D50,'PLANILHA CONSOLIDADA'!D26:O87,10,0)</f>
        <v>0</v>
      </c>
      <c r="R50" s="267">
        <f>VLOOKUP(D50,'PLANILHA CONSOLIDADA'!D26:O87,11,0)</f>
        <v>21578.12</v>
      </c>
      <c r="S50" s="267">
        <f>VLOOKUP(D50,'PLANILHA CONSOLIDADA'!D26:O87,12,0)</f>
        <v>0</v>
      </c>
      <c r="T50" s="267">
        <f t="shared" si="10"/>
        <v>21578.12</v>
      </c>
      <c r="U50" s="267">
        <f t="shared" si="11"/>
        <v>21578.12</v>
      </c>
      <c r="V50" s="265">
        <f t="shared" si="12"/>
        <v>0</v>
      </c>
      <c r="W50" s="265" t="e">
        <f t="shared" si="14"/>
        <v>#REF!</v>
      </c>
      <c r="X50" s="266" t="e">
        <f t="shared" si="15"/>
        <v>#REF!</v>
      </c>
      <c r="AB50" s="74" t="s">
        <v>632</v>
      </c>
    </row>
    <row r="51" spans="1:28" s="74" customFormat="1" ht="15">
      <c r="A51" s="729">
        <v>20</v>
      </c>
      <c r="B51" s="388" t="s">
        <v>69</v>
      </c>
      <c r="C51" s="388" t="s">
        <v>19</v>
      </c>
      <c r="D51" s="403" t="s">
        <v>70</v>
      </c>
      <c r="E51" s="388" t="s">
        <v>21</v>
      </c>
      <c r="F51" s="388">
        <f>VLOOKUP(D51,'PLANILHA CONSOLIDADA'!$D$3:$I$61,3,0)</f>
        <v>3701.62</v>
      </c>
      <c r="G51" s="388">
        <f>VLOOKUP(D51,'PLANILHA CONSOLIDADA'!$D$3:$I$61,4,0)</f>
        <v>8421.8116000000009</v>
      </c>
      <c r="H51" s="388">
        <f>VLOOKUP(D51,'PLANILHA CONSOLIDADA'!$D$3:$I$61,5,0)</f>
        <v>3594.2296000000001</v>
      </c>
      <c r="I51" s="388">
        <f>VLOOKUP(D51,'PLANILHA CONSOLIDADA'!$D$3:$I$61,6,0)</f>
        <v>8463.7099999999991</v>
      </c>
      <c r="J51" s="388">
        <f t="shared" si="13"/>
        <v>12123.4316</v>
      </c>
      <c r="K51" s="262">
        <f>VLOOKUP(D51,'PLANILHA CONSOLIDADA'!$D$6:$P$61,7,0)</f>
        <v>12123.4316</v>
      </c>
      <c r="L51" s="263">
        <f t="shared" si="8"/>
        <v>0</v>
      </c>
      <c r="M51" s="411">
        <f>VLOOKUP(D51,'PLANILHA CONSOLIDADA'!$D$6:$P$61,8,0)</f>
        <v>0.70790434299999994</v>
      </c>
      <c r="N51" s="412">
        <f>'PLANILHA CONSOLIDADA'!P39</f>
        <v>8582.2199999999993</v>
      </c>
      <c r="O51" s="730">
        <f t="shared" si="9"/>
        <v>8582.2199999999993</v>
      </c>
      <c r="P51" s="710">
        <f>VLOOKUP(D51,'PLANILHA CONSOLIDADA'!D27:O88,9,0)</f>
        <v>2620.39</v>
      </c>
      <c r="Q51" s="267">
        <f>VLOOKUP(D51,'PLANILHA CONSOLIDADA'!D27:O88,10,0)</f>
        <v>5961.83</v>
      </c>
      <c r="R51" s="267">
        <f>VLOOKUP(D51,'PLANILHA CONSOLIDADA'!D27:O88,11,0)</f>
        <v>2544.37</v>
      </c>
      <c r="S51" s="267">
        <f>VLOOKUP(D51,'PLANILHA CONSOLIDADA'!D27:O88,12,0)</f>
        <v>5991.49</v>
      </c>
      <c r="T51" s="267">
        <f t="shared" si="10"/>
        <v>17118.080000000002</v>
      </c>
      <c r="U51" s="267">
        <f t="shared" si="11"/>
        <v>8535.8600000000024</v>
      </c>
      <c r="V51" s="265">
        <f t="shared" si="12"/>
        <v>2.6652315187369914E-3</v>
      </c>
      <c r="W51" s="265" t="e">
        <f t="shared" si="14"/>
        <v>#REF!</v>
      </c>
      <c r="X51" s="266" t="e">
        <f t="shared" si="15"/>
        <v>#REF!</v>
      </c>
      <c r="AB51" s="74" t="s">
        <v>632</v>
      </c>
    </row>
    <row r="52" spans="1:28" s="74" customFormat="1" ht="15">
      <c r="A52" s="729">
        <v>21</v>
      </c>
      <c r="B52" s="388" t="s">
        <v>302</v>
      </c>
      <c r="C52" s="388" t="s">
        <v>19</v>
      </c>
      <c r="D52" s="404" t="s">
        <v>20</v>
      </c>
      <c r="E52" s="388" t="s">
        <v>21</v>
      </c>
      <c r="F52" s="388">
        <f>VLOOKUP(D52,'PLANILHA CONSOLIDADA'!$D$3:$I$61,3,0)</f>
        <v>6</v>
      </c>
      <c r="G52" s="388">
        <f>VLOOKUP(D52,'PLANILHA CONSOLIDADA'!$D$3:$I$61,4,0)</f>
        <v>6</v>
      </c>
      <c r="H52" s="388">
        <f>VLOOKUP(D52,'PLANILHA CONSOLIDADA'!$D$3:$I$61,5,0)</f>
        <v>6</v>
      </c>
      <c r="I52" s="388">
        <f>VLOOKUP(D52,'PLANILHA CONSOLIDADA'!$D$3:$I$61,6,0)</f>
        <v>6</v>
      </c>
      <c r="J52" s="388">
        <f t="shared" si="13"/>
        <v>12</v>
      </c>
      <c r="K52" s="262">
        <f>VLOOKUP(D52,'PLANILHA CONSOLIDADA'!$D$6:$P$61,7,0)</f>
        <v>12</v>
      </c>
      <c r="L52" s="263">
        <f t="shared" si="8"/>
        <v>0</v>
      </c>
      <c r="M52" s="411">
        <f>'PLANILHA CONSOLIDADA'!K6</f>
        <v>452.46638942999994</v>
      </c>
      <c r="N52" s="412">
        <f>'PLANILHA CONSOLIDADA'!P6</f>
        <v>5429.58</v>
      </c>
      <c r="O52" s="730">
        <f t="shared" si="9"/>
        <v>5429.58</v>
      </c>
      <c r="P52" s="710" t="e">
        <f>VLOOKUP(D52,'PLANILHA CONSOLIDADA'!D28:O89,9,0)</f>
        <v>#N/A</v>
      </c>
      <c r="Q52" s="267" t="e">
        <f>VLOOKUP(D52,'PLANILHA CONSOLIDADA'!D28:O89,10,0)</f>
        <v>#N/A</v>
      </c>
      <c r="R52" s="267" t="e">
        <f>VLOOKUP(D52,'PLANILHA CONSOLIDADA'!D28:O89,11,0)</f>
        <v>#N/A</v>
      </c>
      <c r="S52" s="267" t="e">
        <f>VLOOKUP(D52,'PLANILHA CONSOLIDADA'!D28:O89,12,0)</f>
        <v>#N/A</v>
      </c>
      <c r="T52" s="267" t="e">
        <f t="shared" si="10"/>
        <v>#N/A</v>
      </c>
      <c r="U52" s="267" t="e">
        <f t="shared" si="11"/>
        <v>#N/A</v>
      </c>
      <c r="V52" s="265">
        <f t="shared" si="12"/>
        <v>1.6861706818869701E-3</v>
      </c>
      <c r="W52" s="265" t="e">
        <f t="shared" si="14"/>
        <v>#REF!</v>
      </c>
      <c r="X52" s="266" t="e">
        <f t="shared" si="15"/>
        <v>#REF!</v>
      </c>
      <c r="AB52" s="74" t="s">
        <v>632</v>
      </c>
    </row>
    <row r="53" spans="1:28" s="74" customFormat="1" ht="30" customHeight="1">
      <c r="A53" s="729">
        <v>22</v>
      </c>
      <c r="B53" s="389" t="s">
        <v>361</v>
      </c>
      <c r="C53" s="389" t="s">
        <v>27</v>
      </c>
      <c r="D53" s="404" t="s">
        <v>636</v>
      </c>
      <c r="E53" s="388" t="s">
        <v>21</v>
      </c>
      <c r="F53" s="388">
        <f>VLOOKUP(D53,'PLANILHA CONSOLIDADA'!$D$3:$I$61,3,0)</f>
        <v>380.8</v>
      </c>
      <c r="G53" s="388">
        <f>VLOOKUP(D53,'PLANILHA CONSOLIDADA'!$D$3:$I$61,4,0)</f>
        <v>0</v>
      </c>
      <c r="H53" s="388">
        <f>VLOOKUP(D53,'PLANILHA CONSOLIDADA'!$D$3:$I$61,5,0)</f>
        <v>880.57569999999998</v>
      </c>
      <c r="I53" s="388">
        <f>VLOOKUP(D53,'PLANILHA CONSOLIDADA'!$D$3:$I$61,6,0)</f>
        <v>0</v>
      </c>
      <c r="J53" s="388">
        <f t="shared" si="13"/>
        <v>380.8</v>
      </c>
      <c r="K53" s="262">
        <f>VLOOKUP(D53,'PLANILHA CONSOLIDADA'!$D$6:$P$61,7,0)</f>
        <v>380.8</v>
      </c>
      <c r="L53" s="263">
        <f t="shared" si="8"/>
        <v>0</v>
      </c>
      <c r="M53" s="411">
        <f>VLOOKUP(D53,'PLANILHA CONSOLIDADA'!$D$6:$P$61,8,0)</f>
        <v>4.7337572839272317</v>
      </c>
      <c r="N53" s="412">
        <f t="shared" si="16"/>
        <v>1802.61</v>
      </c>
      <c r="O53" s="730">
        <f t="shared" si="9"/>
        <v>1802.61</v>
      </c>
      <c r="P53" s="710" t="e">
        <f>VLOOKUP(D53,'PLANILHA CONSOLIDADA'!D32:O93,9,0)</f>
        <v>#N/A</v>
      </c>
      <c r="Q53" s="267" t="e">
        <f>VLOOKUP(D53,'PLANILHA CONSOLIDADA'!D32:O93,10,0)</f>
        <v>#N/A</v>
      </c>
      <c r="R53" s="267" t="e">
        <f>VLOOKUP(D53,'PLANILHA CONSOLIDADA'!D32:O93,11,0)</f>
        <v>#N/A</v>
      </c>
      <c r="S53" s="267" t="e">
        <f>VLOOKUP(D53,'PLANILHA CONSOLIDADA'!D32:O93,12,0)</f>
        <v>#N/A</v>
      </c>
      <c r="T53" s="267" t="e">
        <f t="shared" si="10"/>
        <v>#N/A</v>
      </c>
      <c r="U53" s="267" t="e">
        <f t="shared" si="11"/>
        <v>#N/A</v>
      </c>
      <c r="V53" s="265">
        <f t="shared" si="12"/>
        <v>5.5980538695005351E-4</v>
      </c>
      <c r="W53" s="265" t="e">
        <f>V53+W27</f>
        <v>#REF!</v>
      </c>
      <c r="X53" s="266" t="e">
        <f t="shared" si="15"/>
        <v>#REF!</v>
      </c>
      <c r="AB53" s="74" t="s">
        <v>632</v>
      </c>
    </row>
    <row r="54" spans="1:28" s="74" customFormat="1" ht="30" hidden="1" customHeight="1">
      <c r="A54" s="729">
        <v>23</v>
      </c>
      <c r="B54" s="716"/>
      <c r="C54" s="731"/>
      <c r="D54" s="732" t="s">
        <v>476</v>
      </c>
      <c r="E54" s="716"/>
      <c r="F54" s="716"/>
      <c r="G54" s="716"/>
      <c r="H54" s="716"/>
      <c r="I54" s="716"/>
      <c r="J54" s="716"/>
      <c r="K54" s="733"/>
      <c r="L54" s="734"/>
      <c r="M54" s="735"/>
      <c r="N54" s="412"/>
      <c r="O54" s="730">
        <f>SUM(N55:N56)</f>
        <v>0</v>
      </c>
      <c r="P54" s="710"/>
      <c r="Q54" s="267"/>
      <c r="R54" s="267"/>
      <c r="S54" s="267"/>
      <c r="T54" s="267"/>
      <c r="U54" s="267"/>
      <c r="V54" s="265">
        <f t="shared" si="12"/>
        <v>0</v>
      </c>
      <c r="W54" s="265"/>
      <c r="X54" s="266"/>
    </row>
    <row r="55" spans="1:28" s="74" customFormat="1" ht="25.5" hidden="1">
      <c r="A55" s="722"/>
      <c r="B55" s="261" t="s">
        <v>477</v>
      </c>
      <c r="C55" s="261" t="s">
        <v>24</v>
      </c>
      <c r="D55" s="268" t="s">
        <v>478</v>
      </c>
      <c r="E55" s="261" t="s">
        <v>21</v>
      </c>
      <c r="F55" s="261">
        <f>VLOOKUP(D55,'PLANILHA CONSOLIDADA'!$D$3:$I$61,3,0)</f>
        <v>0</v>
      </c>
      <c r="G55" s="261">
        <f>VLOOKUP(D55,'PLANILHA CONSOLIDADA'!$D$3:$I$61,4,0)</f>
        <v>0</v>
      </c>
      <c r="H55" s="261">
        <f>VLOOKUP(D55,'PLANILHA CONSOLIDADA'!$D$3:$I$61,5,0)</f>
        <v>81.48</v>
      </c>
      <c r="I55" s="261">
        <f>VLOOKUP(D55,'PLANILHA CONSOLIDADA'!$D$3:$I$61,6,0)</f>
        <v>0</v>
      </c>
      <c r="J55" s="261">
        <f>SUM(F55:G55)</f>
        <v>0</v>
      </c>
      <c r="K55" s="262">
        <f>VLOOKUP(D55,'PLANILHA CONSOLIDADA'!$D$6:$P$61,7,0)</f>
        <v>0</v>
      </c>
      <c r="L55" s="263">
        <f>J55-K55</f>
        <v>0</v>
      </c>
      <c r="M55" s="263">
        <f>VLOOKUP(D55,'PLANILHA CONSOLIDADA'!$D$6:$P$61,8,0)</f>
        <v>32.194606196700001</v>
      </c>
      <c r="N55" s="264">
        <f>TRUNC(K55*M55,2)</f>
        <v>0</v>
      </c>
      <c r="O55" s="723"/>
      <c r="P55" s="710">
        <f>VLOOKUP(D55,'PLANILHA CONSOLIDADA'!D33:O94,9,0)</f>
        <v>0</v>
      </c>
      <c r="Q55" s="267">
        <f>VLOOKUP(D55,'PLANILHA CONSOLIDADA'!D33:O94,10,0)</f>
        <v>0</v>
      </c>
      <c r="R55" s="267">
        <f>VLOOKUP(D55,'PLANILHA CONSOLIDADA'!D33:O94,11,0)</f>
        <v>2623.21</v>
      </c>
      <c r="S55" s="267">
        <f>VLOOKUP(D55,'PLANILHA CONSOLIDADA'!D33:O94,12,0)</f>
        <v>0</v>
      </c>
      <c r="T55" s="267">
        <f>SUM(P55:S55)</f>
        <v>2623.21</v>
      </c>
      <c r="U55" s="267">
        <f>T55-N55</f>
        <v>2623.21</v>
      </c>
      <c r="V55" s="265">
        <f t="shared" si="12"/>
        <v>0</v>
      </c>
      <c r="W55" s="265" t="e">
        <f>V55+W16</f>
        <v>#REF!</v>
      </c>
      <c r="X55" s="266" t="e">
        <f t="shared" si="15"/>
        <v>#REF!</v>
      </c>
      <c r="AB55" s="74" t="s">
        <v>632</v>
      </c>
    </row>
    <row r="56" spans="1:28" ht="25.5" hidden="1">
      <c r="A56" s="722"/>
      <c r="B56" s="261" t="s">
        <v>480</v>
      </c>
      <c r="C56" s="261" t="s">
        <v>24</v>
      </c>
      <c r="D56" s="268" t="s">
        <v>481</v>
      </c>
      <c r="E56" s="261" t="s">
        <v>21</v>
      </c>
      <c r="F56" s="261">
        <f>VLOOKUP(D56,'PLANILHA CONSOLIDADA'!$D$3:$I$61,3,0)</f>
        <v>0</v>
      </c>
      <c r="G56" s="261">
        <f>VLOOKUP(D56,'PLANILHA CONSOLIDADA'!$D$3:$I$61,4,0)</f>
        <v>0</v>
      </c>
      <c r="H56" s="261">
        <f>VLOOKUP(D56,'PLANILHA CONSOLIDADA'!$D$3:$I$61,5,0)</f>
        <v>81.48</v>
      </c>
      <c r="I56" s="261">
        <f>VLOOKUP(D56,'PLANILHA CONSOLIDADA'!$D$3:$I$61,6,0)</f>
        <v>0</v>
      </c>
      <c r="J56" s="261">
        <f>SUM(F56:G56)</f>
        <v>0</v>
      </c>
      <c r="K56" s="262">
        <f>VLOOKUP(D56,'PLANILHA CONSOLIDADA'!$D$6:$P$61,7,0)</f>
        <v>0</v>
      </c>
      <c r="L56" s="263">
        <f>J56-K56</f>
        <v>0</v>
      </c>
      <c r="M56" s="263">
        <f>VLOOKUP(D56,'PLANILHA CONSOLIDADA'!$D$6:$P$61,8,0)</f>
        <v>25.654500000000002</v>
      </c>
      <c r="N56" s="264">
        <f>TRUNC(K56*M56,2)</f>
        <v>0</v>
      </c>
      <c r="O56" s="723"/>
      <c r="P56" s="710">
        <f>VLOOKUP(D56,'PLANILHA CONSOLIDADA'!D34:O95,9,0)</f>
        <v>0</v>
      </c>
      <c r="Q56" s="267">
        <f>VLOOKUP(D56,'PLANILHA CONSOLIDADA'!D34:O95,10,0)</f>
        <v>0</v>
      </c>
      <c r="R56" s="267">
        <f>VLOOKUP(D56,'PLANILHA CONSOLIDADA'!D34:O95,11,0)</f>
        <v>2090.3200000000002</v>
      </c>
      <c r="S56" s="267">
        <f>VLOOKUP(D56,'PLANILHA CONSOLIDADA'!D34:O95,12,0)</f>
        <v>0</v>
      </c>
      <c r="T56" s="267">
        <f>SUM(P56:S56)</f>
        <v>2090.3200000000002</v>
      </c>
      <c r="U56" s="267">
        <f>T56-N56</f>
        <v>2090.3200000000002</v>
      </c>
      <c r="V56" s="265">
        <f t="shared" si="12"/>
        <v>0</v>
      </c>
      <c r="W56" s="265" t="e">
        <f t="shared" si="14"/>
        <v>#REF!</v>
      </c>
      <c r="X56" s="266" t="e">
        <f t="shared" si="15"/>
        <v>#REF!</v>
      </c>
      <c r="AB56" s="74" t="s">
        <v>632</v>
      </c>
    </row>
    <row r="57" spans="1:28">
      <c r="A57" s="736"/>
      <c r="B57" s="320"/>
      <c r="C57" s="320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2"/>
      <c r="O57" s="737">
        <f>SUM(O4:O56)</f>
        <v>3220065.476363183</v>
      </c>
      <c r="P57" s="711"/>
      <c r="Q57" s="273"/>
      <c r="R57" s="273"/>
      <c r="S57" s="273"/>
      <c r="T57" s="273"/>
      <c r="U57" s="273"/>
      <c r="V57" s="274">
        <f t="shared" ref="V57" si="17">O57/$N$58</f>
        <v>1</v>
      </c>
      <c r="W57" s="274"/>
      <c r="X57" s="275"/>
    </row>
    <row r="58" spans="1:28" ht="15">
      <c r="A58" s="738"/>
      <c r="B58" s="739"/>
      <c r="C58" s="739"/>
      <c r="D58" s="740"/>
      <c r="E58" s="740"/>
      <c r="F58" s="740"/>
      <c r="G58" s="740"/>
      <c r="H58" s="740"/>
      <c r="I58" s="740"/>
      <c r="J58" s="740"/>
      <c r="K58" s="740"/>
      <c r="L58" s="740"/>
      <c r="M58" s="741" t="s">
        <v>672</v>
      </c>
      <c r="N58" s="742">
        <f>'PLANILHA CONSOLIDADA'!P61</f>
        <v>3220065.476363183</v>
      </c>
      <c r="O58" s="743"/>
      <c r="P58" s="712"/>
      <c r="Q58" s="276"/>
      <c r="R58" s="276"/>
      <c r="S58" s="276"/>
      <c r="T58" s="276"/>
      <c r="U58" s="276"/>
      <c r="V58" s="277">
        <f>SUM(V4:V56)</f>
        <v>0.72676425791387678</v>
      </c>
      <c r="W58" s="274"/>
      <c r="X58" s="275"/>
    </row>
    <row r="59" spans="1:28">
      <c r="L59"/>
      <c r="M59"/>
      <c r="N59" s="252"/>
      <c r="O59" s="252"/>
      <c r="P59" s="81"/>
      <c r="Q59" s="81"/>
      <c r="R59" s="81"/>
      <c r="S59" s="81"/>
      <c r="T59" s="81"/>
      <c r="U59" s="81"/>
    </row>
    <row r="60" spans="1:28">
      <c r="L60"/>
      <c r="M60"/>
      <c r="N60" s="241">
        <f>N58-N59</f>
        <v>3220065.476363183</v>
      </c>
      <c r="O60" s="241"/>
      <c r="P60" s="240"/>
      <c r="Q60" s="240"/>
      <c r="R60" s="240"/>
      <c r="S60" s="240"/>
      <c r="T60" s="240"/>
      <c r="U60" s="240"/>
    </row>
    <row r="61" spans="1:28">
      <c r="L61"/>
      <c r="M61"/>
      <c r="N61"/>
      <c r="O61"/>
    </row>
    <row r="62" spans="1:28">
      <c r="L62"/>
      <c r="M62"/>
      <c r="N62"/>
      <c r="O62"/>
    </row>
    <row r="63" spans="1:28">
      <c r="L63"/>
      <c r="M63"/>
      <c r="N63"/>
      <c r="O63"/>
    </row>
    <row r="64" spans="1:28">
      <c r="L64"/>
      <c r="M64"/>
      <c r="N64"/>
      <c r="O64"/>
    </row>
    <row r="65" spans="12:15">
      <c r="L65"/>
      <c r="M65"/>
      <c r="N65"/>
      <c r="O65"/>
    </row>
    <row r="66" spans="12:15">
      <c r="L66"/>
      <c r="M66"/>
      <c r="N66"/>
      <c r="O66"/>
    </row>
    <row r="67" spans="12:15">
      <c r="L67"/>
      <c r="M67"/>
      <c r="N67"/>
      <c r="O67"/>
    </row>
    <row r="68" spans="12:15">
      <c r="L68"/>
      <c r="M68"/>
      <c r="N68"/>
      <c r="O68"/>
    </row>
    <row r="69" spans="12:15">
      <c r="L69"/>
      <c r="M69"/>
      <c r="N69"/>
      <c r="O69"/>
    </row>
    <row r="70" spans="12:15">
      <c r="L70"/>
      <c r="M70"/>
      <c r="N70"/>
      <c r="O70"/>
    </row>
    <row r="71" spans="12:15">
      <c r="L71"/>
      <c r="M71"/>
      <c r="N71"/>
      <c r="O71"/>
    </row>
    <row r="72" spans="12:15">
      <c r="L72"/>
      <c r="M72"/>
      <c r="N72"/>
      <c r="O72"/>
    </row>
    <row r="73" spans="12:15">
      <c r="L73"/>
      <c r="M73"/>
      <c r="N73"/>
      <c r="O73"/>
    </row>
    <row r="74" spans="12:15">
      <c r="L74"/>
      <c r="M74"/>
      <c r="N74"/>
      <c r="O74"/>
    </row>
    <row r="75" spans="12:15">
      <c r="L75"/>
      <c r="M75"/>
      <c r="N75"/>
      <c r="O75"/>
    </row>
    <row r="76" spans="12:15">
      <c r="L76"/>
      <c r="M76"/>
      <c r="N76"/>
      <c r="O76"/>
    </row>
    <row r="77" spans="12:15">
      <c r="L77"/>
      <c r="M77"/>
      <c r="N77"/>
      <c r="O77"/>
    </row>
    <row r="78" spans="12:15">
      <c r="L78"/>
      <c r="M78"/>
      <c r="N78"/>
      <c r="O78"/>
    </row>
    <row r="79" spans="12:15">
      <c r="L79"/>
      <c r="M79"/>
      <c r="N79"/>
      <c r="O79"/>
    </row>
    <row r="80" spans="12:15">
      <c r="L80"/>
      <c r="M80"/>
      <c r="N80"/>
      <c r="O80"/>
    </row>
    <row r="81" spans="12:15">
      <c r="L81"/>
      <c r="M81"/>
      <c r="N81"/>
      <c r="O81"/>
    </row>
    <row r="82" spans="12:15">
      <c r="L82"/>
      <c r="M82"/>
      <c r="N82"/>
      <c r="O82"/>
    </row>
    <row r="83" spans="12:15">
      <c r="L83"/>
      <c r="M83"/>
      <c r="N83"/>
      <c r="O83"/>
    </row>
    <row r="84" spans="12:15">
      <c r="L84"/>
      <c r="M84"/>
      <c r="N84"/>
      <c r="O84"/>
    </row>
    <row r="85" spans="12:15">
      <c r="L85"/>
      <c r="M85"/>
      <c r="N85"/>
      <c r="O85"/>
    </row>
    <row r="86" spans="12:15">
      <c r="L86"/>
      <c r="M86"/>
      <c r="N86"/>
      <c r="O86"/>
    </row>
    <row r="87" spans="12:15">
      <c r="L87"/>
      <c r="M87"/>
      <c r="N87"/>
      <c r="O87"/>
    </row>
    <row r="88" spans="12:15">
      <c r="L88"/>
      <c r="M88"/>
      <c r="N88"/>
      <c r="O88"/>
    </row>
    <row r="89" spans="12:15">
      <c r="L89"/>
      <c r="M89"/>
      <c r="N89"/>
      <c r="O89"/>
    </row>
    <row r="90" spans="12:15">
      <c r="L90"/>
      <c r="M90"/>
      <c r="N90"/>
      <c r="O90"/>
    </row>
    <row r="91" spans="12:15">
      <c r="L91"/>
      <c r="M91"/>
      <c r="N91"/>
      <c r="O91"/>
    </row>
    <row r="92" spans="12:15">
      <c r="L92"/>
      <c r="M92"/>
      <c r="N92"/>
      <c r="O92"/>
    </row>
    <row r="93" spans="12:15">
      <c r="L93"/>
      <c r="M93"/>
      <c r="N93"/>
      <c r="O93"/>
    </row>
    <row r="94" spans="12:15">
      <c r="L94"/>
      <c r="M94"/>
      <c r="N94"/>
      <c r="O94"/>
    </row>
    <row r="95" spans="12:15">
      <c r="L95"/>
      <c r="M95"/>
      <c r="N95"/>
      <c r="O95"/>
    </row>
    <row r="96" spans="12:15">
      <c r="L96"/>
      <c r="M96"/>
      <c r="N96"/>
      <c r="O96"/>
    </row>
    <row r="97" spans="12:15">
      <c r="L97"/>
      <c r="M97"/>
      <c r="N97"/>
      <c r="O97"/>
    </row>
    <row r="98" spans="12:15">
      <c r="L98"/>
      <c r="M98"/>
      <c r="N98"/>
      <c r="O98"/>
    </row>
    <row r="99" spans="12:15">
      <c r="L99"/>
      <c r="M99"/>
      <c r="N99"/>
      <c r="O99"/>
    </row>
    <row r="100" spans="12:15">
      <c r="L100"/>
      <c r="M100"/>
      <c r="N100"/>
      <c r="O100"/>
    </row>
    <row r="101" spans="12:15">
      <c r="L101"/>
      <c r="M101"/>
      <c r="N101"/>
      <c r="O101"/>
    </row>
    <row r="102" spans="12:15">
      <c r="L102"/>
      <c r="M102"/>
      <c r="N102"/>
      <c r="O102"/>
    </row>
    <row r="103" spans="12:15">
      <c r="L103"/>
      <c r="M103"/>
      <c r="N103"/>
      <c r="O103"/>
    </row>
    <row r="104" spans="12:15">
      <c r="L104"/>
      <c r="M104"/>
      <c r="N104"/>
      <c r="O104"/>
    </row>
    <row r="105" spans="12:15">
      <c r="L105"/>
      <c r="M105"/>
      <c r="N105"/>
      <c r="O105"/>
    </row>
    <row r="106" spans="12:15">
      <c r="L106"/>
      <c r="M106"/>
      <c r="N106"/>
      <c r="O106"/>
    </row>
    <row r="107" spans="12:15">
      <c r="L107"/>
      <c r="M107"/>
      <c r="N107"/>
      <c r="O107"/>
    </row>
    <row r="108" spans="12:15">
      <c r="L108"/>
      <c r="M108"/>
      <c r="N108"/>
      <c r="O108"/>
    </row>
    <row r="109" spans="12:15">
      <c r="L109"/>
      <c r="M109"/>
      <c r="N109"/>
      <c r="O109"/>
    </row>
    <row r="110" spans="12:15">
      <c r="L110"/>
      <c r="M110"/>
      <c r="N110"/>
      <c r="O110"/>
    </row>
    <row r="111" spans="12:15">
      <c r="L111"/>
      <c r="M111"/>
      <c r="N111"/>
      <c r="O111"/>
    </row>
    <row r="112" spans="12:15">
      <c r="L112"/>
      <c r="M112"/>
      <c r="N112"/>
      <c r="O112"/>
    </row>
    <row r="113" spans="12:15">
      <c r="L113"/>
      <c r="M113"/>
      <c r="N113"/>
      <c r="O113"/>
    </row>
    <row r="114" spans="12:15">
      <c r="L114"/>
      <c r="M114"/>
      <c r="N114"/>
      <c r="O114"/>
    </row>
    <row r="115" spans="12:15">
      <c r="L115"/>
      <c r="M115"/>
      <c r="N115"/>
      <c r="O115"/>
    </row>
    <row r="116" spans="12:15">
      <c r="L116"/>
      <c r="M116"/>
      <c r="N116"/>
      <c r="O116"/>
    </row>
    <row r="117" spans="12:15">
      <c r="L117"/>
      <c r="M117"/>
      <c r="N117"/>
      <c r="O117"/>
    </row>
    <row r="118" spans="12:15">
      <c r="L118"/>
      <c r="M118"/>
      <c r="N118"/>
      <c r="O118"/>
    </row>
    <row r="119" spans="12:15">
      <c r="L119"/>
      <c r="M119"/>
      <c r="N119"/>
      <c r="O119"/>
    </row>
    <row r="120" spans="12:15">
      <c r="L120"/>
      <c r="M120"/>
      <c r="N120"/>
      <c r="O120"/>
    </row>
    <row r="121" spans="12:15">
      <c r="L121"/>
      <c r="M121"/>
      <c r="N121"/>
      <c r="O121"/>
    </row>
    <row r="122" spans="12:15">
      <c r="L122"/>
      <c r="M122"/>
      <c r="N122"/>
      <c r="O122"/>
    </row>
    <row r="123" spans="12:15">
      <c r="L123"/>
      <c r="M123"/>
      <c r="N123"/>
      <c r="O123"/>
    </row>
    <row r="124" spans="12:15">
      <c r="L124"/>
      <c r="M124"/>
      <c r="N124"/>
      <c r="O124"/>
    </row>
    <row r="125" spans="12:15">
      <c r="L125"/>
      <c r="M125"/>
      <c r="N125"/>
      <c r="O125"/>
    </row>
    <row r="126" spans="12:15">
      <c r="L126"/>
      <c r="M126"/>
      <c r="N126"/>
      <c r="O126"/>
    </row>
    <row r="127" spans="12:15">
      <c r="L127"/>
      <c r="M127"/>
      <c r="N127"/>
      <c r="O127"/>
    </row>
    <row r="128" spans="12:15">
      <c r="L128"/>
      <c r="M128"/>
      <c r="N128"/>
      <c r="O128"/>
    </row>
    <row r="129" spans="12:15">
      <c r="L129"/>
      <c r="M129"/>
      <c r="N129"/>
      <c r="O129"/>
    </row>
    <row r="130" spans="12:15">
      <c r="L130"/>
      <c r="M130"/>
      <c r="N130"/>
      <c r="O130"/>
    </row>
    <row r="131" spans="12:15">
      <c r="L131"/>
      <c r="M131"/>
      <c r="N131"/>
      <c r="O131"/>
    </row>
    <row r="132" spans="12:15">
      <c r="L132"/>
      <c r="M132"/>
      <c r="N132"/>
      <c r="O132"/>
    </row>
    <row r="133" spans="12:15">
      <c r="L133"/>
      <c r="M133"/>
      <c r="N133"/>
      <c r="O133"/>
    </row>
    <row r="134" spans="12:15">
      <c r="L134"/>
      <c r="M134"/>
      <c r="N134"/>
      <c r="O134"/>
    </row>
    <row r="135" spans="12:15">
      <c r="L135"/>
      <c r="M135"/>
      <c r="N135"/>
      <c r="O135"/>
    </row>
    <row r="136" spans="12:15">
      <c r="L136"/>
      <c r="M136"/>
      <c r="N136"/>
      <c r="O136"/>
    </row>
    <row r="137" spans="12:15">
      <c r="L137"/>
      <c r="M137"/>
      <c r="N137"/>
      <c r="O137"/>
    </row>
    <row r="138" spans="12:15">
      <c r="L138"/>
      <c r="M138"/>
      <c r="N138"/>
      <c r="O138"/>
    </row>
    <row r="139" spans="12:15">
      <c r="L139"/>
      <c r="M139"/>
      <c r="N139"/>
      <c r="O139"/>
    </row>
    <row r="140" spans="12:15">
      <c r="L140"/>
      <c r="M140"/>
      <c r="N140"/>
      <c r="O140"/>
    </row>
    <row r="141" spans="12:15">
      <c r="L141"/>
      <c r="M141"/>
      <c r="N141"/>
      <c r="O141"/>
    </row>
    <row r="142" spans="12:15">
      <c r="L142"/>
      <c r="M142"/>
      <c r="N142"/>
      <c r="O142"/>
    </row>
    <row r="143" spans="12:15">
      <c r="L143"/>
      <c r="M143"/>
      <c r="N143"/>
      <c r="O143"/>
    </row>
    <row r="144" spans="12:15">
      <c r="L144"/>
      <c r="M144"/>
      <c r="N144"/>
      <c r="O144"/>
    </row>
    <row r="145" spans="12:15">
      <c r="L145"/>
      <c r="M145"/>
      <c r="N145"/>
      <c r="O145"/>
    </row>
    <row r="146" spans="12:15">
      <c r="L146"/>
      <c r="M146"/>
      <c r="N146"/>
      <c r="O146"/>
    </row>
    <row r="147" spans="12:15">
      <c r="L147"/>
      <c r="M147"/>
      <c r="N147"/>
      <c r="O147"/>
    </row>
    <row r="148" spans="12:15">
      <c r="L148"/>
      <c r="M148"/>
      <c r="N148"/>
      <c r="O148"/>
    </row>
    <row r="149" spans="12:15">
      <c r="L149"/>
      <c r="M149"/>
      <c r="N149"/>
      <c r="O149"/>
    </row>
    <row r="150" spans="12:15">
      <c r="L150"/>
      <c r="M150"/>
      <c r="N150"/>
      <c r="O150"/>
    </row>
    <row r="151" spans="12:15">
      <c r="L151"/>
      <c r="M151"/>
      <c r="N151"/>
      <c r="O151"/>
    </row>
    <row r="152" spans="12:15">
      <c r="L152"/>
      <c r="M152"/>
      <c r="N152"/>
      <c r="O152"/>
    </row>
    <row r="153" spans="12:15">
      <c r="L153"/>
      <c r="M153"/>
      <c r="N153"/>
      <c r="O153"/>
    </row>
    <row r="154" spans="12:15">
      <c r="L154"/>
      <c r="M154"/>
      <c r="N154"/>
      <c r="O154"/>
    </row>
    <row r="155" spans="12:15">
      <c r="L155"/>
      <c r="M155"/>
      <c r="N155"/>
      <c r="O155"/>
    </row>
    <row r="156" spans="12:15">
      <c r="L156"/>
      <c r="M156"/>
      <c r="N156"/>
      <c r="O156"/>
    </row>
    <row r="157" spans="12:15">
      <c r="L157"/>
      <c r="M157"/>
      <c r="N157"/>
      <c r="O157"/>
    </row>
    <row r="158" spans="12:15">
      <c r="L158"/>
      <c r="M158"/>
      <c r="N158"/>
      <c r="O158"/>
    </row>
    <row r="159" spans="12:15">
      <c r="L159"/>
      <c r="M159"/>
      <c r="N159"/>
      <c r="O159"/>
    </row>
    <row r="160" spans="12:15">
      <c r="L160"/>
      <c r="M160"/>
      <c r="N160"/>
      <c r="O160"/>
    </row>
    <row r="161" spans="12:15">
      <c r="L161"/>
      <c r="M161"/>
      <c r="N161"/>
      <c r="O161"/>
    </row>
    <row r="162" spans="12:15">
      <c r="L162"/>
      <c r="M162"/>
      <c r="N162"/>
      <c r="O162"/>
    </row>
    <row r="163" spans="12:15">
      <c r="L163"/>
      <c r="M163"/>
      <c r="N163"/>
      <c r="O163"/>
    </row>
    <row r="164" spans="12:15">
      <c r="L164"/>
      <c r="M164"/>
      <c r="N164"/>
      <c r="O164"/>
    </row>
    <row r="165" spans="12:15">
      <c r="L165"/>
      <c r="M165"/>
      <c r="N165"/>
      <c r="O165"/>
    </row>
    <row r="166" spans="12:15">
      <c r="L166"/>
      <c r="M166"/>
      <c r="N166"/>
      <c r="O166"/>
    </row>
    <row r="167" spans="12:15">
      <c r="L167"/>
      <c r="M167"/>
      <c r="N167"/>
      <c r="O167"/>
    </row>
    <row r="168" spans="12:15">
      <c r="L168"/>
      <c r="M168"/>
      <c r="N168"/>
      <c r="O168"/>
    </row>
    <row r="169" spans="12:15">
      <c r="L169"/>
      <c r="M169"/>
      <c r="N169"/>
      <c r="O169"/>
    </row>
    <row r="170" spans="12:15">
      <c r="L170"/>
      <c r="M170"/>
      <c r="N170"/>
      <c r="O170"/>
    </row>
    <row r="171" spans="12:15">
      <c r="L171"/>
      <c r="M171"/>
      <c r="N171"/>
      <c r="O171"/>
    </row>
    <row r="172" spans="12:15">
      <c r="L172"/>
      <c r="M172"/>
      <c r="N172"/>
      <c r="O172"/>
    </row>
    <row r="173" spans="12:15">
      <c r="L173"/>
      <c r="M173"/>
      <c r="N173"/>
      <c r="O173"/>
    </row>
    <row r="174" spans="12:15">
      <c r="L174"/>
      <c r="M174"/>
      <c r="N174"/>
      <c r="O174"/>
    </row>
    <row r="175" spans="12:15">
      <c r="L175"/>
      <c r="M175"/>
      <c r="N175"/>
      <c r="O175"/>
    </row>
    <row r="176" spans="12:15">
      <c r="L176"/>
      <c r="M176"/>
      <c r="N176"/>
      <c r="O176"/>
    </row>
    <row r="177" spans="12:15">
      <c r="L177"/>
      <c r="M177"/>
      <c r="N177"/>
      <c r="O177"/>
    </row>
    <row r="178" spans="12:15">
      <c r="L178"/>
      <c r="M178"/>
      <c r="N178"/>
      <c r="O178"/>
    </row>
    <row r="179" spans="12:15">
      <c r="L179"/>
      <c r="M179"/>
      <c r="N179"/>
      <c r="O179"/>
    </row>
    <row r="180" spans="12:15">
      <c r="L180"/>
      <c r="M180"/>
      <c r="N180"/>
      <c r="O180"/>
    </row>
    <row r="181" spans="12:15">
      <c r="L181"/>
      <c r="M181"/>
      <c r="N181"/>
      <c r="O181"/>
    </row>
    <row r="182" spans="12:15">
      <c r="L182"/>
      <c r="M182"/>
      <c r="N182"/>
      <c r="O182"/>
    </row>
    <row r="183" spans="12:15">
      <c r="L183"/>
      <c r="M183"/>
      <c r="N183"/>
      <c r="O183"/>
    </row>
    <row r="184" spans="12:15">
      <c r="L184"/>
      <c r="M184"/>
      <c r="N184"/>
      <c r="O184"/>
    </row>
    <row r="185" spans="12:15">
      <c r="L185"/>
      <c r="M185"/>
      <c r="N185"/>
      <c r="O185"/>
    </row>
    <row r="186" spans="12:15">
      <c r="L186"/>
      <c r="M186"/>
      <c r="N186"/>
      <c r="O186"/>
    </row>
    <row r="187" spans="12:15">
      <c r="L187"/>
      <c r="M187"/>
      <c r="N187"/>
      <c r="O187"/>
    </row>
    <row r="188" spans="12:15">
      <c r="L188"/>
      <c r="M188"/>
      <c r="N188"/>
      <c r="O188"/>
    </row>
    <row r="189" spans="12:15">
      <c r="L189"/>
      <c r="M189"/>
      <c r="N189"/>
      <c r="O189"/>
    </row>
    <row r="190" spans="12:15">
      <c r="L190"/>
      <c r="M190"/>
      <c r="N190"/>
      <c r="O190"/>
    </row>
    <row r="191" spans="12:15">
      <c r="L191"/>
      <c r="M191"/>
      <c r="N191"/>
      <c r="O191"/>
    </row>
    <row r="192" spans="12:15">
      <c r="L192"/>
      <c r="M192"/>
      <c r="N192"/>
      <c r="O192"/>
    </row>
    <row r="193" spans="12:15">
      <c r="L193"/>
      <c r="M193"/>
      <c r="N193"/>
      <c r="O193"/>
    </row>
    <row r="194" spans="12:15">
      <c r="L194"/>
      <c r="M194"/>
      <c r="N194"/>
      <c r="O194"/>
    </row>
    <row r="195" spans="12:15">
      <c r="L195"/>
      <c r="M195"/>
      <c r="N195"/>
      <c r="O195"/>
    </row>
    <row r="196" spans="12:15">
      <c r="L196"/>
      <c r="M196"/>
      <c r="N196"/>
      <c r="O196"/>
    </row>
    <row r="197" spans="12:15">
      <c r="L197"/>
      <c r="M197"/>
      <c r="N197"/>
      <c r="O197"/>
    </row>
    <row r="198" spans="12:15">
      <c r="L198"/>
      <c r="M198"/>
      <c r="N198"/>
      <c r="O198"/>
    </row>
    <row r="199" spans="12:15">
      <c r="L199"/>
      <c r="M199"/>
      <c r="N199"/>
      <c r="O199"/>
    </row>
    <row r="200" spans="12:15">
      <c r="L200"/>
      <c r="M200"/>
      <c r="N200"/>
      <c r="O200"/>
    </row>
    <row r="201" spans="12:15">
      <c r="L201"/>
      <c r="M201"/>
      <c r="N201"/>
      <c r="O201"/>
    </row>
    <row r="202" spans="12:15">
      <c r="L202"/>
      <c r="M202"/>
      <c r="N202"/>
      <c r="O202"/>
    </row>
    <row r="203" spans="12:15">
      <c r="L203"/>
      <c r="M203"/>
      <c r="N203"/>
      <c r="O203"/>
    </row>
    <row r="204" spans="12:15">
      <c r="L204"/>
      <c r="M204"/>
      <c r="N204"/>
      <c r="O204"/>
    </row>
    <row r="205" spans="12:15">
      <c r="L205"/>
      <c r="M205"/>
      <c r="N205"/>
      <c r="O205"/>
    </row>
    <row r="206" spans="12:15">
      <c r="L206"/>
      <c r="M206"/>
      <c r="N206"/>
      <c r="O206"/>
    </row>
    <row r="207" spans="12:15">
      <c r="L207"/>
      <c r="M207"/>
      <c r="N207"/>
      <c r="O207"/>
    </row>
    <row r="208" spans="12:15">
      <c r="L208"/>
      <c r="M208"/>
      <c r="N208"/>
      <c r="O208"/>
    </row>
    <row r="209" spans="12:15">
      <c r="L209"/>
      <c r="M209"/>
      <c r="N209"/>
      <c r="O209"/>
    </row>
    <row r="210" spans="12:15">
      <c r="L210"/>
      <c r="M210"/>
      <c r="N210"/>
      <c r="O210"/>
    </row>
    <row r="211" spans="12:15">
      <c r="L211"/>
      <c r="M211"/>
      <c r="N211"/>
      <c r="O211"/>
    </row>
    <row r="212" spans="12:15">
      <c r="L212"/>
      <c r="M212"/>
      <c r="N212"/>
      <c r="O212"/>
    </row>
    <row r="213" spans="12:15">
      <c r="L213"/>
      <c r="M213"/>
      <c r="N213"/>
      <c r="O213"/>
    </row>
    <row r="214" spans="12:15">
      <c r="L214"/>
      <c r="M214"/>
      <c r="N214"/>
      <c r="O214"/>
    </row>
    <row r="215" spans="12:15">
      <c r="L215"/>
      <c r="M215"/>
      <c r="N215"/>
      <c r="O215"/>
    </row>
    <row r="216" spans="12:15">
      <c r="L216"/>
      <c r="M216"/>
      <c r="N216"/>
      <c r="O216"/>
    </row>
    <row r="217" spans="12:15">
      <c r="L217"/>
      <c r="M217"/>
      <c r="N217"/>
      <c r="O217"/>
    </row>
    <row r="218" spans="12:15">
      <c r="L218"/>
      <c r="M218"/>
      <c r="N218"/>
      <c r="O218"/>
    </row>
    <row r="219" spans="12:15">
      <c r="L219"/>
      <c r="M219"/>
      <c r="N219"/>
      <c r="O219"/>
    </row>
    <row r="220" spans="12:15">
      <c r="L220"/>
      <c r="M220"/>
      <c r="N220"/>
      <c r="O220"/>
    </row>
    <row r="221" spans="12:15">
      <c r="L221"/>
      <c r="M221"/>
      <c r="N221"/>
      <c r="O221"/>
    </row>
    <row r="222" spans="12:15">
      <c r="L222"/>
      <c r="M222"/>
      <c r="N222"/>
      <c r="O222"/>
    </row>
    <row r="223" spans="12:15">
      <c r="L223"/>
      <c r="M223"/>
      <c r="N223"/>
      <c r="O223"/>
    </row>
    <row r="224" spans="12:15">
      <c r="L224"/>
      <c r="M224"/>
      <c r="N224"/>
      <c r="O224"/>
    </row>
    <row r="225" spans="12:15">
      <c r="L225"/>
      <c r="M225"/>
      <c r="N225"/>
      <c r="O225"/>
    </row>
    <row r="226" spans="12:15">
      <c r="L226"/>
      <c r="M226"/>
      <c r="N226"/>
      <c r="O226"/>
    </row>
    <row r="227" spans="12:15">
      <c r="L227"/>
      <c r="M227"/>
      <c r="N227"/>
      <c r="O227"/>
    </row>
    <row r="228" spans="12:15">
      <c r="L228"/>
      <c r="M228"/>
      <c r="N228"/>
      <c r="O228"/>
    </row>
    <row r="229" spans="12:15">
      <c r="L229"/>
      <c r="M229"/>
      <c r="N229"/>
      <c r="O229"/>
    </row>
    <row r="230" spans="12:15">
      <c r="L230"/>
      <c r="M230"/>
      <c r="N230"/>
      <c r="O230"/>
    </row>
    <row r="231" spans="12:15">
      <c r="L231"/>
      <c r="M231"/>
      <c r="N231"/>
      <c r="O231"/>
    </row>
    <row r="232" spans="12:15">
      <c r="L232"/>
      <c r="M232"/>
      <c r="N232"/>
      <c r="O232"/>
    </row>
    <row r="233" spans="12:15">
      <c r="L233"/>
      <c r="M233"/>
      <c r="N233"/>
      <c r="O233"/>
    </row>
    <row r="234" spans="12:15">
      <c r="L234"/>
      <c r="M234"/>
      <c r="N234"/>
      <c r="O234"/>
    </row>
    <row r="235" spans="12:15">
      <c r="L235"/>
      <c r="M235"/>
      <c r="N235"/>
      <c r="O235"/>
    </row>
    <row r="236" spans="12:15">
      <c r="L236"/>
      <c r="M236"/>
      <c r="N236"/>
      <c r="O236"/>
    </row>
    <row r="237" spans="12:15">
      <c r="L237"/>
      <c r="M237"/>
      <c r="N237"/>
      <c r="O237"/>
    </row>
    <row r="238" spans="12:15">
      <c r="L238"/>
      <c r="M238"/>
      <c r="N238"/>
      <c r="O238"/>
    </row>
    <row r="239" spans="12:15">
      <c r="L239"/>
      <c r="M239"/>
      <c r="N239"/>
      <c r="O239"/>
    </row>
    <row r="240" spans="12:15">
      <c r="L240"/>
      <c r="M240"/>
      <c r="N240"/>
      <c r="O240"/>
    </row>
    <row r="241" spans="12:15">
      <c r="L241"/>
      <c r="M241"/>
      <c r="N241"/>
      <c r="O241"/>
    </row>
    <row r="242" spans="12:15">
      <c r="L242"/>
      <c r="M242"/>
      <c r="N242"/>
      <c r="O242"/>
    </row>
    <row r="243" spans="12:15">
      <c r="L243"/>
      <c r="M243"/>
      <c r="N243"/>
      <c r="O243"/>
    </row>
    <row r="244" spans="12:15">
      <c r="L244"/>
      <c r="M244"/>
      <c r="N244"/>
      <c r="O244"/>
    </row>
    <row r="245" spans="12:15">
      <c r="L245"/>
      <c r="M245"/>
      <c r="N245"/>
      <c r="O245"/>
    </row>
    <row r="246" spans="12:15">
      <c r="L246"/>
      <c r="M246"/>
      <c r="N246"/>
      <c r="O246"/>
    </row>
    <row r="247" spans="12:15">
      <c r="L247"/>
      <c r="M247"/>
      <c r="N247"/>
      <c r="O247"/>
    </row>
    <row r="248" spans="12:15">
      <c r="L248"/>
      <c r="M248"/>
      <c r="N248"/>
      <c r="O248"/>
    </row>
    <row r="249" spans="12:15">
      <c r="L249"/>
      <c r="M249"/>
      <c r="N249"/>
      <c r="O249"/>
    </row>
    <row r="250" spans="12:15">
      <c r="L250"/>
      <c r="M250"/>
      <c r="N250"/>
      <c r="O250"/>
    </row>
    <row r="251" spans="12:15">
      <c r="L251"/>
      <c r="M251"/>
      <c r="N251"/>
      <c r="O251"/>
    </row>
    <row r="252" spans="12:15">
      <c r="L252"/>
      <c r="M252"/>
      <c r="N252"/>
      <c r="O252"/>
    </row>
    <row r="253" spans="12:15">
      <c r="L253"/>
      <c r="M253"/>
      <c r="N253"/>
      <c r="O253"/>
    </row>
    <row r="254" spans="12:15">
      <c r="L254"/>
      <c r="M254"/>
      <c r="N254"/>
      <c r="O254"/>
    </row>
    <row r="255" spans="12:15">
      <c r="L255"/>
      <c r="M255"/>
      <c r="N255"/>
      <c r="O255"/>
    </row>
    <row r="256" spans="12:15">
      <c r="L256"/>
      <c r="M256"/>
      <c r="N256"/>
      <c r="O256"/>
    </row>
    <row r="257" spans="12:15">
      <c r="L257"/>
      <c r="M257"/>
      <c r="N257"/>
      <c r="O257"/>
    </row>
    <row r="258" spans="12:15">
      <c r="L258"/>
      <c r="M258"/>
      <c r="N258"/>
      <c r="O258"/>
    </row>
    <row r="259" spans="12:15">
      <c r="L259"/>
      <c r="M259"/>
      <c r="N259"/>
      <c r="O259"/>
    </row>
    <row r="260" spans="12:15">
      <c r="L260"/>
      <c r="M260"/>
      <c r="N260"/>
      <c r="O260"/>
    </row>
    <row r="261" spans="12:15">
      <c r="L261"/>
      <c r="M261"/>
      <c r="N261"/>
      <c r="O261"/>
    </row>
    <row r="262" spans="12:15">
      <c r="L262"/>
      <c r="M262"/>
      <c r="N262"/>
      <c r="O262"/>
    </row>
    <row r="263" spans="12:15">
      <c r="L263"/>
      <c r="M263"/>
      <c r="N263"/>
      <c r="O263"/>
    </row>
    <row r="264" spans="12:15">
      <c r="L264"/>
      <c r="M264"/>
      <c r="N264"/>
      <c r="O264"/>
    </row>
    <row r="265" spans="12:15">
      <c r="L265"/>
      <c r="M265"/>
      <c r="N265"/>
      <c r="O265"/>
    </row>
    <row r="266" spans="12:15">
      <c r="L266"/>
      <c r="M266"/>
      <c r="N266"/>
      <c r="O266"/>
    </row>
    <row r="267" spans="12:15">
      <c r="L267"/>
      <c r="M267"/>
      <c r="N267"/>
      <c r="O267"/>
    </row>
    <row r="268" spans="12:15">
      <c r="L268"/>
      <c r="M268"/>
      <c r="N268"/>
      <c r="O268"/>
    </row>
    <row r="269" spans="12:15">
      <c r="L269"/>
      <c r="M269"/>
      <c r="N269"/>
      <c r="O269"/>
    </row>
    <row r="270" spans="12:15">
      <c r="L270"/>
      <c r="M270"/>
      <c r="N270"/>
      <c r="O270"/>
    </row>
    <row r="271" spans="12:15">
      <c r="L271"/>
      <c r="M271"/>
      <c r="N271"/>
      <c r="O271"/>
    </row>
    <row r="272" spans="12:15">
      <c r="L272"/>
      <c r="M272"/>
      <c r="N272"/>
      <c r="O272"/>
    </row>
    <row r="273" spans="12:15">
      <c r="L273"/>
      <c r="M273"/>
      <c r="N273"/>
      <c r="O273"/>
    </row>
    <row r="274" spans="12:15">
      <c r="L274"/>
      <c r="M274"/>
      <c r="N274"/>
      <c r="O274"/>
    </row>
    <row r="275" spans="12:15">
      <c r="L275"/>
      <c r="M275"/>
      <c r="N275"/>
      <c r="O275"/>
    </row>
    <row r="276" spans="12:15">
      <c r="L276"/>
      <c r="M276"/>
      <c r="N276"/>
      <c r="O276"/>
    </row>
    <row r="277" spans="12:15">
      <c r="L277"/>
      <c r="M277"/>
      <c r="N277"/>
      <c r="O277"/>
    </row>
    <row r="278" spans="12:15">
      <c r="L278"/>
      <c r="M278"/>
      <c r="N278"/>
      <c r="O278"/>
    </row>
    <row r="279" spans="12:15">
      <c r="L279"/>
      <c r="M279"/>
      <c r="N279"/>
      <c r="O279"/>
    </row>
    <row r="280" spans="12:15">
      <c r="L280"/>
      <c r="M280"/>
      <c r="N280"/>
      <c r="O280"/>
    </row>
    <row r="281" spans="12:15">
      <c r="L281"/>
      <c r="M281"/>
      <c r="N281"/>
      <c r="O281"/>
    </row>
    <row r="282" spans="12:15">
      <c r="L282"/>
      <c r="M282"/>
      <c r="N282"/>
      <c r="O282"/>
    </row>
    <row r="283" spans="12:15">
      <c r="L283"/>
      <c r="M283"/>
      <c r="N283"/>
      <c r="O283"/>
    </row>
    <row r="284" spans="12:15">
      <c r="L284"/>
      <c r="M284"/>
      <c r="N284"/>
      <c r="O284"/>
    </row>
    <row r="285" spans="12:15">
      <c r="L285"/>
      <c r="M285"/>
      <c r="N285"/>
      <c r="O285"/>
    </row>
    <row r="286" spans="12:15">
      <c r="L286"/>
      <c r="M286"/>
      <c r="N286"/>
      <c r="O286"/>
    </row>
    <row r="287" spans="12:15">
      <c r="L287"/>
      <c r="M287"/>
      <c r="N287"/>
      <c r="O287"/>
    </row>
    <row r="288" spans="12:15">
      <c r="L288"/>
      <c r="M288"/>
      <c r="N288"/>
      <c r="O288"/>
    </row>
    <row r="289" spans="12:15">
      <c r="L289"/>
      <c r="M289"/>
      <c r="N289"/>
      <c r="O289"/>
    </row>
    <row r="290" spans="12:15">
      <c r="L290"/>
      <c r="M290"/>
      <c r="N290"/>
      <c r="O290"/>
    </row>
    <row r="291" spans="12:15">
      <c r="L291"/>
      <c r="M291"/>
      <c r="N291"/>
      <c r="O291"/>
    </row>
    <row r="292" spans="12:15">
      <c r="L292"/>
      <c r="M292"/>
      <c r="N292"/>
      <c r="O292"/>
    </row>
    <row r="293" spans="12:15">
      <c r="L293"/>
      <c r="M293"/>
      <c r="N293"/>
      <c r="O293"/>
    </row>
    <row r="294" spans="12:15">
      <c r="L294"/>
      <c r="M294"/>
      <c r="N294"/>
      <c r="O294"/>
    </row>
    <row r="295" spans="12:15">
      <c r="L295"/>
      <c r="M295"/>
      <c r="N295"/>
      <c r="O295"/>
    </row>
    <row r="296" spans="12:15">
      <c r="L296"/>
      <c r="M296"/>
      <c r="N296"/>
      <c r="O296"/>
    </row>
    <row r="297" spans="12:15">
      <c r="L297"/>
      <c r="M297"/>
      <c r="N297"/>
      <c r="O297"/>
    </row>
    <row r="298" spans="12:15">
      <c r="L298"/>
      <c r="M298"/>
      <c r="N298"/>
      <c r="O298"/>
    </row>
    <row r="299" spans="12:15">
      <c r="L299"/>
      <c r="M299"/>
      <c r="N299"/>
      <c r="O299"/>
    </row>
    <row r="300" spans="12:15">
      <c r="L300"/>
      <c r="M300"/>
      <c r="N300"/>
      <c r="O300"/>
    </row>
    <row r="301" spans="12:15">
      <c r="L301"/>
      <c r="M301"/>
      <c r="N301"/>
      <c r="O301"/>
    </row>
    <row r="302" spans="12:15">
      <c r="L302"/>
      <c r="M302"/>
      <c r="N302"/>
      <c r="O302"/>
    </row>
    <row r="303" spans="12:15">
      <c r="L303"/>
      <c r="M303"/>
      <c r="N303"/>
      <c r="O303"/>
    </row>
    <row r="304" spans="12:15">
      <c r="L304"/>
      <c r="M304"/>
      <c r="N304"/>
      <c r="O304"/>
    </row>
    <row r="305" spans="12:15">
      <c r="L305"/>
      <c r="M305"/>
      <c r="N305"/>
      <c r="O305"/>
    </row>
    <row r="306" spans="12:15">
      <c r="L306"/>
      <c r="M306"/>
      <c r="N306"/>
      <c r="O306"/>
    </row>
    <row r="307" spans="12:15">
      <c r="L307"/>
      <c r="M307"/>
      <c r="N307"/>
      <c r="O307"/>
    </row>
    <row r="308" spans="12:15">
      <c r="L308"/>
      <c r="M308"/>
      <c r="N308"/>
      <c r="O308"/>
    </row>
    <row r="309" spans="12:15">
      <c r="L309"/>
      <c r="M309"/>
      <c r="N309"/>
      <c r="O309"/>
    </row>
    <row r="310" spans="12:15">
      <c r="L310"/>
      <c r="M310"/>
      <c r="N310"/>
      <c r="O310"/>
    </row>
    <row r="311" spans="12:15">
      <c r="L311"/>
      <c r="M311"/>
      <c r="N311"/>
      <c r="O311"/>
    </row>
    <row r="312" spans="12:15">
      <c r="L312"/>
      <c r="M312"/>
      <c r="N312"/>
      <c r="O312"/>
    </row>
    <row r="313" spans="12:15">
      <c r="L313"/>
      <c r="M313"/>
      <c r="N313"/>
      <c r="O313"/>
    </row>
    <row r="314" spans="12:15">
      <c r="L314"/>
      <c r="M314"/>
      <c r="N314"/>
      <c r="O314"/>
    </row>
    <row r="315" spans="12:15">
      <c r="L315"/>
      <c r="M315"/>
      <c r="N315"/>
      <c r="O315"/>
    </row>
    <row r="316" spans="12:15">
      <c r="L316"/>
      <c r="M316"/>
      <c r="N316"/>
      <c r="O316"/>
    </row>
    <row r="317" spans="12:15">
      <c r="L317"/>
      <c r="M317"/>
      <c r="N317"/>
      <c r="O317"/>
    </row>
    <row r="318" spans="12:15">
      <c r="L318"/>
      <c r="M318"/>
      <c r="N318"/>
      <c r="O318"/>
    </row>
    <row r="319" spans="12:15">
      <c r="L319"/>
      <c r="M319"/>
      <c r="N319"/>
      <c r="O319"/>
    </row>
    <row r="320" spans="12:15">
      <c r="L320"/>
      <c r="M320"/>
      <c r="N320"/>
      <c r="O320"/>
    </row>
    <row r="321" spans="12:15">
      <c r="L321"/>
      <c r="M321"/>
      <c r="N321"/>
      <c r="O321"/>
    </row>
    <row r="322" spans="12:15">
      <c r="L322"/>
      <c r="M322"/>
      <c r="N322"/>
      <c r="O322"/>
    </row>
    <row r="323" spans="12:15">
      <c r="L323"/>
      <c r="M323"/>
      <c r="N323"/>
      <c r="O323"/>
    </row>
    <row r="324" spans="12:15">
      <c r="L324"/>
      <c r="M324"/>
      <c r="N324"/>
      <c r="O324"/>
    </row>
    <row r="325" spans="12:15">
      <c r="L325"/>
      <c r="M325"/>
      <c r="N325"/>
      <c r="O325"/>
    </row>
    <row r="326" spans="12:15">
      <c r="L326"/>
      <c r="M326"/>
      <c r="N326"/>
      <c r="O326"/>
    </row>
    <row r="327" spans="12:15">
      <c r="L327"/>
      <c r="M327"/>
      <c r="N327"/>
      <c r="O327"/>
    </row>
    <row r="328" spans="12:15">
      <c r="L328"/>
      <c r="M328"/>
      <c r="N328"/>
      <c r="O328"/>
    </row>
    <row r="329" spans="12:15">
      <c r="L329"/>
      <c r="M329"/>
      <c r="N329"/>
      <c r="O329"/>
    </row>
    <row r="330" spans="12:15">
      <c r="L330"/>
      <c r="M330"/>
      <c r="N330"/>
      <c r="O330"/>
    </row>
    <row r="331" spans="12:15">
      <c r="L331"/>
      <c r="M331"/>
      <c r="N331"/>
      <c r="O331"/>
    </row>
    <row r="332" spans="12:15">
      <c r="L332"/>
      <c r="M332"/>
      <c r="N332"/>
      <c r="O332"/>
    </row>
    <row r="333" spans="12:15">
      <c r="L333"/>
      <c r="M333"/>
      <c r="N333"/>
      <c r="O333"/>
    </row>
    <row r="334" spans="12:15">
      <c r="L334"/>
      <c r="M334"/>
      <c r="N334"/>
      <c r="O334"/>
    </row>
    <row r="335" spans="12:15">
      <c r="L335"/>
      <c r="M335"/>
      <c r="N335"/>
      <c r="O335"/>
    </row>
    <row r="336" spans="12:15">
      <c r="L336"/>
      <c r="M336"/>
      <c r="N336"/>
      <c r="O336"/>
    </row>
    <row r="337" spans="12:15">
      <c r="L337"/>
      <c r="M337"/>
      <c r="N337"/>
      <c r="O337"/>
    </row>
    <row r="338" spans="12:15">
      <c r="L338"/>
      <c r="M338"/>
      <c r="N338"/>
      <c r="O338"/>
    </row>
    <row r="339" spans="12:15">
      <c r="L339"/>
      <c r="M339"/>
      <c r="N339"/>
      <c r="O339"/>
    </row>
    <row r="340" spans="12:15">
      <c r="L340"/>
      <c r="M340"/>
      <c r="N340"/>
      <c r="O340"/>
    </row>
    <row r="341" spans="12:15">
      <c r="L341"/>
      <c r="M341"/>
      <c r="N341"/>
      <c r="O341"/>
    </row>
    <row r="342" spans="12:15">
      <c r="L342"/>
      <c r="M342"/>
      <c r="N342"/>
      <c r="O342"/>
    </row>
    <row r="343" spans="12:15">
      <c r="L343"/>
      <c r="M343"/>
      <c r="N343"/>
      <c r="O343"/>
    </row>
    <row r="344" spans="12:15">
      <c r="L344"/>
      <c r="M344"/>
      <c r="N344"/>
      <c r="O344"/>
    </row>
    <row r="345" spans="12:15">
      <c r="L345"/>
      <c r="M345"/>
      <c r="N345"/>
      <c r="O345"/>
    </row>
    <row r="346" spans="12:15">
      <c r="L346"/>
      <c r="M346"/>
      <c r="N346"/>
      <c r="O346"/>
    </row>
    <row r="347" spans="12:15">
      <c r="L347"/>
      <c r="M347"/>
      <c r="N347"/>
      <c r="O347"/>
    </row>
    <row r="348" spans="12:15">
      <c r="L348"/>
      <c r="M348"/>
      <c r="N348"/>
      <c r="O348"/>
    </row>
    <row r="349" spans="12:15">
      <c r="L349"/>
      <c r="M349"/>
      <c r="N349"/>
      <c r="O349"/>
    </row>
    <row r="350" spans="12:15">
      <c r="L350"/>
      <c r="M350"/>
      <c r="N350"/>
      <c r="O350"/>
    </row>
    <row r="351" spans="12:15">
      <c r="L351"/>
      <c r="M351"/>
      <c r="N351"/>
      <c r="O351"/>
    </row>
    <row r="352" spans="12:15">
      <c r="L352"/>
      <c r="M352"/>
      <c r="N352"/>
      <c r="O352"/>
    </row>
    <row r="353" spans="12:15">
      <c r="L353"/>
      <c r="M353"/>
      <c r="N353"/>
      <c r="O353"/>
    </row>
    <row r="354" spans="12:15">
      <c r="L354"/>
      <c r="M354"/>
      <c r="N354"/>
      <c r="O354"/>
    </row>
    <row r="355" spans="12:15">
      <c r="L355"/>
      <c r="M355"/>
      <c r="N355"/>
      <c r="O355"/>
    </row>
    <row r="356" spans="12:15">
      <c r="L356"/>
      <c r="M356"/>
      <c r="N356"/>
      <c r="O356"/>
    </row>
    <row r="357" spans="12:15">
      <c r="L357"/>
      <c r="M357"/>
      <c r="N357"/>
      <c r="O357"/>
    </row>
    <row r="358" spans="12:15">
      <c r="L358"/>
      <c r="M358"/>
      <c r="N358"/>
      <c r="O358"/>
    </row>
    <row r="359" spans="12:15">
      <c r="L359"/>
      <c r="M359"/>
      <c r="N359"/>
      <c r="O359"/>
    </row>
    <row r="360" spans="12:15">
      <c r="L360"/>
      <c r="M360"/>
      <c r="N360"/>
      <c r="O360"/>
    </row>
    <row r="361" spans="12:15">
      <c r="L361"/>
      <c r="M361"/>
      <c r="N361"/>
      <c r="O361"/>
    </row>
    <row r="362" spans="12:15">
      <c r="L362"/>
      <c r="M362"/>
      <c r="N362"/>
      <c r="O362"/>
    </row>
    <row r="363" spans="12:15">
      <c r="L363"/>
      <c r="M363"/>
      <c r="N363"/>
      <c r="O363"/>
    </row>
    <row r="364" spans="12:15">
      <c r="L364"/>
      <c r="M364"/>
      <c r="N364"/>
      <c r="O364"/>
    </row>
    <row r="365" spans="12:15">
      <c r="L365"/>
      <c r="M365"/>
      <c r="N365"/>
      <c r="O365"/>
    </row>
    <row r="366" spans="12:15">
      <c r="L366"/>
      <c r="M366"/>
      <c r="N366"/>
      <c r="O366"/>
    </row>
    <row r="367" spans="12:15">
      <c r="L367"/>
      <c r="M367"/>
      <c r="N367"/>
      <c r="O367"/>
    </row>
    <row r="368" spans="12:15">
      <c r="L368"/>
      <c r="M368"/>
      <c r="N368"/>
      <c r="O368"/>
    </row>
    <row r="369" spans="12:15">
      <c r="L369"/>
      <c r="M369"/>
      <c r="N369"/>
      <c r="O369"/>
    </row>
    <row r="370" spans="12:15">
      <c r="L370"/>
      <c r="M370"/>
      <c r="N370"/>
      <c r="O370"/>
    </row>
    <row r="371" spans="12:15">
      <c r="L371"/>
      <c r="M371"/>
      <c r="N371"/>
      <c r="O371"/>
    </row>
    <row r="372" spans="12:15">
      <c r="L372"/>
      <c r="M372"/>
      <c r="N372"/>
      <c r="O372"/>
    </row>
    <row r="373" spans="12:15">
      <c r="L373"/>
      <c r="M373"/>
      <c r="N373"/>
      <c r="O373"/>
    </row>
    <row r="374" spans="12:15">
      <c r="L374"/>
      <c r="M374"/>
      <c r="N374"/>
      <c r="O374"/>
    </row>
    <row r="375" spans="12:15">
      <c r="L375"/>
      <c r="M375"/>
      <c r="N375"/>
      <c r="O375"/>
    </row>
    <row r="376" spans="12:15">
      <c r="L376"/>
      <c r="M376"/>
      <c r="N376"/>
      <c r="O376"/>
    </row>
    <row r="377" spans="12:15">
      <c r="L377"/>
      <c r="M377"/>
      <c r="N377"/>
      <c r="O377"/>
    </row>
    <row r="378" spans="12:15">
      <c r="L378"/>
      <c r="M378"/>
      <c r="N378"/>
      <c r="O378"/>
    </row>
    <row r="379" spans="12:15">
      <c r="L379"/>
      <c r="M379"/>
      <c r="N379"/>
      <c r="O379"/>
    </row>
    <row r="380" spans="12:15">
      <c r="L380"/>
      <c r="M380"/>
      <c r="N380"/>
      <c r="O380"/>
    </row>
    <row r="381" spans="12:15">
      <c r="L381"/>
      <c r="M381"/>
      <c r="N381"/>
      <c r="O381"/>
    </row>
    <row r="382" spans="12:15">
      <c r="L382"/>
      <c r="M382"/>
      <c r="N382"/>
      <c r="O382"/>
    </row>
    <row r="383" spans="12:15">
      <c r="L383"/>
      <c r="M383"/>
      <c r="N383"/>
      <c r="O383"/>
    </row>
    <row r="384" spans="12:15">
      <c r="L384"/>
      <c r="M384"/>
      <c r="N384"/>
      <c r="O384"/>
    </row>
    <row r="385" spans="12:15">
      <c r="L385"/>
      <c r="M385"/>
      <c r="N385"/>
      <c r="O385"/>
    </row>
    <row r="386" spans="12:15">
      <c r="L386"/>
      <c r="M386"/>
      <c r="N386"/>
      <c r="O386"/>
    </row>
    <row r="387" spans="12:15">
      <c r="L387"/>
      <c r="M387"/>
      <c r="N387"/>
      <c r="O387"/>
    </row>
    <row r="388" spans="12:15">
      <c r="L388"/>
      <c r="M388"/>
      <c r="N388"/>
      <c r="O388"/>
    </row>
    <row r="389" spans="12:15">
      <c r="L389"/>
      <c r="M389"/>
      <c r="N389"/>
      <c r="O389"/>
    </row>
    <row r="390" spans="12:15">
      <c r="L390"/>
      <c r="M390"/>
      <c r="N390"/>
      <c r="O390"/>
    </row>
    <row r="391" spans="12:15">
      <c r="L391"/>
      <c r="M391"/>
      <c r="N391"/>
      <c r="O391"/>
    </row>
    <row r="392" spans="12:15">
      <c r="L392"/>
      <c r="M392"/>
      <c r="N392"/>
      <c r="O392"/>
    </row>
    <row r="393" spans="12:15">
      <c r="L393"/>
      <c r="M393"/>
      <c r="N393"/>
      <c r="O393"/>
    </row>
    <row r="394" spans="12:15">
      <c r="L394"/>
      <c r="M394"/>
      <c r="N394"/>
      <c r="O394"/>
    </row>
    <row r="395" spans="12:15">
      <c r="L395"/>
      <c r="M395"/>
      <c r="N395"/>
      <c r="O395"/>
    </row>
    <row r="396" spans="12:15">
      <c r="L396"/>
      <c r="M396"/>
      <c r="N396"/>
      <c r="O396"/>
    </row>
    <row r="397" spans="12:15">
      <c r="L397"/>
      <c r="M397"/>
      <c r="N397"/>
      <c r="O397"/>
    </row>
    <row r="398" spans="12:15">
      <c r="L398"/>
      <c r="M398"/>
      <c r="N398"/>
      <c r="O398"/>
    </row>
    <row r="399" spans="12:15">
      <c r="L399"/>
      <c r="M399"/>
      <c r="N399"/>
      <c r="O399"/>
    </row>
    <row r="400" spans="12:15">
      <c r="L400"/>
      <c r="M400"/>
      <c r="N400"/>
      <c r="O400"/>
    </row>
    <row r="401" spans="12:15">
      <c r="L401"/>
      <c r="M401"/>
      <c r="N401"/>
      <c r="O401"/>
    </row>
    <row r="402" spans="12:15">
      <c r="L402"/>
      <c r="M402"/>
      <c r="N402"/>
      <c r="O402"/>
    </row>
    <row r="403" spans="12:15">
      <c r="L403"/>
      <c r="M403"/>
      <c r="N403"/>
      <c r="O403"/>
    </row>
    <row r="404" spans="12:15">
      <c r="L404"/>
      <c r="M404"/>
      <c r="N404"/>
      <c r="O404"/>
    </row>
    <row r="405" spans="12:15">
      <c r="L405"/>
      <c r="M405"/>
      <c r="N405"/>
      <c r="O405"/>
    </row>
    <row r="406" spans="12:15">
      <c r="L406"/>
      <c r="M406"/>
      <c r="N406"/>
      <c r="O406"/>
    </row>
    <row r="407" spans="12:15">
      <c r="L407"/>
      <c r="M407"/>
      <c r="N407"/>
      <c r="O407"/>
    </row>
    <row r="408" spans="12:15">
      <c r="L408"/>
      <c r="M408"/>
      <c r="N408"/>
      <c r="O408"/>
    </row>
    <row r="409" spans="12:15">
      <c r="L409"/>
      <c r="M409"/>
      <c r="N409"/>
      <c r="O409"/>
    </row>
    <row r="410" spans="12:15">
      <c r="L410"/>
      <c r="M410"/>
      <c r="N410"/>
      <c r="O410"/>
    </row>
    <row r="411" spans="12:15">
      <c r="L411"/>
      <c r="M411"/>
      <c r="N411"/>
      <c r="O411"/>
    </row>
    <row r="412" spans="12:15">
      <c r="L412"/>
      <c r="M412"/>
      <c r="N412"/>
      <c r="O412"/>
    </row>
    <row r="413" spans="12:15">
      <c r="L413"/>
      <c r="M413"/>
      <c r="N413"/>
      <c r="O413"/>
    </row>
    <row r="414" spans="12:15">
      <c r="L414"/>
      <c r="M414"/>
      <c r="N414"/>
      <c r="O414"/>
    </row>
    <row r="415" spans="12:15">
      <c r="L415"/>
      <c r="M415"/>
      <c r="N415"/>
      <c r="O415"/>
    </row>
    <row r="416" spans="12:15">
      <c r="L416"/>
      <c r="M416"/>
      <c r="N416"/>
      <c r="O416"/>
    </row>
    <row r="417" spans="12:15">
      <c r="L417"/>
      <c r="M417"/>
      <c r="N417"/>
      <c r="O417"/>
    </row>
    <row r="418" spans="12:15">
      <c r="L418"/>
      <c r="M418"/>
      <c r="N418"/>
      <c r="O418"/>
    </row>
    <row r="419" spans="12:15">
      <c r="L419"/>
      <c r="M419"/>
      <c r="N419"/>
      <c r="O419"/>
    </row>
    <row r="420" spans="12:15">
      <c r="L420"/>
      <c r="M420"/>
      <c r="N420"/>
      <c r="O420"/>
    </row>
    <row r="421" spans="12:15">
      <c r="L421"/>
      <c r="M421"/>
      <c r="N421"/>
      <c r="O421"/>
    </row>
    <row r="422" spans="12:15">
      <c r="L422"/>
      <c r="M422"/>
      <c r="N422"/>
      <c r="O422"/>
    </row>
    <row r="423" spans="12:15">
      <c r="L423"/>
      <c r="M423"/>
      <c r="N423"/>
      <c r="O423"/>
    </row>
  </sheetData>
  <sortState ref="A4:W56">
    <sortCondition descending="1" ref="N4:N56"/>
  </sortState>
  <mergeCells count="5">
    <mergeCell ref="X5:X6"/>
    <mergeCell ref="E2:I2"/>
    <mergeCell ref="J2:J3"/>
    <mergeCell ref="A1:C1"/>
    <mergeCell ref="D1:O1"/>
  </mergeCells>
  <conditionalFormatting sqref="D13:D14">
    <cfRule type="duplicateValues" dxfId="108" priority="115"/>
  </conditionalFormatting>
  <conditionalFormatting sqref="D15">
    <cfRule type="duplicateValues" dxfId="107" priority="2"/>
  </conditionalFormatting>
  <conditionalFormatting sqref="D16">
    <cfRule type="duplicateValues" dxfId="106" priority="1"/>
  </conditionalFormatting>
  <conditionalFormatting sqref="D18">
    <cfRule type="duplicateValues" dxfId="105" priority="93"/>
  </conditionalFormatting>
  <conditionalFormatting sqref="D21">
    <cfRule type="duplicateValues" dxfId="104" priority="7"/>
  </conditionalFormatting>
  <conditionalFormatting sqref="D22">
    <cfRule type="duplicateValues" dxfId="103" priority="5"/>
  </conditionalFormatting>
  <conditionalFormatting sqref="D23">
    <cfRule type="duplicateValues" dxfId="102" priority="4"/>
  </conditionalFormatting>
  <conditionalFormatting sqref="D24">
    <cfRule type="duplicateValues" dxfId="101" priority="3"/>
  </conditionalFormatting>
  <conditionalFormatting sqref="D31">
    <cfRule type="duplicateValues" dxfId="100" priority="8"/>
  </conditionalFormatting>
  <conditionalFormatting sqref="D41:D42 D28 D33 D9 D11">
    <cfRule type="duplicateValues" dxfId="99" priority="116"/>
  </conditionalFormatting>
  <conditionalFormatting sqref="D43">
    <cfRule type="duplicateValues" dxfId="98" priority="6"/>
  </conditionalFormatting>
  <conditionalFormatting sqref="D44:D45 D4:D6 D8">
    <cfRule type="duplicateValues" dxfId="97" priority="51"/>
  </conditionalFormatting>
  <conditionalFormatting sqref="D46:D47 D10">
    <cfRule type="duplicateValues" dxfId="96" priority="22"/>
  </conditionalFormatting>
  <conditionalFormatting sqref="D48">
    <cfRule type="duplicateValues" dxfId="95" priority="19"/>
  </conditionalFormatting>
  <conditionalFormatting sqref="D49:D51 D26 D38 D35 D32 D29">
    <cfRule type="duplicateValues" dxfId="94" priority="92"/>
  </conditionalFormatting>
  <conditionalFormatting sqref="D52">
    <cfRule type="duplicateValues" dxfId="93" priority="34"/>
  </conditionalFormatting>
  <conditionalFormatting sqref="D53 D27 D39 D36">
    <cfRule type="duplicateValues" dxfId="92" priority="104"/>
  </conditionalFormatting>
  <conditionalFormatting sqref="D55:D56">
    <cfRule type="duplicateValues" dxfId="91" priority="15"/>
  </conditionalFormatting>
  <conditionalFormatting sqref="D57">
    <cfRule type="duplicateValues" dxfId="90" priority="14"/>
  </conditionalFormatting>
  <conditionalFormatting sqref="X4:X5 X16 X26:X27 X44:X56">
    <cfRule type="cellIs" dxfId="89" priority="11" operator="equal">
      <formula>"C"</formula>
    </cfRule>
    <cfRule type="cellIs" dxfId="88" priority="12" operator="equal">
      <formula>"B"</formula>
    </cfRule>
    <cfRule type="cellIs" dxfId="87" priority="13" operator="equal">
      <formula>"A"</formula>
    </cfRule>
  </conditionalFormatting>
  <pageMargins left="0.511811024" right="0.511811024" top="0.78740157499999996" bottom="0.78740157499999996" header="0.31496062000000002" footer="0.31496062000000002"/>
  <pageSetup paperSize="9" scale="6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80" zoomScaleNormal="80" workbookViewId="0">
      <pane ySplit="3" topLeftCell="A4" activePane="bottomLeft" state="frozen"/>
      <selection activeCell="E1" sqref="E1"/>
      <selection pane="bottomLeft" activeCell="P61" sqref="A1:P61"/>
    </sheetView>
  </sheetViews>
  <sheetFormatPr defaultRowHeight="14.25" outlineLevelRow="1" outlineLevelCol="1"/>
  <cols>
    <col min="1" max="1" width="6" customWidth="1"/>
    <col min="2" max="2" width="8.625" customWidth="1"/>
    <col min="3" max="3" width="7.25" customWidth="1"/>
    <col min="4" max="4" width="42.25" customWidth="1"/>
    <col min="5" max="5" width="8.625" style="84" customWidth="1"/>
    <col min="6" max="6" width="10.75" style="84" customWidth="1" outlineLevel="1"/>
    <col min="7" max="7" width="10.75" customWidth="1" outlineLevel="1"/>
    <col min="8" max="9" width="10.75" hidden="1" customWidth="1" outlineLevel="1"/>
    <col min="10" max="10" width="11.25" customWidth="1"/>
    <col min="11" max="11" width="11.25" style="84" customWidth="1"/>
    <col min="12" max="12" width="15.625" style="84" bestFit="1" customWidth="1" outlineLevel="1"/>
    <col min="13" max="13" width="12.875" customWidth="1" outlineLevel="1"/>
    <col min="14" max="15" width="12.875" hidden="1" customWidth="1" outlineLevel="1"/>
    <col min="16" max="16" width="14.75" customWidth="1"/>
    <col min="17" max="17" width="15.375" hidden="1" customWidth="1"/>
    <col min="18" max="23" width="15.5" hidden="1" customWidth="1"/>
    <col min="24" max="29" width="0" hidden="1" customWidth="1"/>
  </cols>
  <sheetData>
    <row r="1" spans="1:29" ht="75" customHeight="1" thickBot="1">
      <c r="A1" s="762"/>
      <c r="B1" s="763"/>
      <c r="C1" s="763"/>
      <c r="D1" s="818" t="s">
        <v>747</v>
      </c>
      <c r="E1" s="818"/>
      <c r="F1" s="818"/>
      <c r="G1" s="818"/>
      <c r="H1" s="818"/>
      <c r="I1" s="818"/>
      <c r="J1" s="818"/>
      <c r="K1" s="818"/>
      <c r="L1" s="818"/>
      <c r="M1" s="648"/>
      <c r="N1" s="648"/>
      <c r="O1" s="857"/>
      <c r="P1" s="858"/>
    </row>
    <row r="2" spans="1:29" ht="19.899999999999999" customHeight="1" thickBot="1">
      <c r="A2" s="821" t="s">
        <v>547</v>
      </c>
      <c r="B2" s="822" t="s">
        <v>548</v>
      </c>
      <c r="C2" s="822" t="s">
        <v>549</v>
      </c>
      <c r="D2" s="822" t="s">
        <v>550</v>
      </c>
      <c r="E2" s="822" t="s">
        <v>551</v>
      </c>
      <c r="F2" s="859" t="s">
        <v>557</v>
      </c>
      <c r="G2" s="859"/>
      <c r="H2" s="859"/>
      <c r="I2" s="859"/>
      <c r="J2" s="822" t="s">
        <v>568</v>
      </c>
      <c r="K2" s="822" t="s">
        <v>602</v>
      </c>
      <c r="L2" s="859" t="s">
        <v>558</v>
      </c>
      <c r="M2" s="859"/>
      <c r="N2" s="859"/>
      <c r="O2" s="859"/>
      <c r="P2" s="744" t="s">
        <v>540</v>
      </c>
      <c r="Q2" s="256"/>
    </row>
    <row r="3" spans="1:29" ht="19.899999999999999" customHeight="1" thickBot="1">
      <c r="A3" s="821"/>
      <c r="B3" s="822"/>
      <c r="C3" s="822"/>
      <c r="D3" s="822"/>
      <c r="E3" s="822"/>
      <c r="F3" s="279" t="s">
        <v>541</v>
      </c>
      <c r="G3" s="279" t="s">
        <v>542</v>
      </c>
      <c r="H3" s="279" t="s">
        <v>543</v>
      </c>
      <c r="I3" s="279" t="s">
        <v>544</v>
      </c>
      <c r="J3" s="822"/>
      <c r="K3" s="822"/>
      <c r="L3" s="279" t="s">
        <v>541</v>
      </c>
      <c r="M3" s="279" t="s">
        <v>542</v>
      </c>
      <c r="N3" s="279" t="s">
        <v>543</v>
      </c>
      <c r="O3" s="279" t="s">
        <v>544</v>
      </c>
      <c r="P3" s="745" t="s">
        <v>539</v>
      </c>
      <c r="Q3" s="255"/>
    </row>
    <row r="4" spans="1:29" s="74" customFormat="1" ht="15" customHeight="1" thickBot="1">
      <c r="A4" s="746">
        <v>1</v>
      </c>
      <c r="B4" s="281"/>
      <c r="C4" s="281"/>
      <c r="D4" s="282" t="s">
        <v>17</v>
      </c>
      <c r="E4" s="283"/>
      <c r="F4" s="284"/>
      <c r="G4" s="281"/>
      <c r="H4" s="281"/>
      <c r="I4" s="281"/>
      <c r="J4" s="281"/>
      <c r="K4" s="284"/>
      <c r="L4" s="285">
        <f>SUM(L6:L12)</f>
        <v>126807.04999999999</v>
      </c>
      <c r="M4" s="285">
        <f>SUM(M6:M12)</f>
        <v>11862.826363182503</v>
      </c>
      <c r="N4" s="285">
        <f>SUM(N6:N12)</f>
        <v>287800.69917789142</v>
      </c>
      <c r="O4" s="285">
        <f t="shared" ref="O4" si="0">SUM(O6:O12)</f>
        <v>39667.69</v>
      </c>
      <c r="P4" s="656">
        <f>SUM(P6:P12)</f>
        <v>138669.8763631825</v>
      </c>
      <c r="Q4" s="245"/>
    </row>
    <row r="5" spans="1:29" s="74" customFormat="1" ht="15" customHeight="1" outlineLevel="1" thickBot="1">
      <c r="A5" s="747"/>
      <c r="B5" s="286"/>
      <c r="C5" s="286"/>
      <c r="D5" s="287"/>
      <c r="E5" s="288"/>
      <c r="F5" s="289"/>
      <c r="G5" s="286"/>
      <c r="H5" s="286"/>
      <c r="I5" s="286"/>
      <c r="J5" s="290"/>
      <c r="K5" s="289"/>
      <c r="L5" s="291"/>
      <c r="M5" s="291"/>
      <c r="N5" s="292"/>
      <c r="O5" s="286"/>
      <c r="P5" s="748"/>
      <c r="Q5" s="245"/>
    </row>
    <row r="6" spans="1:29" s="74" customFormat="1" ht="26.25" outlineLevel="1" thickBot="1">
      <c r="A6" s="749" t="s">
        <v>570</v>
      </c>
      <c r="B6" s="286" t="s">
        <v>302</v>
      </c>
      <c r="C6" s="286" t="s">
        <v>19</v>
      </c>
      <c r="D6" s="293" t="s">
        <v>20</v>
      </c>
      <c r="E6" s="288" t="s">
        <v>21</v>
      </c>
      <c r="F6" s="289">
        <f>SUMIF('OBRA 01 - SINTÉTICA'!$D$7:$D$50,'PLANILHA CONSOLIDADA'!D6,'OBRA 01 - SINTÉTICA'!$F$7:$F$50)</f>
        <v>6</v>
      </c>
      <c r="G6" s="294">
        <f>SUMIF('OBRA 02 - SINTÉTICA'!$D$7:$D$50,'PLANILHA CONSOLIDADA'!D6,'OBRA 02 - SINTÉTICA'!$F$7:$F$50)</f>
        <v>6</v>
      </c>
      <c r="H6" s="294">
        <f>SUMIF('OBRA 03 - SINTÉTICA'!$D$7:$D$57,'PLANILHA CONSOLIDADA'!D6,'OBRA 03 - SINTÉTICA'!$F$7:$F$57)</f>
        <v>6</v>
      </c>
      <c r="I6" s="294">
        <f>SUMIF('OBRA 04 - SINTÉTICA'!$D$7:$D$52,'PLANILHA CONSOLIDADA'!D6,'OBRA 04 - SINTÉTICA'!$F$7:$F$52)</f>
        <v>6</v>
      </c>
      <c r="J6" s="295">
        <f>SUM(F6:G6)</f>
        <v>12</v>
      </c>
      <c r="K6" s="296">
        <f t="shared" ref="K6:K12" si="1">Q6</f>
        <v>452.46638942999994</v>
      </c>
      <c r="L6" s="291">
        <f t="shared" ref="L6:L12" si="2">TRUNC(F6*K6,2)</f>
        <v>2714.79</v>
      </c>
      <c r="M6" s="291">
        <f t="shared" ref="M6:M12" si="3">TRUNC(G6*K6,2)</f>
        <v>2714.79</v>
      </c>
      <c r="N6" s="291">
        <f t="shared" ref="N6:N11" si="4">TRUNC(H6*K6,2)</f>
        <v>2714.79</v>
      </c>
      <c r="O6" s="289">
        <f>TRUNC(I6*K6,2)</f>
        <v>2714.79</v>
      </c>
      <c r="P6" s="750">
        <f>SUM(L6:M6)</f>
        <v>5429.58</v>
      </c>
      <c r="Q6" s="246">
        <f>'OBRA 01 - SINTÉTICA'!H8</f>
        <v>452.46638942999994</v>
      </c>
      <c r="R6" s="169">
        <f>SUM(L6:L12)</f>
        <v>126807.04999999999</v>
      </c>
      <c r="S6" s="169">
        <f>SUM(M6:M12)</f>
        <v>11862.826363182503</v>
      </c>
      <c r="T6" s="169">
        <f>SUM(N6:N12)</f>
        <v>287800.69917789142</v>
      </c>
      <c r="U6" s="169">
        <f>SUM(O6:O12)</f>
        <v>39667.69</v>
      </c>
      <c r="V6" s="169" t="e">
        <f>SUM(#REF!)</f>
        <v>#REF!</v>
      </c>
      <c r="W6" s="169" t="e">
        <f>SUM(R6:V6)</f>
        <v>#REF!</v>
      </c>
      <c r="X6" s="180">
        <f>R6/R61</f>
        <v>3.3828811118994731E-2</v>
      </c>
      <c r="Y6" s="180">
        <f>S6/S61</f>
        <v>3.1096999171822191E-3</v>
      </c>
      <c r="Z6" s="180" t="e">
        <f>T6/#REF!</f>
        <v>#REF!</v>
      </c>
      <c r="AA6" s="180" t="e">
        <f>U6/#REF!</f>
        <v>#REF!</v>
      </c>
      <c r="AB6" s="180" t="e">
        <f>V6/#REF!</f>
        <v>#REF!</v>
      </c>
      <c r="AC6" s="180" t="e">
        <f>W6/#REF!</f>
        <v>#REF!</v>
      </c>
    </row>
    <row r="7" spans="1:29" s="74" customFormat="1" ht="39" outlineLevel="1" thickBot="1">
      <c r="A7" s="749" t="s">
        <v>571</v>
      </c>
      <c r="B7" s="286" t="s">
        <v>23</v>
      </c>
      <c r="C7" s="286" t="s">
        <v>24</v>
      </c>
      <c r="D7" s="297" t="s">
        <v>25</v>
      </c>
      <c r="E7" s="288" t="s">
        <v>21</v>
      </c>
      <c r="F7" s="289">
        <f>SUMIF('OBRA 01 - SINTÉTICA'!$D$7:$D$50,'PLANILHA CONSOLIDADA'!D7,'OBRA 01 - SINTÉTICA'!$F$7:$F$50)</f>
        <v>2946</v>
      </c>
      <c r="G7" s="294">
        <f>SUMIF('OBRA 02 - SINTÉTICA'!$D$7:$D$50,'PLANILHA CONSOLIDADA'!D7,'OBRA 02 - SINTÉTICA'!$F$7:$F$50)</f>
        <v>0</v>
      </c>
      <c r="H7" s="294">
        <f>SUMIF('OBRA 03 - SINTÉTICA'!$D$7:$D$57,'PLANILHA CONSOLIDADA'!D7,'OBRA 03 - SINTÉTICA'!$F$7:$F$57)</f>
        <v>113.0973</v>
      </c>
      <c r="I7" s="294">
        <f>SUMIF('OBRA 04 - SINTÉTICA'!$D$7:$D$52,'PLANILHA CONSOLIDADA'!D7,'OBRA 04 - SINTÉTICA'!$F$7:$F$52)</f>
        <v>156.11000000000001</v>
      </c>
      <c r="J7" s="295">
        <f t="shared" ref="J7:J12" si="5">SUM(F7:G7)</f>
        <v>2946</v>
      </c>
      <c r="K7" s="296">
        <f t="shared" si="1"/>
        <v>27.400256623199997</v>
      </c>
      <c r="L7" s="291">
        <f t="shared" si="2"/>
        <v>80721.149999999994</v>
      </c>
      <c r="M7" s="291">
        <f t="shared" si="3"/>
        <v>0</v>
      </c>
      <c r="N7" s="291">
        <f t="shared" si="4"/>
        <v>3098.89</v>
      </c>
      <c r="O7" s="289">
        <f>TRUNC(I7*K7,2)</f>
        <v>4277.45</v>
      </c>
      <c r="P7" s="750">
        <f t="shared" ref="P7:P12" si="6">SUM(L7:M7)</f>
        <v>80721.149999999994</v>
      </c>
      <c r="Q7" s="246">
        <f>'OBRA 01 - SINTÉTICA'!H9</f>
        <v>27.400256623199997</v>
      </c>
      <c r="X7" s="179">
        <f>X6</f>
        <v>3.3828811118994731E-2</v>
      </c>
      <c r="Y7" s="179">
        <f t="shared" ref="Y7:AC7" si="7">Y6</f>
        <v>3.1096999171822191E-3</v>
      </c>
      <c r="Z7" s="179" t="e">
        <f t="shared" si="7"/>
        <v>#REF!</v>
      </c>
      <c r="AA7" s="179" t="e">
        <f t="shared" si="7"/>
        <v>#REF!</v>
      </c>
      <c r="AB7" s="179" t="e">
        <f t="shared" si="7"/>
        <v>#REF!</v>
      </c>
      <c r="AC7" s="179" t="e">
        <f t="shared" si="7"/>
        <v>#REF!</v>
      </c>
    </row>
    <row r="8" spans="1:29" s="74" customFormat="1" ht="15" customHeight="1" outlineLevel="1" thickBot="1">
      <c r="A8" s="751" t="s">
        <v>332</v>
      </c>
      <c r="B8" s="299" t="s">
        <v>361</v>
      </c>
      <c r="C8" s="300" t="s">
        <v>27</v>
      </c>
      <c r="D8" s="301" t="s">
        <v>636</v>
      </c>
      <c r="E8" s="288" t="s">
        <v>21</v>
      </c>
      <c r="F8" s="289">
        <f>SUMIF('OBRA 01 - SINTÉTICA'!$D$7:$D$50,'PLANILHA CONSOLIDADA'!D8,'OBRA 01 - SINTÉTICA'!$F$7:$F$50)</f>
        <v>380.8</v>
      </c>
      <c r="G8" s="294">
        <f>SUMIF('OBRA 02 - SINTÉTICA'!$D$7:$D$50,'PLANILHA CONSOLIDADA'!D8,'OBRA 02 - SINTÉTICA'!$F$7:$F$50)</f>
        <v>0</v>
      </c>
      <c r="H8" s="294">
        <f>SUMIF('OBRA 03 - SINTÉTICA'!$D$7:$D$57,'PLANILHA CONSOLIDADA'!D8,'OBRA 03 - SINTÉTICA'!$F$7:$F$57)</f>
        <v>880.57569999999998</v>
      </c>
      <c r="I8" s="294">
        <f>SUMIF('OBRA 04 - SINTÉTICA'!$D$7:$D$52,'PLANILHA CONSOLIDADA'!D8,'OBRA 04 - SINTÉTICA'!$F$7:$F$52)</f>
        <v>0</v>
      </c>
      <c r="J8" s="295">
        <f t="shared" si="5"/>
        <v>380.8</v>
      </c>
      <c r="K8" s="296">
        <f t="shared" si="1"/>
        <v>4.7337572839272317</v>
      </c>
      <c r="L8" s="291">
        <f t="shared" si="2"/>
        <v>1802.61</v>
      </c>
      <c r="M8" s="291">
        <f t="shared" si="3"/>
        <v>0</v>
      </c>
      <c r="N8" s="291">
        <f t="shared" si="4"/>
        <v>4168.43</v>
      </c>
      <c r="O8" s="289">
        <f>TRUNC(I8*K8,2)</f>
        <v>0</v>
      </c>
      <c r="P8" s="750">
        <f t="shared" si="6"/>
        <v>1802.61</v>
      </c>
      <c r="Q8" s="246">
        <f>'OBRA 01 - SINTÉTICA'!H10</f>
        <v>4.7337572839272317</v>
      </c>
    </row>
    <row r="9" spans="1:29" s="74" customFormat="1" ht="26.25" outlineLevel="1" thickBot="1">
      <c r="A9" s="749" t="s">
        <v>573</v>
      </c>
      <c r="B9" s="286" t="s">
        <v>29</v>
      </c>
      <c r="C9" s="286" t="s">
        <v>30</v>
      </c>
      <c r="D9" s="297" t="s">
        <v>560</v>
      </c>
      <c r="E9" s="288" t="s">
        <v>31</v>
      </c>
      <c r="F9" s="289">
        <f>SUMIF('OBRA 01 - SINTÉTICA'!$D$7:$D$50,'PLANILHA CONSOLIDADA'!D9,'OBRA 01 - SINTÉTICA'!$F$7:$F$50)</f>
        <v>732</v>
      </c>
      <c r="G9" s="294">
        <f>SUMIF('OBRA 02 - SINTÉTICA'!$D$7:$D$50,'PLANILHA CONSOLIDADA'!D9,'OBRA 02 - SINTÉTICA'!$F$7:$F$50)</f>
        <v>533.35</v>
      </c>
      <c r="H9" s="294">
        <f>SUMIF('OBRA 03 - SINTÉTICA'!$D$7:$D$57,'PLANILHA CONSOLIDADA'!D9,'OBRA 03 - SINTÉTICA'!$F$7:$F$57)</f>
        <v>1391.37</v>
      </c>
      <c r="I9" s="294">
        <f>SUMIF('OBRA 04 - SINTÉTICA'!$D$7:$D$52,'PLANILHA CONSOLIDADA'!D9,'OBRA 04 - SINTÉTICA'!$F$7:$F$52)</f>
        <v>66.36</v>
      </c>
      <c r="J9" s="295">
        <f t="shared" si="5"/>
        <v>1265.3499999999999</v>
      </c>
      <c r="K9" s="296">
        <f t="shared" si="1"/>
        <v>11.871390950000002</v>
      </c>
      <c r="L9" s="291">
        <f t="shared" si="2"/>
        <v>8689.85</v>
      </c>
      <c r="M9" s="291">
        <f>K9*G9</f>
        <v>6331.6063631825018</v>
      </c>
      <c r="N9" s="291">
        <f>TRUNC(H9*K9,2)</f>
        <v>16517.490000000002</v>
      </c>
      <c r="O9" s="289">
        <f>TRUNC(I9*K9,2)</f>
        <v>787.78</v>
      </c>
      <c r="P9" s="750">
        <f t="shared" si="6"/>
        <v>15021.456363182502</v>
      </c>
      <c r="Q9" s="246">
        <f>'OBRA 01 - SINTÉTICA'!H11</f>
        <v>11.871390950000002</v>
      </c>
      <c r="R9" s="169">
        <v>11.87139095</v>
      </c>
    </row>
    <row r="10" spans="1:29" s="74" customFormat="1" ht="26.25" outlineLevel="1" thickBot="1">
      <c r="A10" s="749" t="s">
        <v>574</v>
      </c>
      <c r="B10" s="286" t="s">
        <v>362</v>
      </c>
      <c r="C10" s="286" t="s">
        <v>27</v>
      </c>
      <c r="D10" s="297" t="s">
        <v>561</v>
      </c>
      <c r="E10" s="288" t="s">
        <v>28</v>
      </c>
      <c r="F10" s="289">
        <f>SUMIF('OBRA 01 - SINTÉTICA'!$D$7:$D$50,'PLANILHA CONSOLIDADA'!D10,'OBRA 01 - SINTÉTICA'!$F$7:$F$50)</f>
        <v>4.5</v>
      </c>
      <c r="G10" s="294">
        <f>SUMIF('OBRA 02 - SINTÉTICA'!$D$7:$D$50,'PLANILHA CONSOLIDADA'!D10,'OBRA 02 - SINTÉTICA'!$F$7:$F$50)</f>
        <v>0</v>
      </c>
      <c r="H10" s="294">
        <f>SUMIF('OBRA 03 - SINTÉTICA'!$D$7:$D$57,'PLANILHA CONSOLIDADA'!D10,'OBRA 03 - SINTÉTICA'!$F$7:$F$57)</f>
        <v>428.72299999999996</v>
      </c>
      <c r="I10" s="294">
        <f>SUMIF('OBRA 04 - SINTÉTICA'!$D$7:$D$52,'PLANILHA CONSOLIDADA'!D10,'OBRA 04 - SINTÉTICA'!$F$7:$F$52)</f>
        <v>51.830100000000002</v>
      </c>
      <c r="J10" s="295">
        <f t="shared" si="5"/>
        <v>4.5</v>
      </c>
      <c r="K10" s="296">
        <f t="shared" si="1"/>
        <v>473.45342400776383</v>
      </c>
      <c r="L10" s="291">
        <f t="shared" si="2"/>
        <v>2130.54</v>
      </c>
      <c r="M10" s="291">
        <f t="shared" si="3"/>
        <v>0</v>
      </c>
      <c r="N10" s="291">
        <f t="shared" si="4"/>
        <v>202980.37</v>
      </c>
      <c r="O10" s="289">
        <f>TRUNC(I10*K10,2)</f>
        <v>24539.13</v>
      </c>
      <c r="P10" s="750">
        <f t="shared" si="6"/>
        <v>2130.54</v>
      </c>
      <c r="Q10" s="246">
        <f>'OBRA 01 - SINTÉTICA'!H12</f>
        <v>473.45342400776383</v>
      </c>
    </row>
    <row r="11" spans="1:29" s="74" customFormat="1" ht="77.25" outlineLevel="1" thickBot="1">
      <c r="A11" s="749" t="s">
        <v>575</v>
      </c>
      <c r="B11" s="286">
        <v>100977</v>
      </c>
      <c r="C11" s="286" t="s">
        <v>24</v>
      </c>
      <c r="D11" s="297" t="s">
        <v>669</v>
      </c>
      <c r="E11" s="288" t="s">
        <v>28</v>
      </c>
      <c r="F11" s="289">
        <f>SUMIF('OBRA 01 - SINTÉTICA'!$D$7:$D$50,'PLANILHA CONSOLIDADA'!D11,'OBRA 01 - SINTÉTICA'!$F$7:$F$50)</f>
        <v>262.02500000000003</v>
      </c>
      <c r="G11" s="294">
        <f>SUMIF('OBRA 02 - SINTÉTICA'!$D$7:$D$50,'PLANILHA CONSOLIDADA'!D11,'OBRA 02 - SINTÉTICA'!$F$7:$F$50)</f>
        <v>24.00075</v>
      </c>
      <c r="H11" s="294">
        <f>SUMIF('OBRA 03 - SINTÉTICA'!$D$7:$D$57,'PLANILHA CONSOLIDADA'!D11,'OBRA 03 - SINTÉTICA'!$F$7:$F$57)</f>
        <v>496.98951499999993</v>
      </c>
      <c r="I11" s="294">
        <f>SUMIF('OBRA 04 - SINTÉTICA'!$D$7:$D$52,'PLANILHA CONSOLIDADA'!D11,'OBRA 04 - SINTÉTICA'!$F$7:$F$52)</f>
        <v>62.6218</v>
      </c>
      <c r="J11" s="295">
        <f t="shared" si="5"/>
        <v>286.02575000000002</v>
      </c>
      <c r="K11" s="296">
        <f t="shared" si="1"/>
        <v>9.444493229399999</v>
      </c>
      <c r="L11" s="291">
        <f t="shared" si="2"/>
        <v>2474.69</v>
      </c>
      <c r="M11" s="291">
        <f t="shared" si="3"/>
        <v>226.67</v>
      </c>
      <c r="N11" s="291">
        <f t="shared" si="4"/>
        <v>4693.8100000000004</v>
      </c>
      <c r="O11" s="289">
        <f t="shared" ref="O11:O12" si="8">TRUNC(I11*K11,2)</f>
        <v>591.42999999999995</v>
      </c>
      <c r="P11" s="750">
        <f t="shared" si="6"/>
        <v>2701.36</v>
      </c>
      <c r="Q11" s="246">
        <f>'OBRA 01 - SINTÉTICA'!H13</f>
        <v>9.444493229399999</v>
      </c>
    </row>
    <row r="12" spans="1:29" s="74" customFormat="1" ht="39" outlineLevel="1" thickBot="1">
      <c r="A12" s="749" t="s">
        <v>576</v>
      </c>
      <c r="B12" s="286" t="s">
        <v>34</v>
      </c>
      <c r="C12" s="286" t="s">
        <v>24</v>
      </c>
      <c r="D12" s="297" t="s">
        <v>656</v>
      </c>
      <c r="E12" s="288" t="s">
        <v>36</v>
      </c>
      <c r="F12" s="289">
        <f>SUMIF('OBRA 01 - SINTÉTICA'!$D$7:$D$50,'PLANILHA CONSOLIDADA'!D12,'OBRA 01 - SINTÉTICA'!$F$7:$F$50)</f>
        <v>7860.7500000000009</v>
      </c>
      <c r="G12" s="294">
        <f>SUMIF('OBRA 02 - SINTÉTICA'!$D$7:$D$50,'PLANILHA CONSOLIDADA'!D12,'OBRA 02 - SINTÉTICA'!$F$7:$F$50)</f>
        <v>720.02250000000004</v>
      </c>
      <c r="H12" s="294">
        <f>'OBRA 03 - MEMÓRIA'!O23</f>
        <v>14909.685449999997</v>
      </c>
      <c r="I12" s="294">
        <f>SUMIF('OBRA 04 - SINTÉTICA'!$D$7:$D$52,'PLANILHA CONSOLIDADA'!D12,'OBRA 04 - SINTÉTICA'!$F$7:$F$52)</f>
        <v>1878.654</v>
      </c>
      <c r="J12" s="295">
        <f t="shared" si="5"/>
        <v>8580.7725000000009</v>
      </c>
      <c r="K12" s="302">
        <f t="shared" si="1"/>
        <v>3.5967840741999999</v>
      </c>
      <c r="L12" s="291">
        <f t="shared" si="2"/>
        <v>28273.42</v>
      </c>
      <c r="M12" s="291">
        <f t="shared" si="3"/>
        <v>2589.7600000000002</v>
      </c>
      <c r="N12" s="291">
        <f>K12*H12</f>
        <v>53626.919177891446</v>
      </c>
      <c r="O12" s="289">
        <f t="shared" si="8"/>
        <v>6757.11</v>
      </c>
      <c r="P12" s="750">
        <f t="shared" si="6"/>
        <v>30863.18</v>
      </c>
      <c r="Q12" s="246">
        <f>'OBRA 01 - SINTÉTICA'!H14</f>
        <v>3.5967840741999999</v>
      </c>
      <c r="R12" s="237">
        <f>J12+J18</f>
        <v>95015.478000000017</v>
      </c>
      <c r="S12" s="169">
        <f>R12*K12</f>
        <v>341750.15807290049</v>
      </c>
      <c r="T12" s="238">
        <f>L12+L18</f>
        <v>133587.25</v>
      </c>
      <c r="U12" s="238">
        <f>M12+M18</f>
        <v>208162.89</v>
      </c>
      <c r="V12" s="238">
        <f>N12+N18</f>
        <v>247541.92917789146</v>
      </c>
      <c r="W12" s="238">
        <f>O12+O18</f>
        <v>230293.28</v>
      </c>
    </row>
    <row r="13" spans="1:29" s="74" customFormat="1" ht="15" customHeight="1" thickBot="1">
      <c r="A13" s="749"/>
      <c r="B13" s="286"/>
      <c r="C13" s="286"/>
      <c r="D13" s="297"/>
      <c r="E13" s="288"/>
      <c r="F13" s="289"/>
      <c r="G13" s="286"/>
      <c r="H13" s="286"/>
      <c r="I13" s="286"/>
      <c r="J13" s="295"/>
      <c r="K13" s="289"/>
      <c r="L13" s="289"/>
      <c r="M13" s="289"/>
      <c r="N13" s="289"/>
      <c r="O13" s="289"/>
      <c r="P13" s="750"/>
      <c r="Q13" s="246"/>
      <c r="R13" s="169">
        <f>J28+J36+J37+J38+J53</f>
        <v>139800.33360000001</v>
      </c>
      <c r="S13" s="169">
        <f>R13*K28</f>
        <v>421299.88991416397</v>
      </c>
    </row>
    <row r="14" spans="1:29" s="74" customFormat="1" ht="15" customHeight="1" thickBot="1">
      <c r="A14" s="746">
        <v>2</v>
      </c>
      <c r="B14" s="281"/>
      <c r="C14" s="281"/>
      <c r="D14" s="282" t="s">
        <v>38</v>
      </c>
      <c r="E14" s="283"/>
      <c r="F14" s="284"/>
      <c r="G14" s="281"/>
      <c r="H14" s="281"/>
      <c r="I14" s="281"/>
      <c r="J14" s="281"/>
      <c r="K14" s="284"/>
      <c r="L14" s="285">
        <f>SUM(L16:L18)</f>
        <v>124420.61</v>
      </c>
      <c r="M14" s="285">
        <f>SUM(M16:M18)</f>
        <v>242869.67</v>
      </c>
      <c r="N14" s="285">
        <f>SUM(N16:N18)</f>
        <v>229096.46000000002</v>
      </c>
      <c r="O14" s="285">
        <f>SUM(O16:O18)</f>
        <v>274230.58</v>
      </c>
      <c r="P14" s="656">
        <f>SUM(P16:P18)</f>
        <v>367290.28</v>
      </c>
      <c r="Q14" s="257"/>
      <c r="R14" s="169">
        <f>J11+J27+J52</f>
        <v>4017.81502</v>
      </c>
      <c r="S14" s="169">
        <f>R14*K11</f>
        <v>37946.226753371622</v>
      </c>
    </row>
    <row r="15" spans="1:29" s="74" customFormat="1" ht="15" customHeight="1" outlineLevel="1" thickBot="1">
      <c r="A15" s="747"/>
      <c r="B15" s="286"/>
      <c r="C15" s="286"/>
      <c r="D15" s="287"/>
      <c r="E15" s="288"/>
      <c r="F15" s="289"/>
      <c r="G15" s="286"/>
      <c r="H15" s="286"/>
      <c r="I15" s="286"/>
      <c r="J15" s="290"/>
      <c r="K15" s="289"/>
      <c r="L15" s="291"/>
      <c r="M15" s="289"/>
      <c r="N15" s="286"/>
      <c r="O15" s="286"/>
      <c r="P15" s="748"/>
      <c r="Q15" s="245"/>
    </row>
    <row r="16" spans="1:29" s="74" customFormat="1" ht="51.75" outlineLevel="1" thickBot="1">
      <c r="A16" s="749" t="s">
        <v>530</v>
      </c>
      <c r="B16" s="286">
        <v>101124</v>
      </c>
      <c r="C16" s="286" t="s">
        <v>24</v>
      </c>
      <c r="D16" s="297" t="s">
        <v>397</v>
      </c>
      <c r="E16" s="288" t="s">
        <v>28</v>
      </c>
      <c r="F16" s="289">
        <f>SUMIF('OBRA 01 - SINTÉTICA'!$D$7:$D$50,'PLANILHA CONSOLIDADA'!D16,'OBRA 01 - SINTÉTICA'!$F$7:$F$50)</f>
        <v>780.80000000000007</v>
      </c>
      <c r="G16" s="294">
        <f>SUMIF('OBRA 02 - SINTÉTICA'!$D$7:$D$50,'PLANILHA CONSOLIDADA'!D16,'OBRA 02 - SINTÉTICA'!$F$7:$F$50)</f>
        <v>1524.1254800000002</v>
      </c>
      <c r="H16" s="294">
        <f>SUMIF('OBRA 03 - SINTÉTICA'!$D$7:$D$57,'PLANILHA CONSOLIDADA'!D16,'OBRA 03 - SINTÉTICA'!$F$7:$F$57)</f>
        <v>1437.6918400000002</v>
      </c>
      <c r="I16" s="294">
        <f>SUMIF('OBRA 04 - SINTÉTICA'!$D$7:$D$52,'PLANILHA CONSOLIDADA'!D16,'OBRA 04 - SINTÉTICA'!$F$7:$F$52)</f>
        <v>2071.63</v>
      </c>
      <c r="J16" s="295">
        <f>SUM(F16:G16)</f>
        <v>2304.9254800000003</v>
      </c>
      <c r="K16" s="296">
        <f>Q16</f>
        <v>18.541465052499998</v>
      </c>
      <c r="L16" s="291">
        <f>TRUNC(F16*K16,2)</f>
        <v>14477.17</v>
      </c>
      <c r="M16" s="289">
        <f>TRUNC(G16*K16,2)</f>
        <v>28259.51</v>
      </c>
      <c r="N16" s="289">
        <f>TRUNC(H16*K16,2)</f>
        <v>26656.91</v>
      </c>
      <c r="O16" s="289">
        <f>TRUNC(I16*K16,2)</f>
        <v>38411.050000000003</v>
      </c>
      <c r="P16" s="750">
        <f>SUM(L16:M16)</f>
        <v>42736.68</v>
      </c>
      <c r="Q16" s="246">
        <f>'OBRA 01 - SINTÉTICA'!H16</f>
        <v>18.541465052499998</v>
      </c>
      <c r="R16" s="169">
        <f>SUM(L16:L17)</f>
        <v>19106.78</v>
      </c>
      <c r="S16" s="169">
        <f>SUM(M16:M17)</f>
        <v>37296.54</v>
      </c>
      <c r="T16" s="169">
        <f>SUM(N16:N17)</f>
        <v>35181.449999999997</v>
      </c>
      <c r="U16" s="169">
        <f>SUM(O16:O17)</f>
        <v>50694.41</v>
      </c>
      <c r="V16" s="169" t="e">
        <f>SUM(#REF!)</f>
        <v>#REF!</v>
      </c>
      <c r="W16" s="169" t="e">
        <f>SUM(R16:V16)</f>
        <v>#REF!</v>
      </c>
      <c r="X16" s="180">
        <f>R16/R61</f>
        <v>5.0971901933858262E-3</v>
      </c>
      <c r="Y16" s="180">
        <f>S16/S61</f>
        <v>9.7768477594127479E-3</v>
      </c>
      <c r="Z16" s="180" t="e">
        <f>T16/#REF!</f>
        <v>#REF!</v>
      </c>
      <c r="AA16" s="180" t="e">
        <f>U16/#REF!</f>
        <v>#REF!</v>
      </c>
      <c r="AB16" s="180" t="e">
        <f>V16/#REF!</f>
        <v>#REF!</v>
      </c>
      <c r="AC16" s="180" t="e">
        <f>W16/#REF!</f>
        <v>#REF!</v>
      </c>
    </row>
    <row r="17" spans="1:29" s="74" customFormat="1" ht="30" customHeight="1" outlineLevel="1" thickBot="1">
      <c r="A17" s="749" t="s">
        <v>531</v>
      </c>
      <c r="B17" s="286" t="s">
        <v>41</v>
      </c>
      <c r="C17" s="286" t="s">
        <v>27</v>
      </c>
      <c r="D17" s="297" t="s">
        <v>562</v>
      </c>
      <c r="E17" s="288" t="s">
        <v>28</v>
      </c>
      <c r="F17" s="289">
        <f>SUMIF('OBRA 01 - SINTÉTICA'!$D$7:$D$50,'PLANILHA CONSOLIDADA'!D17,'OBRA 01 - SINTÉTICA'!$F$7:$F$50)</f>
        <v>780.80000000000007</v>
      </c>
      <c r="G17" s="294">
        <f>SUMIF('OBRA 02 - SINTÉTICA'!$D$7:$D$50,'PLANILHA CONSOLIDADA'!D17,'OBRA 02 - SINTÉTICA'!$F$7:$F$50)</f>
        <v>1524.1254800000002</v>
      </c>
      <c r="H17" s="294">
        <f>SUMIF('OBRA 03 - SINTÉTICA'!$D$7:$D$57,'PLANILHA CONSOLIDADA'!D17,'OBRA 03 - SINTÉTICA'!$F$7:$F$57)</f>
        <v>1437.6918400000002</v>
      </c>
      <c r="I17" s="294">
        <f>SUMIF('OBRA 04 - SINTÉTICA'!$D$7:$D$52,'PLANILHA CONSOLIDADA'!D17,'OBRA 04 - SINTÉTICA'!$F$7:$F$52)</f>
        <v>2071.63</v>
      </c>
      <c r="J17" s="295">
        <f t="shared" ref="J17:J18" si="9">SUM(F17:G17)</f>
        <v>2304.9254800000003</v>
      </c>
      <c r="K17" s="296">
        <f>Q17</f>
        <v>5.9293249085570734</v>
      </c>
      <c r="L17" s="291">
        <f>TRUNC(F17*K17,2)</f>
        <v>4629.6099999999997</v>
      </c>
      <c r="M17" s="289">
        <f>TRUNC(G17*K17,2)</f>
        <v>9037.0300000000007</v>
      </c>
      <c r="N17" s="291">
        <f>TRUNC(H17*K17,2)</f>
        <v>8524.5400000000009</v>
      </c>
      <c r="O17" s="289">
        <f>TRUNC(I17*K17,2)</f>
        <v>12283.36</v>
      </c>
      <c r="P17" s="750">
        <f t="shared" ref="P17:P18" si="10">SUM(L17:M17)</f>
        <v>13666.64</v>
      </c>
      <c r="Q17" s="246">
        <f>'OBRA 01 - SINTÉTICA'!H17</f>
        <v>5.9293249085570734</v>
      </c>
      <c r="X17" s="179">
        <f>X16+X7</f>
        <v>3.8926001312380554E-2</v>
      </c>
      <c r="Y17" s="179">
        <f t="shared" ref="Y17:AC17" si="11">Y16+Y7</f>
        <v>1.2886547676594967E-2</v>
      </c>
      <c r="Z17" s="179" t="e">
        <f t="shared" si="11"/>
        <v>#REF!</v>
      </c>
      <c r="AA17" s="179" t="e">
        <f t="shared" si="11"/>
        <v>#REF!</v>
      </c>
      <c r="AB17" s="179" t="e">
        <f t="shared" si="11"/>
        <v>#REF!</v>
      </c>
      <c r="AC17" s="179" t="e">
        <f t="shared" si="11"/>
        <v>#REF!</v>
      </c>
    </row>
    <row r="18" spans="1:29" s="74" customFormat="1" ht="42" customHeight="1" outlineLevel="1" thickBot="1">
      <c r="A18" s="749" t="s">
        <v>657</v>
      </c>
      <c r="B18" s="286" t="s">
        <v>34</v>
      </c>
      <c r="C18" s="286" t="s">
        <v>24</v>
      </c>
      <c r="D18" s="301" t="s">
        <v>654</v>
      </c>
      <c r="E18" s="288" t="s">
        <v>36</v>
      </c>
      <c r="F18" s="291">
        <f>SUMIF('OBRA 01 - SINTÉTICA'!$D$7:$D$50,'PLANILHA CONSOLIDADA'!D18,'OBRA 01 - SINTÉTICA'!$F$7:$F$50)</f>
        <v>29280.000000000004</v>
      </c>
      <c r="G18" s="294">
        <f>SUMIF('OBRA 02 - SINTÉTICA'!$D$7:$D$50,'PLANILHA CONSOLIDADA'!D18,'OBRA 02 - SINTÉTICA'!$F$7:$F$50)</f>
        <v>57154.705500000011</v>
      </c>
      <c r="H18" s="294">
        <f>SUMIF('OBRA 03 - SINTÉTICA'!$D$7:$D$57,'PLANILHA CONSOLIDADA'!D18,'OBRA 03 - SINTÉTICA'!$F$7:$F$57)</f>
        <v>53913.44400000001</v>
      </c>
      <c r="I18" s="294">
        <f>SUMIF('OBRA 04 - SINTÉTICA'!$D$7:$D$52,'PLANILHA CONSOLIDADA'!D18,'OBRA 04 - SINTÉTICA'!$F$7:$F$52)</f>
        <v>62148.9</v>
      </c>
      <c r="J18" s="295">
        <f t="shared" si="9"/>
        <v>86434.705500000011</v>
      </c>
      <c r="K18" s="296">
        <f>Q18</f>
        <v>3.5967840741999999</v>
      </c>
      <c r="L18" s="291">
        <f>TRUNC(F18*K18,2)</f>
        <v>105313.83</v>
      </c>
      <c r="M18" s="289">
        <f>TRUNC(G18*K18,2)</f>
        <v>205573.13</v>
      </c>
      <c r="N18" s="291">
        <f>TRUNC(H18*K18,2)</f>
        <v>193915.01</v>
      </c>
      <c r="O18" s="291">
        <f>TRUNC(I18*K18,2)</f>
        <v>223536.17</v>
      </c>
      <c r="P18" s="750">
        <f t="shared" si="10"/>
        <v>310886.96000000002</v>
      </c>
      <c r="Q18" s="246">
        <f>'OBRA 01 - SINTÉTICA'!H18</f>
        <v>3.5967840741999999</v>
      </c>
      <c r="R18" s="169">
        <v>3.5967840741999999</v>
      </c>
      <c r="X18" s="179"/>
      <c r="Y18" s="179"/>
      <c r="Z18" s="179"/>
      <c r="AA18" s="179"/>
      <c r="AB18" s="179"/>
      <c r="AC18" s="179"/>
    </row>
    <row r="19" spans="1:29" s="74" customFormat="1" ht="15" customHeight="1" thickBot="1">
      <c r="A19" s="749"/>
      <c r="B19" s="286"/>
      <c r="C19" s="286"/>
      <c r="D19" s="297"/>
      <c r="E19" s="288"/>
      <c r="F19" s="289"/>
      <c r="G19" s="286"/>
      <c r="H19" s="286"/>
      <c r="I19" s="286"/>
      <c r="J19" s="295"/>
      <c r="K19" s="289"/>
      <c r="L19" s="289"/>
      <c r="M19" s="289"/>
      <c r="N19" s="289"/>
      <c r="O19" s="289"/>
      <c r="P19" s="750"/>
      <c r="Q19" s="246"/>
    </row>
    <row r="20" spans="1:29" s="74" customFormat="1" ht="15" customHeight="1" thickBot="1">
      <c r="A20" s="746">
        <v>3</v>
      </c>
      <c r="B20" s="281"/>
      <c r="C20" s="281"/>
      <c r="D20" s="282" t="s">
        <v>45</v>
      </c>
      <c r="E20" s="283"/>
      <c r="F20" s="284"/>
      <c r="G20" s="281"/>
      <c r="H20" s="281"/>
      <c r="I20" s="281"/>
      <c r="J20" s="281"/>
      <c r="K20" s="284"/>
      <c r="L20" s="285">
        <f>SUM(L22:L43)</f>
        <v>735374.60999999987</v>
      </c>
      <c r="M20" s="285">
        <f>SUM(M22:M43)</f>
        <v>1231542.3899999999</v>
      </c>
      <c r="N20" s="285">
        <f>SUM(N22:N44)</f>
        <v>1038449.1799999999</v>
      </c>
      <c r="O20" s="285">
        <f>SUM(O22:O43)</f>
        <v>1441350.05</v>
      </c>
      <c r="P20" s="656">
        <f>SUM(P22:P44)</f>
        <v>1966917.0000000002</v>
      </c>
      <c r="Q20" s="245"/>
      <c r="T20" s="169"/>
    </row>
    <row r="21" spans="1:29" s="74" customFormat="1" ht="15" customHeight="1" outlineLevel="1" thickBot="1">
      <c r="A21" s="752"/>
      <c r="B21" s="304"/>
      <c r="C21" s="304"/>
      <c r="D21" s="305" t="s">
        <v>47</v>
      </c>
      <c r="E21" s="303"/>
      <c r="F21" s="306"/>
      <c r="G21" s="304"/>
      <c r="H21" s="304"/>
      <c r="I21" s="304"/>
      <c r="J21" s="281"/>
      <c r="K21" s="306"/>
      <c r="L21" s="306"/>
      <c r="M21" s="306"/>
      <c r="N21" s="307"/>
      <c r="O21" s="307"/>
      <c r="P21" s="753"/>
      <c r="Q21" s="247"/>
      <c r="R21" s="169">
        <f>SUM(O22:O28)</f>
        <v>581422.88</v>
      </c>
      <c r="S21" s="169">
        <f>SUM(O30:O44)</f>
        <v>859927.17000000016</v>
      </c>
      <c r="T21" s="169">
        <f>SUM(R21:S21)</f>
        <v>1441350.0500000003</v>
      </c>
    </row>
    <row r="22" spans="1:29" s="74" customFormat="1" ht="39" outlineLevel="1" thickBot="1">
      <c r="A22" s="749" t="s">
        <v>577</v>
      </c>
      <c r="B22" s="286" t="s">
        <v>49</v>
      </c>
      <c r="C22" s="286" t="s">
        <v>24</v>
      </c>
      <c r="D22" s="297" t="s">
        <v>50</v>
      </c>
      <c r="E22" s="288" t="s">
        <v>21</v>
      </c>
      <c r="F22" s="289">
        <f>'OBRA 01 - MEMÓRIA'!O34</f>
        <v>1952</v>
      </c>
      <c r="G22" s="294">
        <f>SUMIF('OBRA 02 - SINTÉTICA'!$D$7:$D$50,'PLANILHA CONSOLIDADA'!D22,'OBRA 02 - SINTÉTICA'!$F$7:$F$50)</f>
        <v>3810.3137000000002</v>
      </c>
      <c r="H22" s="294">
        <f>SUMIF('OBRA 03 - SINTÉTICA'!$D$7:$D$57,'PLANILHA CONSOLIDADA'!D22,'OBRA 03 - SINTÉTICA'!$F$7:$F$57)</f>
        <v>3594.2296000000001</v>
      </c>
      <c r="I22" s="294">
        <f>SUMIF('OBRA 04 - SINTÉTICA'!$D$7:$D$52,'PLANILHA CONSOLIDADA'!D22,'OBRA 04 - SINTÉTICA'!$F$7:$F$52)</f>
        <v>4143.26</v>
      </c>
      <c r="J22" s="295">
        <f>SUM(F22:G22)</f>
        <v>5762.3137000000006</v>
      </c>
      <c r="K22" s="296">
        <f t="shared" ref="K22:K28" si="12">Q22</f>
        <v>2.3952638115629998</v>
      </c>
      <c r="L22" s="289">
        <f t="shared" ref="L22:L28" si="13">TRUNC(F22*K22,2)</f>
        <v>4675.55</v>
      </c>
      <c r="M22" s="289">
        <f t="shared" ref="M22:M28" si="14">TRUNC(G22*K22,2)</f>
        <v>9126.7000000000007</v>
      </c>
      <c r="N22" s="289">
        <f t="shared" ref="N22:N28" si="15">TRUNC(H22*K22,2)</f>
        <v>8609.1200000000008</v>
      </c>
      <c r="O22" s="289">
        <f>TRUNC(I22*K22,2)</f>
        <v>9924.2000000000007</v>
      </c>
      <c r="P22" s="750">
        <f>SUM(L22:M22)</f>
        <v>13802.25</v>
      </c>
      <c r="Q22" s="246">
        <f>'OBRA 01 - SINTÉTICA'!H21</f>
        <v>2.3952638115629998</v>
      </c>
      <c r="R22" s="169">
        <f>SUM(L22:L43)</f>
        <v>735374.60999999987</v>
      </c>
      <c r="S22" s="169">
        <f>SUM(M22:M43)</f>
        <v>1231542.3899999999</v>
      </c>
      <c r="T22" s="169">
        <f>SUM(N22:N43)</f>
        <v>1036617.6199999999</v>
      </c>
      <c r="U22" s="169">
        <f>SUM(O22:O43)</f>
        <v>1441350.05</v>
      </c>
      <c r="V22" s="169" t="e">
        <f>SUM(#REF!)</f>
        <v>#REF!</v>
      </c>
      <c r="W22" s="169" t="e">
        <f>SUM(R22:V22)</f>
        <v>#REF!</v>
      </c>
      <c r="X22" s="232">
        <f>R22/R61</f>
        <v>0.19617875176020902</v>
      </c>
      <c r="Y22" s="232">
        <f>S22/S61</f>
        <v>0.32283430195651713</v>
      </c>
      <c r="Z22" s="232" t="e">
        <f>T22/#REF!</f>
        <v>#REF!</v>
      </c>
      <c r="AA22" s="232" t="e">
        <f>U22/#REF!</f>
        <v>#REF!</v>
      </c>
      <c r="AB22" s="232" t="e">
        <f>V22/#REF!</f>
        <v>#REF!</v>
      </c>
      <c r="AC22" s="232" t="e">
        <f>W22/#REF!</f>
        <v>#REF!</v>
      </c>
    </row>
    <row r="23" spans="1:29" s="74" customFormat="1" ht="64.5" outlineLevel="1" thickBot="1">
      <c r="A23" s="749" t="s">
        <v>578</v>
      </c>
      <c r="B23" s="286" t="s">
        <v>52</v>
      </c>
      <c r="C23" s="286" t="s">
        <v>24</v>
      </c>
      <c r="D23" s="297" t="s">
        <v>53</v>
      </c>
      <c r="E23" s="288" t="s">
        <v>28</v>
      </c>
      <c r="F23" s="289">
        <f>SUMIF('OBRA 01 - SINTÉTICA'!$D$7:$D$50,'PLANILHA CONSOLIDADA'!D23,'OBRA 01 - SINTÉTICA'!$F$7:$F$50)</f>
        <v>390.40000000000003</v>
      </c>
      <c r="G23" s="294">
        <f>SUMIF('OBRA 02 - SINTÉTICA'!$D$7:$D$50,'PLANILHA CONSOLIDADA'!D23,'OBRA 02 - SINTÉTICA'!$F$7:$F$50)</f>
        <v>762.06274000000008</v>
      </c>
      <c r="H23" s="294">
        <f>SUMIF('OBRA 03 - SINTÉTICA'!$D$7:$D$57,'PLANILHA CONSOLIDADA'!D23,'OBRA 03 - SINTÉTICA'!$F$7:$F$57)</f>
        <v>718.84592000000009</v>
      </c>
      <c r="I23" s="294">
        <f>SUMIF('OBRA 04 - SINTÉTICA'!$D$7:$D$52,'PLANILHA CONSOLIDADA'!D23,'OBRA 04 - SINTÉTICA'!$F$7:$F$52)</f>
        <v>828.65200000000004</v>
      </c>
      <c r="J23" s="295">
        <f t="shared" ref="J23:J28" si="16">SUM(F23:G23)</f>
        <v>1152.4627400000002</v>
      </c>
      <c r="K23" s="296">
        <f t="shared" si="12"/>
        <v>113.035178499</v>
      </c>
      <c r="L23" s="289">
        <f t="shared" si="13"/>
        <v>44128.93</v>
      </c>
      <c r="M23" s="289">
        <f t="shared" si="14"/>
        <v>86139.89</v>
      </c>
      <c r="N23" s="289">
        <f t="shared" si="15"/>
        <v>81254.87</v>
      </c>
      <c r="O23" s="289">
        <f>TRUNC(I23*K23,2)</f>
        <v>93666.82</v>
      </c>
      <c r="P23" s="750">
        <f t="shared" ref="P23:P28" si="17">SUM(L23:M23)</f>
        <v>130268.82</v>
      </c>
      <c r="Q23" s="246">
        <f>'OBRA 01 - SINTÉTICA'!H22</f>
        <v>113.035178499</v>
      </c>
      <c r="R23" s="169">
        <f>SUM(N22:N28)</f>
        <v>451964.38</v>
      </c>
      <c r="T23" s="169"/>
      <c r="X23" s="179">
        <f t="shared" ref="X23:AC23" si="18">X22+X17</f>
        <v>0.23510475307258957</v>
      </c>
      <c r="Y23" s="179">
        <f t="shared" si="18"/>
        <v>0.33572084963311211</v>
      </c>
      <c r="Z23" s="179" t="e">
        <f t="shared" si="18"/>
        <v>#REF!</v>
      </c>
      <c r="AA23" s="179" t="e">
        <f t="shared" si="18"/>
        <v>#REF!</v>
      </c>
      <c r="AB23" s="179" t="e">
        <f t="shared" si="18"/>
        <v>#REF!</v>
      </c>
      <c r="AC23" s="179" t="e">
        <f t="shared" si="18"/>
        <v>#REF!</v>
      </c>
    </row>
    <row r="24" spans="1:29" s="74" customFormat="1" ht="15" outlineLevel="1" thickBot="1">
      <c r="A24" s="749" t="s">
        <v>579</v>
      </c>
      <c r="B24" s="286" t="s">
        <v>307</v>
      </c>
      <c r="C24" s="286" t="s">
        <v>24</v>
      </c>
      <c r="D24" s="297" t="s">
        <v>308</v>
      </c>
      <c r="E24" s="288" t="s">
        <v>28</v>
      </c>
      <c r="F24" s="289">
        <f>SUMIF('OBRA 01 - SINTÉTICA'!$D$7:$D$50,'PLANILHA CONSOLIDADA'!D24,'OBRA 01 - SINTÉTICA'!$F$7:$F$50)</f>
        <v>244.00000000000003</v>
      </c>
      <c r="G24" s="294">
        <f>SUMIF('OBRA 02 - SINTÉTICA'!$D$7:$D$50,'PLANILHA CONSOLIDADA'!D24,'OBRA 02 - SINTÉTICA'!$F$7:$F$50)</f>
        <v>476.28921250000008</v>
      </c>
      <c r="H24" s="294">
        <f>SUMIF('OBRA 03 - SINTÉTICA'!$D$7:$D$57,'PLANILHA CONSOLIDADA'!D24,'OBRA 03 - SINTÉTICA'!$F$7:$F$57)</f>
        <v>449.27870000000007</v>
      </c>
      <c r="I24" s="294">
        <f>SUMIF('OBRA 04 - SINTÉTICA'!$D$7:$D$52,'PLANILHA CONSOLIDADA'!D24,'OBRA 04 - SINTÉTICA'!$F$7:$F$52)</f>
        <v>517.90750000000003</v>
      </c>
      <c r="J24" s="295">
        <f t="shared" si="16"/>
        <v>720.28921250000008</v>
      </c>
      <c r="K24" s="296">
        <f t="shared" si="12"/>
        <v>69.46098400000001</v>
      </c>
      <c r="L24" s="289">
        <f t="shared" si="13"/>
        <v>16948.48</v>
      </c>
      <c r="M24" s="289">
        <f t="shared" si="14"/>
        <v>33083.51</v>
      </c>
      <c r="N24" s="289">
        <f t="shared" si="15"/>
        <v>31207.34</v>
      </c>
      <c r="O24" s="289">
        <f t="shared" ref="O24:O27" si="19">TRUNC(I24*K24,2)</f>
        <v>35974.36</v>
      </c>
      <c r="P24" s="750">
        <f t="shared" si="17"/>
        <v>50031.990000000005</v>
      </c>
      <c r="Q24" s="246">
        <f>'OBRA 01 - SINTÉTICA'!H23</f>
        <v>69.46098400000001</v>
      </c>
      <c r="T24" s="169"/>
    </row>
    <row r="25" spans="1:29" s="74" customFormat="1" ht="51.75" outlineLevel="1" thickBot="1">
      <c r="A25" s="749" t="s">
        <v>580</v>
      </c>
      <c r="B25" s="288">
        <v>96397</v>
      </c>
      <c r="C25" s="286" t="s">
        <v>24</v>
      </c>
      <c r="D25" s="297" t="s">
        <v>412</v>
      </c>
      <c r="E25" s="288" t="s">
        <v>28</v>
      </c>
      <c r="F25" s="289">
        <f>SUMIF('OBRA 01 - SINTÉTICA'!$D$7:$D$50,'PLANILHA CONSOLIDADA'!D25,'OBRA 01 - SINTÉTICA'!$F$7:$F$50)</f>
        <v>0</v>
      </c>
      <c r="G25" s="294">
        <f>'OBRA 02 - SINTÉTICA'!F19</f>
        <v>762.06274000000008</v>
      </c>
      <c r="H25" s="294">
        <f>SUMIF('OBRA 03 - SINTÉTICA'!$D$7:$D$57,'PLANILHA CONSOLIDADA'!D25,'OBRA 03 - SINTÉTICA'!$F$7:$F$57)</f>
        <v>0</v>
      </c>
      <c r="I25" s="294">
        <f>SUMIF('OBRA 04 - SINTÉTICA'!$D$7:$D$52,'PLANILHA CONSOLIDADA'!D25,'OBRA 04 - SINTÉTICA'!$F$7:$F$52)</f>
        <v>828.65200000000004</v>
      </c>
      <c r="J25" s="295">
        <f t="shared" si="16"/>
        <v>762.06274000000008</v>
      </c>
      <c r="K25" s="296">
        <f t="shared" si="12"/>
        <v>283.59450737499998</v>
      </c>
      <c r="L25" s="289">
        <f t="shared" si="13"/>
        <v>0</v>
      </c>
      <c r="M25" s="289">
        <f t="shared" si="14"/>
        <v>216116.8</v>
      </c>
      <c r="N25" s="289">
        <f t="shared" si="15"/>
        <v>0</v>
      </c>
      <c r="O25" s="289">
        <f t="shared" si="19"/>
        <v>235001.15</v>
      </c>
      <c r="P25" s="750">
        <f t="shared" si="17"/>
        <v>216116.8</v>
      </c>
      <c r="Q25" s="74">
        <f>'OBRA 02 - ANALÍTICA'!J144</f>
        <v>283.59450737499998</v>
      </c>
      <c r="T25" s="169"/>
    </row>
    <row r="26" spans="1:29" s="74" customFormat="1" ht="51.75" outlineLevel="1" thickBot="1">
      <c r="A26" s="749" t="s">
        <v>581</v>
      </c>
      <c r="B26" s="286" t="s">
        <v>54</v>
      </c>
      <c r="C26" s="286" t="s">
        <v>24</v>
      </c>
      <c r="D26" s="297" t="s">
        <v>55</v>
      </c>
      <c r="E26" s="288" t="s">
        <v>28</v>
      </c>
      <c r="F26" s="289">
        <f>SUMIF('OBRA 01 - SINTÉTICA'!$D$7:$D$50,'PLANILHA CONSOLIDADA'!D26,'OBRA 01 - SINTÉTICA'!$F$7:$F$50)</f>
        <v>979.6</v>
      </c>
      <c r="G26" s="294">
        <v>0</v>
      </c>
      <c r="H26" s="294">
        <f>SUMIF('OBRA 03 - SINTÉTICA'!$D$7:$D$57,'PLANILHA CONSOLIDADA'!D26,'OBRA 03 - SINTÉTICA'!$F$7:$F$57)</f>
        <v>718.84592000000009</v>
      </c>
      <c r="I26" s="294">
        <f>SUMIF('OBRA 04 - SINTÉTICA'!$D$7:$D$52,'PLANILHA CONSOLIDADA'!D26,'OBRA 04 - SINTÉTICA'!$F$7:$F$52)</f>
        <v>0</v>
      </c>
      <c r="J26" s="295">
        <f t="shared" si="16"/>
        <v>979.6</v>
      </c>
      <c r="K26" s="296">
        <f t="shared" si="12"/>
        <v>210.68158184299998</v>
      </c>
      <c r="L26" s="289">
        <f t="shared" si="13"/>
        <v>206383.67</v>
      </c>
      <c r="M26" s="289">
        <f t="shared" si="14"/>
        <v>0</v>
      </c>
      <c r="N26" s="289">
        <f t="shared" si="15"/>
        <v>151447.59</v>
      </c>
      <c r="O26" s="289">
        <f t="shared" si="19"/>
        <v>0</v>
      </c>
      <c r="P26" s="750">
        <f t="shared" si="17"/>
        <v>206383.67</v>
      </c>
      <c r="Q26" s="246">
        <f>'OBRA 01 - SINTÉTICA'!H24</f>
        <v>210.68158184299998</v>
      </c>
      <c r="T26" s="169"/>
    </row>
    <row r="27" spans="1:29" s="74" customFormat="1" ht="77.25" outlineLevel="1" thickBot="1">
      <c r="A27" s="749" t="s">
        <v>582</v>
      </c>
      <c r="B27" s="286" t="s">
        <v>42</v>
      </c>
      <c r="C27" s="286" t="s">
        <v>24</v>
      </c>
      <c r="D27" s="297" t="s">
        <v>659</v>
      </c>
      <c r="E27" s="288" t="s">
        <v>28</v>
      </c>
      <c r="F27" s="289">
        <f>SUMIF('OBRA 01 - SINTÉTICA'!$D$7:$D$50,'PLANILHA CONSOLIDADA'!D27,'OBRA 01 - SINTÉTICA'!$F$7:$F$50)</f>
        <v>1712.5</v>
      </c>
      <c r="G27" s="294">
        <f>SUMIF('OBRA 02 - SINTÉTICA'!$D$7:$D$50,'PLANILHA CONSOLIDADA'!D27,'OBRA 02 - SINTÉTICA'!$F$7:$F$50)</f>
        <v>1905.1568500000003</v>
      </c>
      <c r="H27" s="294">
        <f>'OBRA 03 - MEMÓRIA'!O42</f>
        <v>1797.1148000000003</v>
      </c>
      <c r="I27" s="294">
        <f>SUMIF('OBRA 04 - SINTÉTICA'!$D$7:$D$52,'PLANILHA CONSOLIDADA'!D27,'OBRA 04 - SINTÉTICA'!$F$7:$F$52)</f>
        <v>2071.63</v>
      </c>
      <c r="J27" s="295">
        <f t="shared" si="16"/>
        <v>3617.6568500000003</v>
      </c>
      <c r="K27" s="296">
        <f t="shared" si="12"/>
        <v>9.444493229399999</v>
      </c>
      <c r="L27" s="289">
        <f t="shared" si="13"/>
        <v>16173.69</v>
      </c>
      <c r="M27" s="289">
        <f t="shared" si="14"/>
        <v>17993.240000000002</v>
      </c>
      <c r="N27" s="289">
        <f t="shared" si="15"/>
        <v>16972.830000000002</v>
      </c>
      <c r="O27" s="289">
        <f t="shared" si="19"/>
        <v>19565.490000000002</v>
      </c>
      <c r="P27" s="750">
        <f t="shared" si="17"/>
        <v>34166.93</v>
      </c>
      <c r="Q27" s="246">
        <f>'OBRA 01 - SINTÉTICA'!H25</f>
        <v>9.444493229399999</v>
      </c>
      <c r="T27" s="169"/>
    </row>
    <row r="28" spans="1:29" s="74" customFormat="1" ht="40.9" customHeight="1" outlineLevel="1" thickBot="1">
      <c r="A28" s="749" t="s">
        <v>583</v>
      </c>
      <c r="B28" s="286" t="s">
        <v>56</v>
      </c>
      <c r="C28" s="286" t="s">
        <v>24</v>
      </c>
      <c r="D28" s="297" t="s">
        <v>658</v>
      </c>
      <c r="E28" s="288" t="s">
        <v>36</v>
      </c>
      <c r="F28" s="289">
        <f>SUMIF('OBRA 01 - SINTÉTICA'!$D$7:$D$50,'PLANILHA CONSOLIDADA'!D28,'OBRA 01 - SINTÉTICA'!$F$7:$F$50)</f>
        <v>51375</v>
      </c>
      <c r="G28" s="294">
        <f>SUMIF('OBRA 02 - SINTÉTICA'!$D$7:$D$50,'PLANILHA CONSOLIDADA'!D28,'OBRA 02 - SINTÉTICA'!$F$7:$F$50)</f>
        <v>57154.705500000011</v>
      </c>
      <c r="H28" s="294">
        <f>SUMIF('OBRA 03 - SINTÉTICA'!$D$7:$D$57,'PLANILHA CONSOLIDADA'!D28,'OBRA 03 - SINTÉTICA'!$F$7:$F$57)</f>
        <v>53913.44400000001</v>
      </c>
      <c r="I28" s="294">
        <f>SUMIF('OBRA 04 - SINTÉTICA'!$D$7:$D$52,'PLANILHA CONSOLIDADA'!D28,'OBRA 04 - SINTÉTICA'!$F$7:$F$52)</f>
        <v>62148.9</v>
      </c>
      <c r="J28" s="295">
        <f t="shared" si="16"/>
        <v>108529.70550000001</v>
      </c>
      <c r="K28" s="296">
        <f t="shared" si="12"/>
        <v>3.0135828654000001</v>
      </c>
      <c r="L28" s="289">
        <f t="shared" si="13"/>
        <v>154822.81</v>
      </c>
      <c r="M28" s="289">
        <f t="shared" si="14"/>
        <v>172240.44</v>
      </c>
      <c r="N28" s="289">
        <f t="shared" si="15"/>
        <v>162472.63</v>
      </c>
      <c r="O28" s="289">
        <f>TRUNC(I28*K28,2)</f>
        <v>187290.86</v>
      </c>
      <c r="P28" s="750">
        <f t="shared" si="17"/>
        <v>327063.25</v>
      </c>
      <c r="Q28" s="246">
        <f>'OBRA 01 - SINTÉTICA'!H26</f>
        <v>3.0135828654000001</v>
      </c>
      <c r="R28" s="169">
        <f>R29+'OBRA 03 - SINTÉTICA'!I32</f>
        <v>600900.5</v>
      </c>
      <c r="T28" s="169"/>
    </row>
    <row r="29" spans="1:29" s="74" customFormat="1" ht="19.899999999999999" customHeight="1" outlineLevel="1" thickBot="1">
      <c r="A29" s="754"/>
      <c r="B29" s="304"/>
      <c r="C29" s="304"/>
      <c r="D29" s="305" t="s">
        <v>59</v>
      </c>
      <c r="E29" s="303"/>
      <c r="F29" s="306"/>
      <c r="G29" s="304"/>
      <c r="H29" s="304"/>
      <c r="I29" s="304"/>
      <c r="J29" s="281"/>
      <c r="K29" s="308"/>
      <c r="L29" s="306"/>
      <c r="M29" s="306"/>
      <c r="N29" s="306"/>
      <c r="O29" s="306"/>
      <c r="P29" s="753"/>
      <c r="Q29" s="247"/>
      <c r="R29" s="169">
        <f>SUM(N30:N43)</f>
        <v>584653.24</v>
      </c>
      <c r="T29" s="169"/>
    </row>
    <row r="30" spans="1:29" s="74" customFormat="1" ht="42.6" customHeight="1" outlineLevel="1" thickBot="1">
      <c r="A30" s="749" t="s">
        <v>661</v>
      </c>
      <c r="B30" s="286" t="s">
        <v>603</v>
      </c>
      <c r="C30" s="286" t="s">
        <v>27</v>
      </c>
      <c r="D30" s="309" t="s">
        <v>630</v>
      </c>
      <c r="E30" s="288" t="s">
        <v>28</v>
      </c>
      <c r="F30" s="289">
        <f>SUMIF('OBRA 01 - SINTÉTICA'!$D$7:$D$50,'PLANILHA CONSOLIDADA'!D30,'OBRA 01 - SINTÉTICA'!$F$7:$F$50)</f>
        <v>0</v>
      </c>
      <c r="G30" s="294">
        <f>SUMIF('OBRA 02 - SINTÉTICA'!$D$7:$D$50,'PLANILHA CONSOLIDADA'!D30,'OBRA 02 - SINTÉTICA'!$F$7:$F$50)</f>
        <v>1288.20108</v>
      </c>
      <c r="H30" s="294">
        <f>SUMIF('OBRA 03 - SINTÉTICA'!$D$7:$D$57,'PLANILHA CONSOLIDADA'!D30,'OBRA 03 - SINTÉTICA'!$F$7:$F$57)</f>
        <v>0</v>
      </c>
      <c r="I30" s="294">
        <f>SUMIF('OBRA 04 - SINTÉTICA'!$D$7:$D$52,'PLANILHA CONSOLIDADA'!D30,'OBRA 04 - SINTÉTICA'!$F$7:$F$52)</f>
        <v>1296.135</v>
      </c>
      <c r="J30" s="295">
        <f>SUM(F30:G30)</f>
        <v>1288.20108</v>
      </c>
      <c r="K30" s="296">
        <f t="shared" ref="K30:K43" si="20">Q30</f>
        <v>141.15745806278048</v>
      </c>
      <c r="L30" s="289">
        <f t="shared" ref="L30:L43" si="21">TRUNC(F30*K30,2)</f>
        <v>0</v>
      </c>
      <c r="M30" s="289">
        <f>TRUNC(G30*K30,2)</f>
        <v>181839.18</v>
      </c>
      <c r="N30" s="289">
        <f t="shared" ref="N30:N44" si="22">TRUNC(H30*K30,2)</f>
        <v>0</v>
      </c>
      <c r="O30" s="289">
        <f>TRUNC(I30*K30,2)</f>
        <v>182959.12</v>
      </c>
      <c r="P30" s="750">
        <f>SUM(L30:M30)</f>
        <v>181839.18</v>
      </c>
      <c r="Q30" s="278">
        <f>'OBRA 02 - ANALÍTICA'!J204</f>
        <v>141.15745806278048</v>
      </c>
      <c r="R30" s="167">
        <f t="shared" ref="R30" si="23">J30*L30</f>
        <v>0</v>
      </c>
      <c r="S30" s="168">
        <f t="shared" ref="S30" si="24">SUM(M30:R30)</f>
        <v>546778.63745806273</v>
      </c>
      <c r="T30" s="169"/>
    </row>
    <row r="31" spans="1:29" s="74" customFormat="1" ht="15" outlineLevel="1" thickBot="1">
      <c r="A31" s="749" t="s">
        <v>584</v>
      </c>
      <c r="B31" s="286" t="s">
        <v>62</v>
      </c>
      <c r="C31" s="286" t="s">
        <v>27</v>
      </c>
      <c r="D31" s="297" t="s">
        <v>563</v>
      </c>
      <c r="E31" s="288" t="s">
        <v>21</v>
      </c>
      <c r="F31" s="289">
        <f>SUMIF('OBRA 01 - SINTÉTICA'!$D$7:$D$50,'PLANILHA CONSOLIDADA'!D31,'OBRA 01 - SINTÉTICA'!$F$7:$F$50)</f>
        <v>3701.62</v>
      </c>
      <c r="G31" s="294">
        <f>SUMIF('OBRA 02 - SINTÉTICA'!$D$7:$D$50,'PLANILHA CONSOLIDADA'!D31,'OBRA 02 - SINTÉTICA'!$F$7:$F$50)</f>
        <v>4127.808</v>
      </c>
      <c r="H31" s="294">
        <f>SUMIF('OBRA 03 - SINTÉTICA'!$D$7:$D$57,'PLANILHA CONSOLIDADA'!D31,'OBRA 03 - SINTÉTICA'!$F$7:$F$57)</f>
        <v>3594.2296000000001</v>
      </c>
      <c r="I31" s="294">
        <f>SUMIF('OBRA 04 - SINTÉTICA'!$D$7:$D$52,'PLANILHA CONSOLIDADA'!D31,'OBRA 04 - SINTÉTICA'!$F$7:$F$52)</f>
        <v>4143.26</v>
      </c>
      <c r="J31" s="295">
        <f t="shared" ref="J31:J44" si="25">SUM(F31:G31)</f>
        <v>7829.4279999999999</v>
      </c>
      <c r="K31" s="296">
        <f t="shared" si="20"/>
        <v>0.48256611851029407</v>
      </c>
      <c r="L31" s="289">
        <f t="shared" si="21"/>
        <v>1786.27</v>
      </c>
      <c r="M31" s="289">
        <f t="shared" ref="M31:M43" si="26">TRUNC(G31*K31,2)</f>
        <v>1991.94</v>
      </c>
      <c r="N31" s="289">
        <f>TRUNC(H31*K31,2)</f>
        <v>1734.45</v>
      </c>
      <c r="O31" s="289">
        <f t="shared" ref="O31:O43" si="27">TRUNC(I31*K31,2)</f>
        <v>1999.39</v>
      </c>
      <c r="P31" s="750">
        <f t="shared" ref="P31:P44" si="28">SUM(L31:M31)</f>
        <v>3778.21</v>
      </c>
      <c r="Q31" s="246">
        <f>'OBRA 01 - SINTÉTICA'!H28</f>
        <v>0.48256611851029407</v>
      </c>
      <c r="T31" s="169"/>
    </row>
    <row r="32" spans="1:29" s="74" customFormat="1" ht="15" outlineLevel="1" thickBot="1">
      <c r="A32" s="749" t="s">
        <v>585</v>
      </c>
      <c r="B32" s="286" t="s">
        <v>63</v>
      </c>
      <c r="C32" s="286" t="s">
        <v>27</v>
      </c>
      <c r="D32" s="297" t="s">
        <v>564</v>
      </c>
      <c r="E32" s="288" t="s">
        <v>21</v>
      </c>
      <c r="F32" s="289">
        <f>SUMIF('OBRA 01 - SINTÉTICA'!$D$7:$D$50,'PLANILHA CONSOLIDADA'!D32,'OBRA 01 - SINTÉTICA'!$F$7:$F$50)</f>
        <v>3701.62</v>
      </c>
      <c r="G32" s="294">
        <f>SUMIF('OBRA 02 - SINTÉTICA'!$D$7:$D$50,'PLANILHA CONSOLIDADA'!D32,'OBRA 02 - SINTÉTICA'!$F$7:$F$50)</f>
        <v>8421.8116000000009</v>
      </c>
      <c r="H32" s="294">
        <f>SUMIF('OBRA 03 - SINTÉTICA'!$D$7:$D$57,'PLANILHA CONSOLIDADA'!D32,'OBRA 03 - SINTÉTICA'!$F$7:$F$57)</f>
        <v>3594.2296000000001</v>
      </c>
      <c r="I32" s="294">
        <f>SUMIF('OBRA 04 - SINTÉTICA'!$D$7:$D$52,'PLANILHA CONSOLIDADA'!D32,'OBRA 04 - SINTÉTICA'!$F$7:$F$52)</f>
        <v>8463.7099999999991</v>
      </c>
      <c r="J32" s="295">
        <f t="shared" si="25"/>
        <v>12123.4316</v>
      </c>
      <c r="K32" s="310">
        <f t="shared" si="20"/>
        <v>0.33413026924000006</v>
      </c>
      <c r="L32" s="289">
        <f t="shared" si="21"/>
        <v>1236.82</v>
      </c>
      <c r="M32" s="291">
        <f>TRUNC(G32*K32,2)</f>
        <v>2813.98</v>
      </c>
      <c r="N32" s="291">
        <f>TRUNC(H32*K32,2)</f>
        <v>1200.94</v>
      </c>
      <c r="O32" s="291">
        <f>TRUNC(I32*K32,2)</f>
        <v>2827.98</v>
      </c>
      <c r="P32" s="750">
        <f t="shared" si="28"/>
        <v>4050.8</v>
      </c>
      <c r="Q32" s="246">
        <f>'OBRA 01 - SINTÉTICA'!H29</f>
        <v>0.33413026924000006</v>
      </c>
      <c r="T32" s="169"/>
    </row>
    <row r="33" spans="1:29" s="74" customFormat="1" ht="26.25" outlineLevel="1" thickBot="1">
      <c r="A33" s="749" t="s">
        <v>586</v>
      </c>
      <c r="B33" s="286" t="s">
        <v>60</v>
      </c>
      <c r="C33" s="286" t="s">
        <v>27</v>
      </c>
      <c r="D33" s="297" t="s">
        <v>565</v>
      </c>
      <c r="E33" s="288" t="s">
        <v>61</v>
      </c>
      <c r="F33" s="289">
        <f>SUMIF('OBRA 01 - SINTÉTICA'!$D$7:$D$50,'PLANILHA CONSOLIDADA'!D33,'OBRA 01 - SINTÉTICA'!$F$7:$F$50)</f>
        <v>444.19439999999997</v>
      </c>
      <c r="G33" s="294">
        <f>SUMIF('OBRA 02 - SINTÉTICA'!$D$7:$D$50,'PLANILHA CONSOLIDADA'!D33,'OBRA 02 - SINTÉTICA'!$F$7:$F$50)</f>
        <v>1010.617392</v>
      </c>
      <c r="H33" s="294">
        <f>SUMIF('OBRA 03 - SINTÉTICA'!$D$7:$D$57,'PLANILHA CONSOLIDADA'!D33,'OBRA 03 - SINTÉTICA'!$F$7:$F$57)</f>
        <v>431.30755200000004</v>
      </c>
      <c r="I33" s="294">
        <f>SUMIF('OBRA 04 - SINTÉTICA'!$D$7:$D$52,'PLANILHA CONSOLIDADA'!D33,'OBRA 04 - SINTÉTICA'!$F$7:$F$52)</f>
        <v>1015.6451999999999</v>
      </c>
      <c r="J33" s="295">
        <f t="shared" si="25"/>
        <v>1454.811792</v>
      </c>
      <c r="K33" s="296">
        <f t="shared" si="20"/>
        <v>237.37918607218677</v>
      </c>
      <c r="L33" s="289">
        <f t="shared" si="21"/>
        <v>105442.5</v>
      </c>
      <c r="M33" s="289">
        <f t="shared" si="26"/>
        <v>239899.53</v>
      </c>
      <c r="N33" s="291">
        <f>TRUNC(H33*K33,2)</f>
        <v>102383.43</v>
      </c>
      <c r="O33" s="289">
        <f t="shared" si="27"/>
        <v>241093.03</v>
      </c>
      <c r="P33" s="750">
        <f t="shared" si="28"/>
        <v>345342.03</v>
      </c>
      <c r="Q33" s="246">
        <f>'OBRA 01 - SINTÉTICA'!H30</f>
        <v>237.37918607218677</v>
      </c>
      <c r="T33" s="169"/>
    </row>
    <row r="34" spans="1:29" s="74" customFormat="1" ht="51.75" outlineLevel="1" thickBot="1">
      <c r="A34" s="749" t="s">
        <v>587</v>
      </c>
      <c r="B34" s="286" t="s">
        <v>64</v>
      </c>
      <c r="C34" s="286" t="s">
        <v>24</v>
      </c>
      <c r="D34" s="297" t="s">
        <v>65</v>
      </c>
      <c r="E34" s="288" t="s">
        <v>66</v>
      </c>
      <c r="F34" s="289">
        <f>SUMIF('OBRA 01 - SINTÉTICA'!$D$7:$D$50,'PLANILHA CONSOLIDADA'!D34,'OBRA 01 - SINTÉTICA'!$F$7:$F$50)</f>
        <v>1053.7179556799999</v>
      </c>
      <c r="G34" s="294">
        <f>SUMIF('OBRA 02 - SINTÉTICA'!$D$7:$D$50,'PLANILHA CONSOLIDADA'!D34,'OBRA 02 - SINTÉTICA'!$F$7:$F$50)</f>
        <v>1271.5920203904002</v>
      </c>
      <c r="H34" s="294">
        <f>SUMIF('OBRA 03 - SINTÉTICA'!$D$7:$D$57,'PLANILHA CONSOLIDADA'!D34,'OBRA 03 - SINTÉTICA'!$F$7:$F$57)</f>
        <v>1023.1477748544002</v>
      </c>
      <c r="I34" s="294">
        <f>SUMIF('OBRA 04 - SINTÉTICA'!$D$7:$D$52,'PLANILHA CONSOLIDADA'!D34,'OBRA 04 - SINTÉTICA'!$F$7:$F$52)</f>
        <v>2240.8159934400001</v>
      </c>
      <c r="J34" s="295">
        <f t="shared" si="25"/>
        <v>2325.3099760703999</v>
      </c>
      <c r="K34" s="302">
        <f t="shared" si="20"/>
        <v>1.7244854156</v>
      </c>
      <c r="L34" s="289">
        <f t="shared" si="21"/>
        <v>1817.12</v>
      </c>
      <c r="M34" s="289">
        <f t="shared" si="26"/>
        <v>2192.84</v>
      </c>
      <c r="N34" s="291">
        <f>TRUNC(H34*K34,2)</f>
        <v>1764.4</v>
      </c>
      <c r="O34" s="289">
        <f t="shared" si="27"/>
        <v>3864.25</v>
      </c>
      <c r="P34" s="750">
        <f t="shared" si="28"/>
        <v>4009.96</v>
      </c>
      <c r="Q34" s="246">
        <f>'OBRA 01 - SINTÉTICA'!H32</f>
        <v>1.7244854156</v>
      </c>
      <c r="T34" s="169"/>
    </row>
    <row r="35" spans="1:29" s="74" customFormat="1" ht="64.5" outlineLevel="1" thickBot="1">
      <c r="A35" s="749" t="s">
        <v>588</v>
      </c>
      <c r="B35" s="286" t="s">
        <v>67</v>
      </c>
      <c r="C35" s="286" t="s">
        <v>24</v>
      </c>
      <c r="D35" s="297" t="s">
        <v>68</v>
      </c>
      <c r="E35" s="288" t="s">
        <v>66</v>
      </c>
      <c r="F35" s="289">
        <f>SUMIF('OBRA 01 - SINTÉTICA'!$D$7:$D$50,'PLANILHA CONSOLIDADA'!D35,'OBRA 01 - SINTÉTICA'!$F$7:$F$50)</f>
        <v>16508.247972319998</v>
      </c>
      <c r="G35" s="294">
        <f>SUMIF('OBRA 02 - SINTÉTICA'!$D$7:$D$50,'PLANILHA CONSOLIDADA'!D35,'OBRA 02 - SINTÉTICA'!$F$7:$F$50)</f>
        <v>19921.608319449602</v>
      </c>
      <c r="H35" s="294">
        <f>SUMIF('OBRA 03 - SINTÉTICA'!$D$7:$D$57,'PLANILHA CONSOLIDADA'!D35,'OBRA 03 - SINTÉTICA'!$F$7:$F$57)</f>
        <v>16029.315139385602</v>
      </c>
      <c r="I35" s="294">
        <f>SUMIF('OBRA 04 - SINTÉTICA'!$D$7:$D$52,'PLANILHA CONSOLIDADA'!D35,'OBRA 04 - SINTÉTICA'!$F$7:$F$52)</f>
        <v>35106.117230559998</v>
      </c>
      <c r="J35" s="295">
        <f t="shared" si="25"/>
        <v>36429.856291769596</v>
      </c>
      <c r="K35" s="296">
        <f t="shared" si="20"/>
        <v>0.68072843250000004</v>
      </c>
      <c r="L35" s="289">
        <f t="shared" si="21"/>
        <v>11237.63</v>
      </c>
      <c r="M35" s="289">
        <f t="shared" si="26"/>
        <v>13561.2</v>
      </c>
      <c r="N35" s="291">
        <f>TRUNC(H35*K35,2)</f>
        <v>10911.61</v>
      </c>
      <c r="O35" s="289">
        <f t="shared" si="27"/>
        <v>23897.73</v>
      </c>
      <c r="P35" s="750">
        <f t="shared" si="28"/>
        <v>24798.83</v>
      </c>
      <c r="Q35" s="246">
        <f>'OBRA 01 - SINTÉTICA'!H33</f>
        <v>0.68072843250000004</v>
      </c>
      <c r="T35" s="169"/>
    </row>
    <row r="36" spans="1:29" s="74" customFormat="1" ht="39" outlineLevel="1" thickBot="1">
      <c r="A36" s="749" t="s">
        <v>589</v>
      </c>
      <c r="B36" s="286" t="s">
        <v>56</v>
      </c>
      <c r="C36" s="286" t="s">
        <v>24</v>
      </c>
      <c r="D36" s="297" t="s">
        <v>418</v>
      </c>
      <c r="E36" s="288" t="s">
        <v>36</v>
      </c>
      <c r="F36" s="289">
        <f>SUMIF('OBRA 01 - SINTÉTICA'!$D$7:$D$50,'PLANILHA CONSOLIDADA'!D36,'OBRA 01 - SINTÉTICA'!$F$7:$F$50)</f>
        <v>5552.43</v>
      </c>
      <c r="G36" s="294">
        <f>SUMIF('OBRA 02 - SINTÉTICA'!$D$7:$D$50,'PLANILHA CONSOLIDADA'!D36,'OBRA 02 - SINTÉTICA'!$F$7:$F$50)</f>
        <v>12632.717400000001</v>
      </c>
      <c r="H36" s="294">
        <f>SUMIF('OBRA 03 - SINTÉTICA'!$D$7:$D$57,'PLANILHA CONSOLIDADA'!D36,'OBRA 03 - SINTÉTICA'!$F$7:$F$57)</f>
        <v>5817.8747016000007</v>
      </c>
      <c r="I36" s="294">
        <f>SUMIF('OBRA 04 - SINTÉTICA'!$D$7:$D$52,'PLANILHA CONSOLIDADA'!D36,'OBRA 04 - SINTÉTICA'!$F$7:$F$52)</f>
        <v>12695.565000000001</v>
      </c>
      <c r="J36" s="295">
        <f t="shared" si="25"/>
        <v>18185.147400000002</v>
      </c>
      <c r="K36" s="296">
        <f t="shared" si="20"/>
        <v>3.0135828654000001</v>
      </c>
      <c r="L36" s="289">
        <f t="shared" si="21"/>
        <v>16732.7</v>
      </c>
      <c r="M36" s="289">
        <f t="shared" si="26"/>
        <v>38069.74</v>
      </c>
      <c r="N36" s="289">
        <f t="shared" si="22"/>
        <v>17532.64</v>
      </c>
      <c r="O36" s="289">
        <f t="shared" si="27"/>
        <v>38259.129999999997</v>
      </c>
      <c r="P36" s="750">
        <f t="shared" si="28"/>
        <v>54802.44</v>
      </c>
      <c r="Q36" s="246">
        <f>'OBRA 01 - SINTÉTICA'!H31</f>
        <v>3.0135828654000001</v>
      </c>
      <c r="T36" s="169"/>
    </row>
    <row r="37" spans="1:29" s="74" customFormat="1" ht="51.75" outlineLevel="1" thickBot="1">
      <c r="A37" s="749"/>
      <c r="B37" s="286">
        <v>95875</v>
      </c>
      <c r="C37" s="286" t="s">
        <v>24</v>
      </c>
      <c r="D37" s="297" t="s">
        <v>668</v>
      </c>
      <c r="E37" s="288" t="s">
        <v>36</v>
      </c>
      <c r="F37" s="289">
        <f>SUMIF('OBRA 01 - SINTÉTICA'!$D$7:$D$50,'PLANILHA CONSOLIDADA'!D37,'OBRA 01 - SINTÉTICA'!$F$7:$F$50)</f>
        <v>0</v>
      </c>
      <c r="G37" s="294">
        <f>SUMIF('OBRA 02 - SINTÉTICA'!$D$7:$D$50,'PLANILHA CONSOLIDADA'!D37,'OBRA 02 - SINTÉTICA'!$F$7:$F$50)</f>
        <v>0</v>
      </c>
      <c r="H37" s="294">
        <f>SUMIF('OBRA 03 - SINTÉTICA'!$D$7:$D$57,'PLANILHA CONSOLIDADA'!D37,'OBRA 03 - SINTÉTICA'!$F$7:$F$57)</f>
        <v>5391.3444000000009</v>
      </c>
      <c r="I37" s="294">
        <f>SUMIF('OBRA 04 - SINTÉTICA'!$D$7:$D$52,'PLANILHA CONSOLIDADA'!D37,'OBRA 04 - SINTÉTICA'!$F$7:$F$52)</f>
        <v>0</v>
      </c>
      <c r="J37" s="295">
        <f t="shared" si="25"/>
        <v>0</v>
      </c>
      <c r="K37" s="296">
        <f t="shared" si="20"/>
        <v>3.0135828654000001</v>
      </c>
      <c r="L37" s="289">
        <f t="shared" ref="L37" si="29">TRUNC(F37*K37,2)</f>
        <v>0</v>
      </c>
      <c r="M37" s="289">
        <f t="shared" ref="M37" si="30">TRUNC(G37*K37,2)</f>
        <v>0</v>
      </c>
      <c r="N37" s="289">
        <f t="shared" ref="N37" si="31">TRUNC(H37*K37,2)</f>
        <v>16247.26</v>
      </c>
      <c r="O37" s="289">
        <f t="shared" ref="O37" si="32">TRUNC(I37*K37,2)</f>
        <v>0</v>
      </c>
      <c r="P37" s="750">
        <f t="shared" si="28"/>
        <v>0</v>
      </c>
      <c r="Q37" s="246">
        <f>'OBRA 01 - SINTÉTICA'!H26</f>
        <v>3.0135828654000001</v>
      </c>
      <c r="T37" s="169"/>
    </row>
    <row r="38" spans="1:29" s="74" customFormat="1" ht="39" outlineLevel="1" thickBot="1">
      <c r="A38" s="749" t="s">
        <v>590</v>
      </c>
      <c r="B38" s="286" t="s">
        <v>56</v>
      </c>
      <c r="C38" s="286" t="s">
        <v>24</v>
      </c>
      <c r="D38" s="297" t="s">
        <v>419</v>
      </c>
      <c r="E38" s="288" t="s">
        <v>36</v>
      </c>
      <c r="F38" s="289">
        <f>SUMIF('OBRA 01 - SINTÉTICA'!$D$7:$D$50,'PLANILHA CONSOLIDADA'!D38,'OBRA 01 - SINTÉTICA'!$F$7:$F$50)</f>
        <v>0</v>
      </c>
      <c r="G38" s="294">
        <f>SUMIF('OBRA 02 - SINTÉTICA'!$D$7:$D$50,'PLANILHA CONSOLIDADA'!D38,'OBRA 02 - SINTÉTICA'!$F$7:$F$50)</f>
        <v>9661.5081000000009</v>
      </c>
      <c r="H38" s="294">
        <f>SUMIF('OBRA 03 - SINTÉTICA'!$D$7:$D$57,'PLANILHA CONSOLIDADA'!D38,'OBRA 03 - SINTÉTICA'!$F$7:$F$57)</f>
        <v>0</v>
      </c>
      <c r="I38" s="294">
        <f>'OBRA 04 - MEMÓRIA'!O58</f>
        <v>9721.0125000000007</v>
      </c>
      <c r="J38" s="295">
        <f t="shared" si="25"/>
        <v>9661.5081000000009</v>
      </c>
      <c r="K38" s="296">
        <f t="shared" si="20"/>
        <v>3.0135828654000001</v>
      </c>
      <c r="L38" s="289">
        <f t="shared" si="21"/>
        <v>0</v>
      </c>
      <c r="M38" s="289">
        <f t="shared" si="26"/>
        <v>29115.75</v>
      </c>
      <c r="N38" s="289">
        <f t="shared" si="22"/>
        <v>0</v>
      </c>
      <c r="O38" s="289">
        <f t="shared" si="27"/>
        <v>29295.07</v>
      </c>
      <c r="P38" s="750">
        <f t="shared" si="28"/>
        <v>29115.75</v>
      </c>
      <c r="Q38" s="246">
        <f>Q37</f>
        <v>3.0135828654000001</v>
      </c>
      <c r="T38" s="169"/>
    </row>
    <row r="39" spans="1:29" s="74" customFormat="1" ht="26.25" outlineLevel="1" thickBot="1">
      <c r="A39" s="749" t="s">
        <v>591</v>
      </c>
      <c r="B39" s="286" t="s">
        <v>69</v>
      </c>
      <c r="C39" s="286" t="s">
        <v>19</v>
      </c>
      <c r="D39" s="297" t="s">
        <v>70</v>
      </c>
      <c r="E39" s="288" t="s">
        <v>21</v>
      </c>
      <c r="F39" s="289">
        <f>SUMIF('OBRA 01 - SINTÉTICA'!$D$7:$D$50,'PLANILHA CONSOLIDADA'!D39,'OBRA 01 - SINTÉTICA'!$F$7:$F$50)</f>
        <v>3701.62</v>
      </c>
      <c r="G39" s="294">
        <f>SUMIF('OBRA 02 - SINTÉTICA'!$D$7:$D$50,'PLANILHA CONSOLIDADA'!D39,'OBRA 02 - SINTÉTICA'!$F$7:$F$50)</f>
        <v>8421.8116000000009</v>
      </c>
      <c r="H39" s="294">
        <f>SUMIF('OBRA 03 - SINTÉTICA'!$D$7:$D$57,'PLANILHA CONSOLIDADA'!D39,'OBRA 03 - SINTÉTICA'!$F$7:$F$57)</f>
        <v>3594.2296000000001</v>
      </c>
      <c r="I39" s="294">
        <f>SUMIF('OBRA 04 - SINTÉTICA'!$D$7:$D$52,'PLANILHA CONSOLIDADA'!D39,'OBRA 04 - SINTÉTICA'!$F$7:$F$52)</f>
        <v>8463.7099999999991</v>
      </c>
      <c r="J39" s="295">
        <f t="shared" si="25"/>
        <v>12123.4316</v>
      </c>
      <c r="K39" s="296">
        <f t="shared" si="20"/>
        <v>0.70790434299999994</v>
      </c>
      <c r="L39" s="289">
        <f t="shared" si="21"/>
        <v>2620.39</v>
      </c>
      <c r="M39" s="289">
        <f t="shared" si="26"/>
        <v>5961.83</v>
      </c>
      <c r="N39" s="289">
        <f t="shared" si="22"/>
        <v>2544.37</v>
      </c>
      <c r="O39" s="289">
        <f t="shared" si="27"/>
        <v>5991.49</v>
      </c>
      <c r="P39" s="750">
        <f t="shared" si="28"/>
        <v>8582.2199999999993</v>
      </c>
      <c r="Q39" s="246">
        <f>'OBRA 01 - SINTÉTICA'!H34</f>
        <v>0.70790434299999994</v>
      </c>
      <c r="T39" s="169"/>
    </row>
    <row r="40" spans="1:29" s="74" customFormat="1" ht="15" outlineLevel="1" thickBot="1">
      <c r="A40" s="749" t="s">
        <v>592</v>
      </c>
      <c r="B40" s="286" t="s">
        <v>303</v>
      </c>
      <c r="C40" s="286" t="s">
        <v>303</v>
      </c>
      <c r="D40" s="297" t="s">
        <v>304</v>
      </c>
      <c r="E40" s="288" t="s">
        <v>306</v>
      </c>
      <c r="F40" s="289">
        <f>SUMIF('OBRA 01 - SINTÉTICA'!$D$7:$D$50,'PLANILHA CONSOLIDADA'!D40,'OBRA 01 - SINTÉTICA'!$F$7:$F$50)</f>
        <v>1.665729</v>
      </c>
      <c r="G40" s="294">
        <f>SUMIF('OBRA 02 - SINTÉTICA'!$D$7:$D$50,'PLANILHA CONSOLIDADA'!D40,'OBRA 02 - SINTÉTICA'!$F$7:$F$50)</f>
        <v>3.7898152200000004</v>
      </c>
      <c r="H40" s="294">
        <f>SUMIF('OBRA 03 - SINTÉTICA'!$D$7:$D$57,'PLANILHA CONSOLIDADA'!D40,'OBRA 03 - SINTÉTICA'!$F$7:$F$57)</f>
        <v>1.61740332</v>
      </c>
      <c r="I40" s="294">
        <f>SUMIF('OBRA 04 - SINTÉTICA'!$D$7:$D$52,'PLANILHA CONSOLIDADA'!D40,'OBRA 04 - SINTÉTICA'!$F$7:$F$52)</f>
        <v>3.8086694999999997</v>
      </c>
      <c r="J40" s="295">
        <f t="shared" si="25"/>
        <v>5.4555442200000002</v>
      </c>
      <c r="K40" s="296">
        <f t="shared" si="20"/>
        <v>3463.3232940000003</v>
      </c>
      <c r="L40" s="289">
        <f t="shared" si="21"/>
        <v>5768.95</v>
      </c>
      <c r="M40" s="289">
        <f t="shared" si="26"/>
        <v>13125.35</v>
      </c>
      <c r="N40" s="289">
        <f t="shared" si="22"/>
        <v>5601.59</v>
      </c>
      <c r="O40" s="289">
        <f t="shared" si="27"/>
        <v>13190.65</v>
      </c>
      <c r="P40" s="750">
        <f t="shared" si="28"/>
        <v>18894.3</v>
      </c>
      <c r="Q40" s="246">
        <f>'OBRA 01 - SINTÉTICA'!H35</f>
        <v>3463.3232940000003</v>
      </c>
      <c r="T40" s="169"/>
    </row>
    <row r="41" spans="1:29" s="74" customFormat="1" ht="26.25" outlineLevel="1" thickBot="1">
      <c r="A41" s="749" t="s">
        <v>593</v>
      </c>
      <c r="B41" s="286" t="s">
        <v>303</v>
      </c>
      <c r="C41" s="286" t="s">
        <v>303</v>
      </c>
      <c r="D41" s="297" t="s">
        <v>305</v>
      </c>
      <c r="E41" s="288" t="s">
        <v>306</v>
      </c>
      <c r="F41" s="289">
        <f>SUMIF('OBRA 01 - SINTÉTICA'!$D$7:$D$50,'PLANILHA CONSOLIDADA'!D41,'OBRA 01 - SINTÉTICA'!$F$7:$F$50)</f>
        <v>4.812106</v>
      </c>
      <c r="G41" s="294">
        <f>SUMIF('OBRA 02 - SINTÉTICA'!$D$7:$D$50,'PLANILHA CONSOLIDADA'!D41,'OBRA 02 - SINTÉTICA'!$F$7:$F$50)</f>
        <v>5.3661503999999995</v>
      </c>
      <c r="H41" s="294">
        <f>SUMIF('OBRA 03 - SINTÉTICA'!$D$7:$D$57,'PLANILHA CONSOLIDADA'!D41,'OBRA 03 - SINTÉTICA'!$F$7:$F$57)</f>
        <v>4.6724984799999998</v>
      </c>
      <c r="I41" s="294">
        <f>SUMIF('OBRA 04 - SINTÉTICA'!$D$7:$D$52,'PLANILHA CONSOLIDADA'!D41,'OBRA 04 - SINTÉTICA'!$F$7:$F$52)</f>
        <v>5.3862379999999996</v>
      </c>
      <c r="J41" s="295">
        <f t="shared" si="25"/>
        <v>10.178256399999999</v>
      </c>
      <c r="K41" s="296">
        <f t="shared" si="20"/>
        <v>2913.0285680000006</v>
      </c>
      <c r="L41" s="289">
        <f t="shared" si="21"/>
        <v>14017.8</v>
      </c>
      <c r="M41" s="289">
        <f t="shared" si="26"/>
        <v>15631.74</v>
      </c>
      <c r="N41" s="289">
        <f t="shared" si="22"/>
        <v>13611.12</v>
      </c>
      <c r="O41" s="289">
        <f t="shared" si="27"/>
        <v>15690.26</v>
      </c>
      <c r="P41" s="750">
        <f t="shared" si="28"/>
        <v>29649.54</v>
      </c>
      <c r="Q41" s="246">
        <f>'OBRA 01 - SINTÉTICA'!H36</f>
        <v>2913.0285680000006</v>
      </c>
      <c r="T41" s="169"/>
    </row>
    <row r="42" spans="1:29" s="74" customFormat="1" ht="15" outlineLevel="1" thickBot="1">
      <c r="A42" s="749" t="s">
        <v>594</v>
      </c>
      <c r="B42" s="286" t="s">
        <v>303</v>
      </c>
      <c r="C42" s="286" t="s">
        <v>303</v>
      </c>
      <c r="D42" s="297" t="s">
        <v>310</v>
      </c>
      <c r="E42" s="288" t="s">
        <v>306</v>
      </c>
      <c r="F42" s="289">
        <f>SUMIF('OBRA 01 - SINTÉTICA'!$D$7:$D$50,'PLANILHA CONSOLIDADA'!D42,'OBRA 01 - SINTÉTICA'!$F$7:$F$50)</f>
        <v>28.646096856</v>
      </c>
      <c r="G42" s="294">
        <f>SUMIF('OBRA 02 - SINTÉTICA'!$D$7:$D$50,'PLANILHA CONSOLIDADA'!D42,'OBRA 02 - SINTÉTICA'!$F$7:$F$50)</f>
        <v>33.230435059680005</v>
      </c>
      <c r="H42" s="294">
        <f>SUMIF('OBRA 03 - SINTÉTICA'!$D$7:$D$57,'PLANILHA CONSOLIDADA'!D42,'OBRA 03 - SINTÉTICA'!$F$7:$F$57)</f>
        <v>27.815024028480007</v>
      </c>
      <c r="I42" s="294">
        <f>SUMIF('OBRA 04 - SINTÉTICA'!$D$7:$D$52,'PLANILHA CONSOLIDADA'!D42,'OBRA 04 - SINTÉTICA'!$F$7:$F$52)</f>
        <v>65.498958947999995</v>
      </c>
      <c r="J42" s="295">
        <f t="shared" si="25"/>
        <v>61.876531915680005</v>
      </c>
      <c r="K42" s="296">
        <f t="shared" si="20"/>
        <v>4593.341308</v>
      </c>
      <c r="L42" s="289">
        <f t="shared" si="21"/>
        <v>131581.29999999999</v>
      </c>
      <c r="M42" s="289">
        <f t="shared" si="26"/>
        <v>152638.73000000001</v>
      </c>
      <c r="N42" s="289">
        <f t="shared" si="22"/>
        <v>127763.89</v>
      </c>
      <c r="O42" s="289">
        <f t="shared" si="27"/>
        <v>300859.07</v>
      </c>
      <c r="P42" s="750">
        <f t="shared" si="28"/>
        <v>284220.03000000003</v>
      </c>
      <c r="Q42" s="246">
        <f>'OBRA 01 - SINTÉTICA'!H37</f>
        <v>4593.341308</v>
      </c>
      <c r="T42" s="169"/>
    </row>
    <row r="43" spans="1:29" s="74" customFormat="1" ht="54.6" customHeight="1" thickBot="1">
      <c r="A43" s="749" t="s">
        <v>595</v>
      </c>
      <c r="B43" s="286">
        <v>92398</v>
      </c>
      <c r="C43" s="286" t="s">
        <v>24</v>
      </c>
      <c r="D43" s="311" t="s">
        <v>459</v>
      </c>
      <c r="E43" s="288" t="s">
        <v>21</v>
      </c>
      <c r="F43" s="289">
        <f>SUMIF('OBRA 01 - SINTÉTICA'!$D$7:$D$50,'PLANILHA CONSOLIDADA'!D43,'OBRA 01 - SINTÉTICA'!$F$7:$F$50)</f>
        <v>0</v>
      </c>
      <c r="G43" s="294">
        <f>SUMIF('OBRA 02 - SINTÉTICA'!$D$7:$D$50,'PLANILHA CONSOLIDADA'!D43,'OBRA 02 - SINTÉTICA'!$F$7:$F$50)</f>
        <v>0</v>
      </c>
      <c r="H43" s="294">
        <f>SUMIF('OBRA 03 - SINTÉTICA'!$D$7:$D$57,'PLANILHA CONSOLIDADA'!D43,'OBRA 03 - SINTÉTICA'!$F$7:$F$57)</f>
        <v>2911.8492000000001</v>
      </c>
      <c r="I43" s="294">
        <f>SUMIF('OBRA 04 - SINTÉTICA'!$D$7:$D$52,'PLANILHA CONSOLIDADA'!D43,'OBRA 04 - SINTÉTICA'!$F$7:$F$52)</f>
        <v>0</v>
      </c>
      <c r="J43" s="295">
        <f t="shared" si="25"/>
        <v>0</v>
      </c>
      <c r="K43" s="296">
        <f t="shared" si="20"/>
        <v>97.311888632100008</v>
      </c>
      <c r="L43" s="289">
        <f t="shared" si="21"/>
        <v>0</v>
      </c>
      <c r="M43" s="289">
        <f t="shared" si="26"/>
        <v>0</v>
      </c>
      <c r="N43" s="289">
        <f t="shared" si="22"/>
        <v>283357.53999999998</v>
      </c>
      <c r="O43" s="289">
        <f t="shared" si="27"/>
        <v>0</v>
      </c>
      <c r="P43" s="750">
        <f t="shared" si="28"/>
        <v>0</v>
      </c>
      <c r="Q43" s="246">
        <f>'OBRA 03 - SINTÉTICA'!H28</f>
        <v>97.311888632100008</v>
      </c>
    </row>
    <row r="44" spans="1:29" s="74" customFormat="1" ht="82.9" customHeight="1" thickBot="1">
      <c r="A44" s="749"/>
      <c r="B44" s="286">
        <v>100977</v>
      </c>
      <c r="C44" s="286" t="s">
        <v>24</v>
      </c>
      <c r="D44" s="311" t="s">
        <v>682</v>
      </c>
      <c r="E44" s="288" t="s">
        <v>683</v>
      </c>
      <c r="F44" s="289"/>
      <c r="G44" s="286"/>
      <c r="H44" s="312">
        <f>'OBRA 03 - SINTÉTICA'!F33</f>
        <v>193.92915672000001</v>
      </c>
      <c r="I44" s="286"/>
      <c r="J44" s="295">
        <f t="shared" si="25"/>
        <v>0</v>
      </c>
      <c r="K44" s="289">
        <f>'OBRA 03 - SINTÉTICA'!H33</f>
        <v>9.444493229399999</v>
      </c>
      <c r="L44" s="289"/>
      <c r="M44" s="289"/>
      <c r="N44" s="289">
        <f t="shared" si="22"/>
        <v>1831.56</v>
      </c>
      <c r="O44" s="289"/>
      <c r="P44" s="750">
        <f t="shared" si="28"/>
        <v>0</v>
      </c>
      <c r="Q44" s="246"/>
    </row>
    <row r="45" spans="1:29" s="74" customFormat="1" ht="15" customHeight="1" outlineLevel="1" thickBot="1">
      <c r="A45" s="746">
        <v>4</v>
      </c>
      <c r="B45" s="281"/>
      <c r="C45" s="281"/>
      <c r="D45" s="282" t="s">
        <v>72</v>
      </c>
      <c r="E45" s="283"/>
      <c r="F45" s="284"/>
      <c r="G45" s="281"/>
      <c r="H45" s="281"/>
      <c r="I45" s="281"/>
      <c r="J45" s="281"/>
      <c r="K45" s="284"/>
      <c r="L45" s="285">
        <f>SUM(L46:L47)</f>
        <v>147103.51</v>
      </c>
      <c r="M45" s="285">
        <f t="shared" ref="M45:O45" si="33">SUM(M46:M47)</f>
        <v>98220.55</v>
      </c>
      <c r="N45" s="285">
        <f>SUM(N46:N47)</f>
        <v>398600.49</v>
      </c>
      <c r="O45" s="285">
        <f t="shared" si="33"/>
        <v>123975.91999999998</v>
      </c>
      <c r="P45" s="656">
        <f>SUM(P46:P47)</f>
        <v>245324.06</v>
      </c>
      <c r="Q45" s="245"/>
    </row>
    <row r="46" spans="1:29" s="74" customFormat="1" ht="64.5" outlineLevel="1" thickBot="1">
      <c r="A46" s="749" t="s">
        <v>596</v>
      </c>
      <c r="B46" s="286" t="s">
        <v>74</v>
      </c>
      <c r="C46" s="286" t="s">
        <v>24</v>
      </c>
      <c r="D46" s="297" t="s">
        <v>75</v>
      </c>
      <c r="E46" s="288" t="s">
        <v>76</v>
      </c>
      <c r="F46" s="289">
        <f>SUMIF('OBRA 01 - SINTÉTICA'!$D$7:$D$50,'PLANILHA CONSOLIDADA'!D46,'OBRA 01 - SINTÉTICA'!$F$7:$F$50)</f>
        <v>1392.43</v>
      </c>
      <c r="G46" s="294">
        <f>SUMIF('OBRA 02 - SINTÉTICA'!$D$7:$D$50,'PLANILHA CONSOLIDADA'!D46,'OBRA 02 - SINTÉTICA'!$F$7:$F$50)</f>
        <v>885.87</v>
      </c>
      <c r="H46" s="294">
        <f>SUMIF('OBRA 03 - SINTÉTICA'!$D$7:$D$57,'PLANILHA CONSOLIDADA'!D46,'OBRA 03 - SINTÉTICA'!$F$7:$F$57)</f>
        <v>3595.0539999999996</v>
      </c>
      <c r="I46" s="294">
        <f>SUMIF('OBRA 04 - SINTÉTICA'!$D$7:$D$52,'PLANILHA CONSOLIDADA'!D46,'OBRA 04 - SINTÉTICA'!$F$7:$F$52)</f>
        <v>1362.0000000000002</v>
      </c>
      <c r="J46" s="295">
        <f>SUM(F46:G46)</f>
        <v>2278.3000000000002</v>
      </c>
      <c r="K46" s="296">
        <f>Q46</f>
        <v>60.489098463599994</v>
      </c>
      <c r="L46" s="289">
        <f>TRUNC(F46*K46,2)</f>
        <v>84226.83</v>
      </c>
      <c r="M46" s="289">
        <f>TRUNC(G46*K46,2)</f>
        <v>53585.47</v>
      </c>
      <c r="N46" s="289">
        <f>TRUNC(H46*K46,2)</f>
        <v>217461.57</v>
      </c>
      <c r="O46" s="289">
        <f>TRUNC(I46*K46,2)</f>
        <v>82386.149999999994</v>
      </c>
      <c r="P46" s="750">
        <f>SUM(L46:M46)</f>
        <v>137812.29999999999</v>
      </c>
      <c r="Q46" s="246">
        <f>'OBRA 01 - SINTÉTICA'!H39</f>
        <v>60.489098463599994</v>
      </c>
      <c r="R46" s="169">
        <f>SUM(L46:L47)</f>
        <v>147103.51</v>
      </c>
      <c r="S46" s="169">
        <f>SUM(M46:M47)</f>
        <v>98220.55</v>
      </c>
      <c r="X46" s="179" t="e">
        <f>#REF!+X23</f>
        <v>#REF!</v>
      </c>
      <c r="Y46" s="179" t="e">
        <f>#REF!+Y23</f>
        <v>#REF!</v>
      </c>
      <c r="Z46" s="179" t="e">
        <f>#REF!+Z23</f>
        <v>#REF!</v>
      </c>
      <c r="AA46" s="179" t="e">
        <f>#REF!+AA23</f>
        <v>#REF!</v>
      </c>
      <c r="AB46" s="179" t="e">
        <f>#REF!+AB23</f>
        <v>#REF!</v>
      </c>
      <c r="AC46" s="179" t="e">
        <f>#REF!+AC23</f>
        <v>#REF!</v>
      </c>
    </row>
    <row r="47" spans="1:29" s="74" customFormat="1" ht="42.6" customHeight="1" thickBot="1">
      <c r="A47" s="749" t="s">
        <v>597</v>
      </c>
      <c r="B47" s="286" t="s">
        <v>78</v>
      </c>
      <c r="C47" s="286" t="s">
        <v>24</v>
      </c>
      <c r="D47" s="297" t="s">
        <v>79</v>
      </c>
      <c r="E47" s="288" t="s">
        <v>76</v>
      </c>
      <c r="F47" s="289">
        <f>SUMIF('OBRA 01 - SINTÉTICA'!$D$7:$D$50,'PLANILHA CONSOLIDADA'!D47,'OBRA 01 - SINTÉTICA'!$F$7:$F$50)</f>
        <v>1247.9099999999999</v>
      </c>
      <c r="G47" s="294">
        <f>SUMIF('OBRA 02 - SINTÉTICA'!$D$7:$D$50,'PLANILHA CONSOLIDADA'!D47,'OBRA 02 - SINTÉTICA'!$F$7:$F$50)</f>
        <v>885.87</v>
      </c>
      <c r="H47" s="294">
        <f>SUMIF('OBRA 03 - SINTÉTICA'!$D$7:$D$57,'PLANILHA CONSOLIDADA'!D47,'OBRA 03 - SINTÉTICA'!$F$7:$F$57)</f>
        <v>3595.0539999999996</v>
      </c>
      <c r="I47" s="294">
        <f>SUMIF('OBRA 04 - SINTÉTICA'!$D$7:$D$52,'PLANILHA CONSOLIDADA'!D47,'OBRA 04 - SINTÉTICA'!$F$7:$F$52)</f>
        <v>825.43000000000006</v>
      </c>
      <c r="J47" s="295">
        <f>SUM(F47:G47)</f>
        <v>2133.7799999999997</v>
      </c>
      <c r="K47" s="296">
        <f>Q47</f>
        <v>50.385590916699996</v>
      </c>
      <c r="L47" s="289">
        <f>TRUNC(F47*K47,2)</f>
        <v>62876.68</v>
      </c>
      <c r="M47" s="289">
        <f>TRUNC(G47*K47,2)</f>
        <v>44635.08</v>
      </c>
      <c r="N47" s="289">
        <f>TRUNC(H47*K47,2)</f>
        <v>181138.92</v>
      </c>
      <c r="O47" s="289">
        <f>TRUNC(I47*K47,2)</f>
        <v>41589.769999999997</v>
      </c>
      <c r="P47" s="750">
        <f>SUM(L47:M47)</f>
        <v>107511.76000000001</v>
      </c>
      <c r="Q47" s="246">
        <f>'OBRA 01 - SINTÉTICA'!H40</f>
        <v>50.385590916699996</v>
      </c>
    </row>
    <row r="48" spans="1:29" s="74" customFormat="1" ht="15" customHeight="1" outlineLevel="1" thickBot="1">
      <c r="A48" s="746">
        <v>5</v>
      </c>
      <c r="B48" s="281"/>
      <c r="C48" s="281"/>
      <c r="D48" s="282" t="s">
        <v>81</v>
      </c>
      <c r="E48" s="283"/>
      <c r="F48" s="284"/>
      <c r="G48" s="281"/>
      <c r="H48" s="281"/>
      <c r="I48" s="281"/>
      <c r="J48" s="281"/>
      <c r="K48" s="284"/>
      <c r="L48" s="285">
        <f>SUM(L49:L53)</f>
        <v>160267.61000000002</v>
      </c>
      <c r="M48" s="285">
        <f>SUM(M49:M53)</f>
        <v>109844.35</v>
      </c>
      <c r="N48" s="285">
        <f>SUM(N49:N53)</f>
        <v>501695.23000000004</v>
      </c>
      <c r="O48" s="285">
        <f>SUM(O49:O53)</f>
        <v>138167.41999999998</v>
      </c>
      <c r="P48" s="656">
        <f>SUM(P49:P53)</f>
        <v>270111.96000000002</v>
      </c>
      <c r="Q48" s="245"/>
    </row>
    <row r="49" spans="1:29" s="74" customFormat="1" ht="39" outlineLevel="1" thickBot="1">
      <c r="A49" s="749" t="s">
        <v>529</v>
      </c>
      <c r="B49" s="286" t="s">
        <v>82</v>
      </c>
      <c r="C49" s="286" t="s">
        <v>24</v>
      </c>
      <c r="D49" s="297" t="s">
        <v>83</v>
      </c>
      <c r="E49" s="288" t="s">
        <v>21</v>
      </c>
      <c r="F49" s="289">
        <f>SUMIF('OBRA 01 - SINTÉTICA'!$D$7:$D$50,'PLANILHA CONSOLIDADA'!D49,'OBRA 01 - SINTÉTICA'!$F$7:$F$50)</f>
        <v>1522.08</v>
      </c>
      <c r="G49" s="294">
        <f>SUMIF('OBRA 02 - SINTÉTICA'!$D$7:$D$50,'PLANILHA CONSOLIDADA'!D49,'OBRA 02 - SINTÉTICA'!$F$7:$F$50)</f>
        <v>191.62</v>
      </c>
      <c r="H49" s="294">
        <f>SUMIF('OBRA 03 - SINTÉTICA'!$D$7:$D$57,'PLANILHA CONSOLIDADA'!D49,'OBRA 03 - SINTÉTICA'!$F$7:$F$57)</f>
        <v>4559.7273999999998</v>
      </c>
      <c r="I49" s="294">
        <f>SUMIF('OBRA 04 - SINTÉTICA'!$D$7:$D$52,'PLANILHA CONSOLIDADA'!D49,'OBRA 04 - SINTÉTICA'!$F$7:$F$52)</f>
        <v>170.57</v>
      </c>
      <c r="J49" s="295">
        <f>SUM(F49:G49)</f>
        <v>1713.6999999999998</v>
      </c>
      <c r="K49" s="313">
        <f>Q49</f>
        <v>98.644993758200002</v>
      </c>
      <c r="L49" s="289">
        <f>TRUNC(F49*K49,2)</f>
        <v>150145.57</v>
      </c>
      <c r="M49" s="289">
        <f>TRUNC(G49*K49,2)</f>
        <v>18902.349999999999</v>
      </c>
      <c r="N49" s="289">
        <f>TRUNC(H49*K49,2)</f>
        <v>449794.28</v>
      </c>
      <c r="O49" s="289">
        <f>TRUNC(I49*K49,2)</f>
        <v>16825.87</v>
      </c>
      <c r="P49" s="750">
        <f>SUM(L49:M49)</f>
        <v>169047.92</v>
      </c>
      <c r="Q49" s="246">
        <f>'OBRA 01 - SINTÉTICA'!H42</f>
        <v>98.644993758200002</v>
      </c>
      <c r="R49" s="169">
        <f>SUM(L49:L51)</f>
        <v>150145.57</v>
      </c>
      <c r="S49" s="169">
        <f>SUM(M49:M51)</f>
        <v>108570.06</v>
      </c>
      <c r="X49" s="179" t="e">
        <f>#REF!+X46</f>
        <v>#REF!</v>
      </c>
      <c r="Y49" s="179" t="e">
        <f>#REF!+Y46</f>
        <v>#REF!</v>
      </c>
      <c r="Z49" s="179" t="e">
        <f>#REF!+Z46</f>
        <v>#REF!</v>
      </c>
      <c r="AA49" s="179" t="e">
        <f>#REF!+AA46</f>
        <v>#REF!</v>
      </c>
      <c r="AB49" s="179" t="e">
        <f>#REF!+AB46</f>
        <v>#REF!</v>
      </c>
      <c r="AC49" s="179" t="e">
        <f>#REF!+AC46</f>
        <v>#REF!</v>
      </c>
    </row>
    <row r="50" spans="1:29" s="74" customFormat="1" ht="51.75" outlineLevel="1" thickBot="1">
      <c r="A50" s="749" t="s">
        <v>598</v>
      </c>
      <c r="B50" s="286" t="s">
        <v>422</v>
      </c>
      <c r="C50" s="286" t="s">
        <v>24</v>
      </c>
      <c r="D50" s="297" t="s">
        <v>423</v>
      </c>
      <c r="E50" s="288" t="s">
        <v>21</v>
      </c>
      <c r="F50" s="289">
        <f>SUMIF('OBRA 01 - SINTÉTICA'!$D$7:$D$50,'PLANILHA CONSOLIDADA'!D50,'OBRA 01 - SINTÉTICA'!$F$7:$F$50)</f>
        <v>0</v>
      </c>
      <c r="G50" s="294">
        <f>SUMIF('OBRA 02 - SINTÉTICA'!$D$7:$D$50,'PLANILHA CONSOLIDADA'!D50,'OBRA 02 - SINTÉTICA'!$F$7:$F$50)</f>
        <v>927.05</v>
      </c>
      <c r="H50" s="294">
        <f>SUMIF('OBRA 03 - SINTÉTICA'!$D$7:$D$57,'PLANILHA CONSOLIDADA'!D50,'OBRA 03 - SINTÉTICA'!$F$7:$F$57)</f>
        <v>0</v>
      </c>
      <c r="I50" s="294">
        <f>SUMIF('OBRA 04 - SINTÉTICA'!$D$7:$D$52,'PLANILHA CONSOLIDADA'!D50,'OBRA 04 - SINTÉTICA'!$F$7:$F$52)</f>
        <v>1242.79</v>
      </c>
      <c r="J50" s="295">
        <f t="shared" ref="J50:J53" si="34">SUM(F50:G50)</f>
        <v>927.05</v>
      </c>
      <c r="K50" s="313">
        <f>Q50</f>
        <v>96.723704668999986</v>
      </c>
      <c r="L50" s="289">
        <f>TRUNC(F50*K50,2)</f>
        <v>0</v>
      </c>
      <c r="M50" s="289">
        <f>TRUNC(G50*K50,2)</f>
        <v>89667.71</v>
      </c>
      <c r="N50" s="289">
        <f>TRUNC(H50*K50,2)</f>
        <v>0</v>
      </c>
      <c r="O50" s="289">
        <f>TRUNC(I50*K50,2)</f>
        <v>120207.25</v>
      </c>
      <c r="P50" s="750">
        <f t="shared" ref="P50:P53" si="35">SUM(L50:M50)</f>
        <v>89667.71</v>
      </c>
      <c r="Q50" s="246">
        <f>'OBRA 02 - SINTÉTICA'!H42</f>
        <v>96.723704668999986</v>
      </c>
    </row>
    <row r="51" spans="1:29" s="74" customFormat="1" ht="51.75" outlineLevel="1" thickBot="1">
      <c r="A51" s="749" t="s">
        <v>599</v>
      </c>
      <c r="B51" s="286" t="s">
        <v>472</v>
      </c>
      <c r="C51" s="286" t="s">
        <v>30</v>
      </c>
      <c r="D51" s="309" t="s">
        <v>644</v>
      </c>
      <c r="E51" s="288" t="s">
        <v>84</v>
      </c>
      <c r="F51" s="289">
        <f>SUMIF('OBRA 01 - SINTÉTICA'!$D$7:$D$50,'PLANILHA CONSOLIDADA'!D51,'OBRA 01 - SINTÉTICA'!$F$7:$F$50)</f>
        <v>0</v>
      </c>
      <c r="G51" s="294">
        <f>SUMIF('OBRA 02 - SINTÉTICA'!$D$7:$D$50,'PLANILHA CONSOLIDADA'!D51,'OBRA 02 - SINTÉTICA'!$F$7:$F$50)</f>
        <v>0</v>
      </c>
      <c r="H51" s="294">
        <f>SUMIF('OBRA 03 - SINTÉTICA'!$D$7:$D$57,'PLANILHA CONSOLIDADA'!D51,'OBRA 03 - SINTÉTICA'!$F$7:$F$57)</f>
        <v>43</v>
      </c>
      <c r="I51" s="294">
        <f>SUMIF('OBRA 04 - SINTÉTICA'!$D$7:$D$52,'PLANILHA CONSOLIDADA'!D51,'OBRA 04 - SINTÉTICA'!$F$7:$F$52)</f>
        <v>0</v>
      </c>
      <c r="J51" s="295">
        <f t="shared" si="34"/>
        <v>0</v>
      </c>
      <c r="K51" s="313">
        <f>Q51</f>
        <v>501.81694772000009</v>
      </c>
      <c r="L51" s="289">
        <f>TRUNC(F51*K51,2)</f>
        <v>0</v>
      </c>
      <c r="M51" s="289">
        <f>TRUNC(G51*K51,2)</f>
        <v>0</v>
      </c>
      <c r="N51" s="289">
        <f>TRUNC(H51*K51,2)</f>
        <v>21578.12</v>
      </c>
      <c r="O51" s="289">
        <f>TRUNC(I51*K51,2)</f>
        <v>0</v>
      </c>
      <c r="P51" s="750">
        <f t="shared" si="35"/>
        <v>0</v>
      </c>
      <c r="Q51" s="246">
        <f>'OBRA 03 - SINTÉTICA'!H46</f>
        <v>501.81694772000009</v>
      </c>
    </row>
    <row r="52" spans="1:29" s="74" customFormat="1" ht="77.25" outlineLevel="1" thickBot="1">
      <c r="A52" s="749" t="s">
        <v>600</v>
      </c>
      <c r="B52" s="314" t="s">
        <v>42</v>
      </c>
      <c r="C52" s="309" t="s">
        <v>24</v>
      </c>
      <c r="D52" s="309" t="s">
        <v>667</v>
      </c>
      <c r="E52" s="315" t="s">
        <v>28</v>
      </c>
      <c r="F52" s="289">
        <f>SUMIF('OBRA 01 - SINTÉTICA'!$D$7:$D$50,'PLANILHA CONSOLIDADA'!D52,'OBRA 01 - SINTÉTICA'!$F$7:$F$50)</f>
        <v>101.37052799999999</v>
      </c>
      <c r="G52" s="294">
        <f>SUMIF('OBRA 02 - SINTÉTICA'!$D$7:$D$50,'PLANILHA CONSOLIDADA'!D52,'OBRA 02 - SINTÉTICA'!$F$7:$F$50)</f>
        <v>12.761892000000001</v>
      </c>
      <c r="H52" s="294">
        <f>SUMIF('OBRA 03 - SINTÉTICA'!$D$7:$D$57,'PLANILHA CONSOLIDADA'!D52,'OBRA 03 - SINTÉTICA'!$F$7:$F$57)</f>
        <v>303.67784483999998</v>
      </c>
      <c r="I52" s="294">
        <f>SUMIF('OBRA 04 - SINTÉTICA'!$D$7:$D$52,'PLANILHA CONSOLIDADA'!D52,'OBRA 04 - SINTÉTICA'!$F$7:$F$52)</f>
        <v>11.359961999999999</v>
      </c>
      <c r="J52" s="295">
        <f t="shared" si="34"/>
        <v>114.13242</v>
      </c>
      <c r="K52" s="313">
        <f>Q52</f>
        <v>9.444493229399999</v>
      </c>
      <c r="L52" s="289">
        <f>TRUNC(F52*K52,2)</f>
        <v>957.39</v>
      </c>
      <c r="M52" s="289">
        <f>TRUNC(G52*K52,2)</f>
        <v>120.52</v>
      </c>
      <c r="N52" s="289">
        <f>TRUNC(H52*K52,2)</f>
        <v>2868.08</v>
      </c>
      <c r="O52" s="289">
        <f>TRUNC(I52*K52,2)</f>
        <v>107.28</v>
      </c>
      <c r="P52" s="750">
        <f t="shared" si="35"/>
        <v>1077.9100000000001</v>
      </c>
      <c r="Q52" s="246">
        <f>'OBRA 01 - SINTÉTICA'!H43</f>
        <v>9.444493229399999</v>
      </c>
    </row>
    <row r="53" spans="1:29" s="74" customFormat="1" ht="54.6" customHeight="1" thickBot="1">
      <c r="A53" s="749" t="s">
        <v>666</v>
      </c>
      <c r="B53" s="314" t="s">
        <v>56</v>
      </c>
      <c r="C53" s="309" t="s">
        <v>24</v>
      </c>
      <c r="D53" s="309" t="s">
        <v>653</v>
      </c>
      <c r="E53" s="288" t="s">
        <v>36</v>
      </c>
      <c r="F53" s="289">
        <f>SUMIF('OBRA 01 - SINTÉTICA'!$D$7:$D$50,'PLANILHA CONSOLIDADA'!D53,'OBRA 01 - SINTÉTICA'!$F$7:$F$50)</f>
        <v>3041.1158399999999</v>
      </c>
      <c r="G53" s="294">
        <f>SUMIF('OBRA 02 - SINTÉTICA'!$D$7:$D$50,'PLANILHA CONSOLIDADA'!D53,'OBRA 02 - SINTÉTICA'!$F$7:$F$50)</f>
        <v>382.85676000000007</v>
      </c>
      <c r="H53" s="294">
        <f>SUMIF('OBRA 03 - SINTÉTICA'!$D$7:$D$57,'PLANILHA CONSOLIDADA'!D53,'OBRA 03 - SINTÉTICA'!$F$7:$F$57)</f>
        <v>9110.3353451999992</v>
      </c>
      <c r="I53" s="294">
        <f>SUMIF('OBRA 04 - SINTÉTICA'!$D$7:$D$52,'PLANILHA CONSOLIDADA'!D53,'OBRA 04 - SINTÉTICA'!$F$7:$F$52)</f>
        <v>340.79885999999999</v>
      </c>
      <c r="J53" s="295">
        <f t="shared" si="34"/>
        <v>3423.9726000000001</v>
      </c>
      <c r="K53" s="313">
        <f>Q53</f>
        <v>3.0135828654000001</v>
      </c>
      <c r="L53" s="291">
        <f>TRUNC(F53*K53,2)</f>
        <v>9164.65</v>
      </c>
      <c r="M53" s="289">
        <f>TRUNC(G53*K53,2)</f>
        <v>1153.77</v>
      </c>
      <c r="N53" s="289">
        <f>TRUNC(H53*K53,2)</f>
        <v>27454.75</v>
      </c>
      <c r="O53" s="289">
        <f>TRUNC(I53*K53,2)</f>
        <v>1027.02</v>
      </c>
      <c r="P53" s="750">
        <f t="shared" si="35"/>
        <v>10318.42</v>
      </c>
      <c r="Q53" s="246">
        <f>'OBRA 01 - SINTÉTICA'!H44</f>
        <v>3.0135828654000001</v>
      </c>
    </row>
    <row r="54" spans="1:29" s="74" customFormat="1" ht="15" customHeight="1" outlineLevel="1" thickBot="1">
      <c r="A54" s="746">
        <v>6</v>
      </c>
      <c r="B54" s="281"/>
      <c r="C54" s="281"/>
      <c r="D54" s="282" t="s">
        <v>329</v>
      </c>
      <c r="E54" s="283"/>
      <c r="F54" s="284"/>
      <c r="G54" s="281"/>
      <c r="H54" s="281"/>
      <c r="I54" s="281"/>
      <c r="J54" s="281"/>
      <c r="K54" s="284"/>
      <c r="L54" s="285">
        <f t="shared" ref="L54:O54" si="36">SUM(L55)</f>
        <v>28359.13</v>
      </c>
      <c r="M54" s="285">
        <f t="shared" si="36"/>
        <v>20992.07</v>
      </c>
      <c r="N54" s="285">
        <f>SUM(N55)</f>
        <v>15995.28</v>
      </c>
      <c r="O54" s="285">
        <f t="shared" si="36"/>
        <v>29427.48</v>
      </c>
      <c r="P54" s="656">
        <f>SUM(P55)</f>
        <v>49351.199999999997</v>
      </c>
      <c r="Q54" s="245"/>
    </row>
    <row r="55" spans="1:29" s="74" customFormat="1" ht="67.900000000000006" customHeight="1" thickBot="1">
      <c r="A55" s="749" t="s">
        <v>375</v>
      </c>
      <c r="B55" s="286" t="s">
        <v>330</v>
      </c>
      <c r="C55" s="286" t="s">
        <v>24</v>
      </c>
      <c r="D55" s="297" t="s">
        <v>331</v>
      </c>
      <c r="E55" s="288" t="s">
        <v>76</v>
      </c>
      <c r="F55" s="289">
        <f>SUMIF('OBRA 01 - SINTÉTICA'!$D$7:$D$50,'PLANILHA CONSOLIDADA'!D55,'OBRA 01 - SINTÉTICA'!$F$7:$F$50)</f>
        <v>3670.0439999999999</v>
      </c>
      <c r="G55" s="294">
        <f>SUMIF('OBRA 02 - SINTÉTICA'!$D$7:$D$50,'PLANILHA CONSOLIDADA'!D55,'OBRA 02 - SINTÉTICA'!$F$7:$F$50)</f>
        <v>2716.65</v>
      </c>
      <c r="H55" s="294">
        <f>SUMIF('OBRA 03 - SINTÉTICA'!$D$7:$D$57,'PLANILHA CONSOLIDADA'!D55,'OBRA 03 - SINTÉTICA'!$F$7:$F$57)</f>
        <v>2070</v>
      </c>
      <c r="I55" s="294">
        <f>SUMIF('OBRA 04 - SINTÉTICA'!$D$7:$D$52,'PLANILHA CONSOLIDADA'!D55,'OBRA 04 - SINTÉTICA'!$F$7:$F$52)</f>
        <v>3808.3028571428567</v>
      </c>
      <c r="J55" s="295">
        <f>SUM(F55:G55)</f>
        <v>6386.6939999999995</v>
      </c>
      <c r="K55" s="296">
        <f>Q55</f>
        <v>7.7271922221000002</v>
      </c>
      <c r="L55" s="289">
        <f>TRUNC(F55*K55,2)</f>
        <v>28359.13</v>
      </c>
      <c r="M55" s="289">
        <f>TRUNC(G55*K55,2)</f>
        <v>20992.07</v>
      </c>
      <c r="N55" s="289">
        <f>TRUNC(H55*K55,2)</f>
        <v>15995.28</v>
      </c>
      <c r="O55" s="289">
        <f>TRUNC(I55*K55,2)</f>
        <v>29427.48</v>
      </c>
      <c r="P55" s="750">
        <f>SUM(L55:M55)</f>
        <v>49351.199999999997</v>
      </c>
      <c r="Q55" s="246">
        <f>'OBRA 01 - SINTÉTICA'!H46</f>
        <v>7.7271922221000002</v>
      </c>
      <c r="R55" s="169">
        <f>L55</f>
        <v>28359.13</v>
      </c>
      <c r="S55" s="169">
        <f>M55</f>
        <v>20992.07</v>
      </c>
      <c r="X55" s="179" t="e">
        <f>#REF!+X49</f>
        <v>#REF!</v>
      </c>
      <c r="Y55" s="179" t="e">
        <f>#REF!+Y49</f>
        <v>#REF!</v>
      </c>
      <c r="Z55" s="179" t="e">
        <f>#REF!+Z49</f>
        <v>#REF!</v>
      </c>
      <c r="AA55" s="179" t="e">
        <f>#REF!+AA49</f>
        <v>#REF!</v>
      </c>
      <c r="AB55" s="179" t="e">
        <f>#REF!+AB49</f>
        <v>#REF!</v>
      </c>
      <c r="AC55" s="179" t="e">
        <f>#REF!+AC49</f>
        <v>#REF!</v>
      </c>
    </row>
    <row r="56" spans="1:29" s="74" customFormat="1" ht="15" customHeight="1" outlineLevel="1" thickBot="1">
      <c r="A56" s="746">
        <v>8</v>
      </c>
      <c r="B56" s="281"/>
      <c r="C56" s="281"/>
      <c r="D56" s="282" t="s">
        <v>476</v>
      </c>
      <c r="E56" s="283"/>
      <c r="F56" s="284"/>
      <c r="G56" s="281"/>
      <c r="H56" s="281"/>
      <c r="I56" s="281"/>
      <c r="J56" s="281"/>
      <c r="K56" s="284"/>
      <c r="L56" s="285">
        <f t="shared" ref="L56:O56" si="37">SUM(L57:L58)</f>
        <v>0</v>
      </c>
      <c r="M56" s="285">
        <f t="shared" si="37"/>
        <v>0</v>
      </c>
      <c r="N56" s="285">
        <f>SUM(N57:N58)</f>
        <v>4713.5300000000007</v>
      </c>
      <c r="O56" s="285">
        <f t="shared" si="37"/>
        <v>0</v>
      </c>
      <c r="P56" s="656">
        <f>SUM(P57:P58)</f>
        <v>0</v>
      </c>
      <c r="Q56" s="245"/>
    </row>
    <row r="57" spans="1:29" s="74" customFormat="1" ht="26.25" outlineLevel="1" thickBot="1">
      <c r="A57" s="749" t="s">
        <v>601</v>
      </c>
      <c r="B57" s="286" t="s">
        <v>477</v>
      </c>
      <c r="C57" s="286" t="s">
        <v>24</v>
      </c>
      <c r="D57" s="311" t="s">
        <v>478</v>
      </c>
      <c r="E57" s="288" t="s">
        <v>21</v>
      </c>
      <c r="F57" s="289">
        <f>SUMIF('OBRA 01 - SINTÉTICA'!$D$7:$D$50,'PLANILHA CONSOLIDADA'!D57,'OBRA 01 - SINTÉTICA'!$F$7:$F$50)</f>
        <v>0</v>
      </c>
      <c r="G57" s="294">
        <f>SUMIF('OBRA 02 - SINTÉTICA'!$D$7:$D$50,'PLANILHA CONSOLIDADA'!D57,'OBRA 02 - SINTÉTICA'!$F$7:$F$50)</f>
        <v>0</v>
      </c>
      <c r="H57" s="294">
        <f>SUMIF('OBRA 03 - SINTÉTICA'!$D$7:$D$57,'PLANILHA CONSOLIDADA'!D57,'OBRA 03 - SINTÉTICA'!$F$7:$F$57)</f>
        <v>81.48</v>
      </c>
      <c r="I57" s="294">
        <f>SUMIF('OBRA 04 - SINTÉTICA'!$D$7:$D$52,'PLANILHA CONSOLIDADA'!D57,'OBRA 04 - SINTÉTICA'!$F$7:$F$52)</f>
        <v>0</v>
      </c>
      <c r="J57" s="295">
        <f>SUM(F57:G57)</f>
        <v>0</v>
      </c>
      <c r="K57" s="296">
        <f>Q57</f>
        <v>32.194606196700001</v>
      </c>
      <c r="L57" s="289">
        <f>TRUNC(F57*K57,2)</f>
        <v>0</v>
      </c>
      <c r="M57" s="289">
        <f>TRUNC(G57*K57,2)</f>
        <v>0</v>
      </c>
      <c r="N57" s="289">
        <f>TRUNC(H57*K57,2)</f>
        <v>2623.21</v>
      </c>
      <c r="O57" s="289">
        <f>TRUNC(I57*K57,2)</f>
        <v>0</v>
      </c>
      <c r="P57" s="750">
        <f>SUM(L57:M57)</f>
        <v>0</v>
      </c>
      <c r="Q57" s="246">
        <f>'OBRA 03 - SINTÉTICA'!H50</f>
        <v>32.194606196700001</v>
      </c>
      <c r="R57" s="169">
        <f>SUM(L57:L58)</f>
        <v>0</v>
      </c>
      <c r="S57" s="169">
        <f>SUM(M57:M58)</f>
        <v>0</v>
      </c>
      <c r="X57" s="180" t="e">
        <f>#REF!/R61</f>
        <v>#REF!</v>
      </c>
      <c r="Y57" s="180" t="e">
        <f>#REF!/S61</f>
        <v>#REF!</v>
      </c>
      <c r="Z57" s="180" t="e">
        <f>#REF!/#REF!</f>
        <v>#REF!</v>
      </c>
      <c r="AA57" s="180" t="e">
        <f>#REF!/#REF!</f>
        <v>#REF!</v>
      </c>
      <c r="AB57" s="180" t="e">
        <f>#REF!/#REF!</f>
        <v>#REF!</v>
      </c>
      <c r="AC57" s="180" t="e">
        <f>#REF!/#REF!</f>
        <v>#REF!</v>
      </c>
    </row>
    <row r="58" spans="1:29" s="74" customFormat="1" ht="30.6" customHeight="1" thickBot="1">
      <c r="A58" s="749" t="s">
        <v>741</v>
      </c>
      <c r="B58" s="286" t="s">
        <v>480</v>
      </c>
      <c r="C58" s="286" t="s">
        <v>24</v>
      </c>
      <c r="D58" s="311" t="s">
        <v>481</v>
      </c>
      <c r="E58" s="288" t="s">
        <v>21</v>
      </c>
      <c r="F58" s="289">
        <f>SUMIF('OBRA 01 - SINTÉTICA'!$D$7:$D$50,'PLANILHA CONSOLIDADA'!D58,'OBRA 01 - SINTÉTICA'!$F$7:$F$50)</f>
        <v>0</v>
      </c>
      <c r="G58" s="294">
        <f>SUMIF('OBRA 02 - SINTÉTICA'!$D$7:$D$50,'PLANILHA CONSOLIDADA'!D58,'OBRA 02 - SINTÉTICA'!$F$7:$F$50)</f>
        <v>0</v>
      </c>
      <c r="H58" s="294">
        <f>SUMIF('OBRA 03 - SINTÉTICA'!$D$7:$D$57,'PLANILHA CONSOLIDADA'!D58,'OBRA 03 - SINTÉTICA'!$F$7:$F$57)</f>
        <v>81.48</v>
      </c>
      <c r="I58" s="294">
        <f>SUMIF('OBRA 04 - SINTÉTICA'!$D$7:$D$52,'PLANILHA CONSOLIDADA'!D58,'OBRA 04 - SINTÉTICA'!$F$7:$F$52)</f>
        <v>0</v>
      </c>
      <c r="J58" s="295">
        <f>SUM(F58:G58)</f>
        <v>0</v>
      </c>
      <c r="K58" s="296">
        <f>Q58</f>
        <v>25.654500000000002</v>
      </c>
      <c r="L58" s="289">
        <f>TRUNC(F58*K58,2)</f>
        <v>0</v>
      </c>
      <c r="M58" s="289">
        <f>TRUNC(G58*K58,2)</f>
        <v>0</v>
      </c>
      <c r="N58" s="289">
        <f>TRUNC(H58*K58,2)</f>
        <v>2090.3200000000002</v>
      </c>
      <c r="O58" s="289">
        <f>TRUNC(I58*K58,2)</f>
        <v>0</v>
      </c>
      <c r="P58" s="750">
        <f>SUM(L58:M58)</f>
        <v>0</v>
      </c>
      <c r="Q58" s="246">
        <f>'OBRA 03 - SINTÉTICA'!H51</f>
        <v>25.654500000000002</v>
      </c>
      <c r="X58" s="179" t="e">
        <f t="shared" ref="X58:AC58" si="38">X57+X55</f>
        <v>#REF!</v>
      </c>
      <c r="Y58" s="179" t="e">
        <f t="shared" si="38"/>
        <v>#REF!</v>
      </c>
      <c r="Z58" s="179" t="e">
        <f t="shared" si="38"/>
        <v>#REF!</v>
      </c>
      <c r="AA58" s="179" t="e">
        <f t="shared" si="38"/>
        <v>#REF!</v>
      </c>
      <c r="AB58" s="179" t="e">
        <f t="shared" si="38"/>
        <v>#REF!</v>
      </c>
      <c r="AC58" s="179" t="e">
        <f t="shared" si="38"/>
        <v>#REF!</v>
      </c>
    </row>
    <row r="59" spans="1:29" s="74" customFormat="1" ht="15" customHeight="1" outlineLevel="1" thickBot="1">
      <c r="A59" s="746">
        <v>7</v>
      </c>
      <c r="B59" s="281"/>
      <c r="C59" s="281"/>
      <c r="D59" s="282" t="s">
        <v>87</v>
      </c>
      <c r="E59" s="283"/>
      <c r="F59" s="284"/>
      <c r="G59" s="281"/>
      <c r="H59" s="281"/>
      <c r="I59" s="281"/>
      <c r="J59" s="281"/>
      <c r="K59" s="284"/>
      <c r="L59" s="285">
        <f>SUM(L60)</f>
        <v>83805.91</v>
      </c>
      <c r="M59" s="285">
        <f>SUM(M60)</f>
        <v>98595.19</v>
      </c>
      <c r="N59" s="285">
        <f>SUM(N60)</f>
        <v>195957.95</v>
      </c>
      <c r="O59" s="285">
        <f>SUM(O60)</f>
        <v>89351.89</v>
      </c>
      <c r="P59" s="656">
        <f>SUM(P60)</f>
        <v>182401.1</v>
      </c>
      <c r="Q59" s="245"/>
    </row>
    <row r="60" spans="1:29" s="74" customFormat="1" ht="15" customHeight="1" thickBot="1">
      <c r="A60" s="749" t="s">
        <v>601</v>
      </c>
      <c r="B60" s="286" t="s">
        <v>88</v>
      </c>
      <c r="C60" s="286" t="s">
        <v>19</v>
      </c>
      <c r="D60" s="297" t="s">
        <v>89</v>
      </c>
      <c r="E60" s="288" t="s">
        <v>90</v>
      </c>
      <c r="F60" s="289">
        <f>SUMIF('OBRA 01 - SINTÉTICA'!$D$7:$D$50,'PLANILHA CONSOLIDADA'!D60,'OBRA 01 - SINTÉTICA'!$F$7:$F$50)</f>
        <v>1.36</v>
      </c>
      <c r="G60" s="294">
        <f>SUMIF('OBRA 02 - SINTÉTICA'!$D$7:$D$50,'PLANILHA CONSOLIDADA'!D60,'OBRA 02 - SINTÉTICA'!$F$7:$F$50)</f>
        <v>1.6</v>
      </c>
      <c r="H60" s="294">
        <f>SUMIF('OBRA 03 - SINTÉTICA'!$D$7:$D$57,'PLANILHA CONSOLIDADA'!D60,'OBRA 03 - SINTÉTICA'!$F$7:$F$57)</f>
        <v>3.18</v>
      </c>
      <c r="I60" s="294">
        <f>SUMIF('OBRA 04 - SINTÉTICA'!$D$7:$D$52,'PLANILHA CONSOLIDADA'!D60,'OBRA 04 - SINTÉTICA'!$F$7:$F$52)</f>
        <v>1.45</v>
      </c>
      <c r="J60" s="295">
        <f>SUM(F60:G60)</f>
        <v>2.96</v>
      </c>
      <c r="K60" s="312">
        <f>Q60</f>
        <v>61621.997029999991</v>
      </c>
      <c r="L60" s="289">
        <f>TRUNC(F60*K60,2)</f>
        <v>83805.91</v>
      </c>
      <c r="M60" s="289">
        <f>TRUNC(G60*K60,2)</f>
        <v>98595.19</v>
      </c>
      <c r="N60" s="289">
        <f>TRUNC(H60*K60,2)</f>
        <v>195957.95</v>
      </c>
      <c r="O60" s="289">
        <f>TRUNC(I60*K60,2)</f>
        <v>89351.89</v>
      </c>
      <c r="P60" s="750">
        <f>SUM(L60:M60)</f>
        <v>182401.1</v>
      </c>
      <c r="Q60" s="246">
        <f>'OBRA 01 - SINTÉTICA'!H48</f>
        <v>61621.997029999991</v>
      </c>
      <c r="R60" s="169">
        <f>L60</f>
        <v>83805.91</v>
      </c>
      <c r="S60" s="169">
        <f>M60</f>
        <v>98595.19</v>
      </c>
    </row>
    <row r="61" spans="1:29" ht="15" customHeight="1">
      <c r="A61" s="755"/>
      <c r="B61" s="756"/>
      <c r="C61" s="756"/>
      <c r="D61" s="757" t="s">
        <v>539</v>
      </c>
      <c r="E61" s="756"/>
      <c r="F61" s="756"/>
      <c r="G61" s="756"/>
      <c r="H61" s="756"/>
      <c r="I61" s="756"/>
      <c r="J61" s="756"/>
      <c r="K61" s="757"/>
      <c r="L61" s="758">
        <f>SUM(L4+L14+L20+L45+L48+L54+L56+L59)</f>
        <v>1406138.4299999997</v>
      </c>
      <c r="M61" s="758">
        <f>SUM(M4+M14+M20+M45+M48+M54+M56+M59)</f>
        <v>1813927.0463631826</v>
      </c>
      <c r="N61" s="758">
        <f>SUM(N4+N14+N20+N45+N48+N54+N56+N59)</f>
        <v>2672308.8191778911</v>
      </c>
      <c r="O61" s="758">
        <f>O59+O54+O48+O45+O20+O14+O4</f>
        <v>2136171.0300000003</v>
      </c>
      <c r="P61" s="759">
        <f>SUM(P4+P14+P20+P45+P48+P54+P56+P59)</f>
        <v>3220065.476363183</v>
      </c>
      <c r="Q61" s="245"/>
      <c r="R61" s="81">
        <f>SUM(R5:R60)</f>
        <v>3748492.6547950241</v>
      </c>
      <c r="S61" s="81">
        <f>SUM(S5:S60)</f>
        <v>3814781.7085616807</v>
      </c>
      <c r="T61" s="81" t="e">
        <f>S62+#REF!</f>
        <v>#REF!</v>
      </c>
      <c r="U61" s="81" t="e">
        <f>T61+#REF!</f>
        <v>#REF!</v>
      </c>
      <c r="V61" s="81" t="e">
        <f>U61+#REF!</f>
        <v>#REF!</v>
      </c>
    </row>
    <row r="62" spans="1:29">
      <c r="L62" s="760"/>
      <c r="R62" s="81">
        <f>R61</f>
        <v>3748492.6547950241</v>
      </c>
      <c r="S62" s="81">
        <f>R62+S61</f>
        <v>7563274.3633567048</v>
      </c>
    </row>
    <row r="65" spans="18:29">
      <c r="T65" s="177">
        <v>2446387.75306594</v>
      </c>
      <c r="U65" s="177">
        <v>1998295.5821787962</v>
      </c>
      <c r="V65" s="177">
        <v>1487289.06115719</v>
      </c>
      <c r="W65" s="177">
        <v>8285687.3939912254</v>
      </c>
      <c r="X65" s="178" t="e">
        <f>SUM(#REF!+X57+#REF!+#REF!+#REF!+X22+X16+X6)</f>
        <v>#REF!</v>
      </c>
      <c r="Y65" s="178" t="e">
        <f>SUM(#REF!+Y57+#REF!+#REF!+#REF!+Y22+Y16+Y6)</f>
        <v>#REF!</v>
      </c>
      <c r="Z65" s="178" t="e">
        <f>SUM(#REF!+Z57+#REF!+#REF!+#REF!+Z22+Z16+Z6)</f>
        <v>#REF!</v>
      </c>
      <c r="AA65" s="178" t="e">
        <f>SUM(#REF!+AA57+#REF!+#REF!+#REF!+AA22+AA16+AA6)</f>
        <v>#REF!</v>
      </c>
      <c r="AB65" s="178" t="e">
        <f>SUM(#REF!+AB57+#REF!+#REF!+#REF!+AB22+AB16+AB6)</f>
        <v>#REF!</v>
      </c>
      <c r="AC65" s="178" t="e">
        <f>SUM(#REF!+AC57+#REF!+#REF!+#REF!+AC22+AC16+AC6)</f>
        <v>#REF!</v>
      </c>
    </row>
    <row r="66" spans="18:29">
      <c r="R66" s="177">
        <v>1487567.8450032989</v>
      </c>
      <c r="S66" s="177">
        <v>866147.15258600004</v>
      </c>
      <c r="T66" s="177">
        <v>4800102.7506552394</v>
      </c>
      <c r="U66" s="177">
        <v>6798398.3328340352</v>
      </c>
      <c r="V66" s="177">
        <v>8285687.3939912254</v>
      </c>
      <c r="W66" s="177"/>
    </row>
    <row r="67" spans="18:29">
      <c r="R67" s="177">
        <v>1487567.8450032989</v>
      </c>
      <c r="S67" s="177">
        <v>2353714.997589299</v>
      </c>
    </row>
  </sheetData>
  <mergeCells count="11">
    <mergeCell ref="O1:P1"/>
    <mergeCell ref="A2:A3"/>
    <mergeCell ref="F2:I2"/>
    <mergeCell ref="J2:J3"/>
    <mergeCell ref="L2:O2"/>
    <mergeCell ref="B2:B3"/>
    <mergeCell ref="C2:C3"/>
    <mergeCell ref="D2:D3"/>
    <mergeCell ref="E2:E3"/>
    <mergeCell ref="K2:K3"/>
    <mergeCell ref="D1:L1"/>
  </mergeCells>
  <phoneticPr fontId="18" type="noConversion"/>
  <conditionalFormatting sqref="B61:K61">
    <cfRule type="duplicateValues" dxfId="86" priority="14"/>
  </conditionalFormatting>
  <conditionalFormatting sqref="D30">
    <cfRule type="duplicateValues" dxfId="85" priority="1"/>
  </conditionalFormatting>
  <conditionalFormatting sqref="D31:D60 D2 D4:D29">
    <cfRule type="duplicateValues" dxfId="84" priority="35"/>
  </conditionalFormatting>
  <pageMargins left="0.511811024" right="0.511811024" top="0.78740157499999996" bottom="0.78740157499999996" header="0.31496062000000002" footer="0.31496062000000002"/>
  <pageSetup paperSize="9" scale="78" fitToHeight="0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36"/>
  <sheetViews>
    <sheetView zoomScale="80" zoomScaleNormal="80" workbookViewId="0">
      <pane xSplit="9" ySplit="6" topLeftCell="J7" activePane="bottomRight" state="frozen"/>
      <selection pane="topRight" activeCell="J1" sqref="J1"/>
      <selection pane="bottomLeft" activeCell="A6" sqref="A6"/>
      <selection pane="bottomRight" activeCell="V35" sqref="A1:Y35"/>
    </sheetView>
  </sheetViews>
  <sheetFormatPr defaultRowHeight="14.25"/>
  <cols>
    <col min="2" max="2" width="25.5" bestFit="1" customWidth="1"/>
    <col min="3" max="6" width="25.5" hidden="1" customWidth="1"/>
    <col min="7" max="7" width="18.75" customWidth="1"/>
    <col min="8" max="8" width="16.375" bestFit="1" customWidth="1"/>
    <col min="9" max="9" width="0" hidden="1" customWidth="1"/>
    <col min="25" max="25" width="7.75" bestFit="1" customWidth="1"/>
    <col min="26" max="50" width="7.75" hidden="1" customWidth="1"/>
    <col min="51" max="51" width="8.75" hidden="1" customWidth="1"/>
    <col min="52" max="55" width="8.75" style="332" hidden="1" customWidth="1"/>
    <col min="56" max="59" width="8.75" hidden="1" customWidth="1"/>
    <col min="60" max="63" width="8.75" style="332" hidden="1" customWidth="1"/>
    <col min="64" max="67" width="8.75" hidden="1" customWidth="1"/>
    <col min="68" max="71" width="8.75" style="332" hidden="1" customWidth="1"/>
    <col min="72" max="75" width="8.75" hidden="1" customWidth="1"/>
    <col min="76" max="79" width="8.75" style="332" hidden="1" customWidth="1"/>
    <col min="80" max="83" width="8.75" hidden="1" customWidth="1"/>
    <col min="84" max="87" width="8.75" style="332" hidden="1" customWidth="1"/>
    <col min="88" max="91" width="8.75" hidden="1" customWidth="1"/>
  </cols>
  <sheetData>
    <row r="1" spans="1:91" ht="75" customHeight="1" thickBot="1">
      <c r="A1" s="964"/>
      <c r="B1" s="964"/>
      <c r="G1" s="780"/>
      <c r="H1" s="780"/>
      <c r="I1" s="780"/>
      <c r="J1" s="860" t="s">
        <v>777</v>
      </c>
      <c r="K1" s="860"/>
      <c r="L1" s="860"/>
      <c r="M1" s="860"/>
      <c r="N1" s="860"/>
      <c r="O1" s="860"/>
      <c r="P1" s="860"/>
      <c r="Q1" s="860"/>
      <c r="R1" s="860"/>
      <c r="S1" s="860"/>
      <c r="T1" s="860"/>
      <c r="U1" s="860"/>
      <c r="V1" s="860"/>
    </row>
    <row r="2" spans="1:91" ht="15.75" thickBot="1">
      <c r="A2" s="336"/>
      <c r="B2" s="336"/>
      <c r="C2" s="336"/>
      <c r="D2" s="336"/>
      <c r="E2" s="336"/>
      <c r="F2" s="336"/>
      <c r="G2" s="336"/>
      <c r="H2" s="336"/>
      <c r="I2" s="336"/>
      <c r="J2" s="861" t="s">
        <v>780</v>
      </c>
      <c r="K2" s="862"/>
      <c r="L2" s="862"/>
      <c r="M2" s="862"/>
      <c r="N2" s="862"/>
      <c r="O2" s="862"/>
      <c r="P2" s="862"/>
      <c r="Q2" s="863"/>
      <c r="R2" s="861" t="s">
        <v>781</v>
      </c>
      <c r="S2" s="862"/>
      <c r="T2" s="862"/>
      <c r="U2" s="862"/>
      <c r="V2" s="862"/>
      <c r="W2" s="862"/>
      <c r="X2" s="862"/>
      <c r="Y2" s="863"/>
      <c r="Z2" s="347"/>
      <c r="AA2" s="347"/>
      <c r="AB2" s="347"/>
      <c r="AC2" s="347"/>
      <c r="AD2" s="347"/>
      <c r="AE2" s="347"/>
      <c r="AF2" s="347"/>
      <c r="AG2" s="347"/>
      <c r="AH2" s="347"/>
      <c r="AI2" s="347"/>
      <c r="AJ2" s="347"/>
      <c r="AK2" s="347"/>
      <c r="AL2" s="347"/>
      <c r="AM2" s="347"/>
      <c r="AN2" s="347"/>
      <c r="AO2" s="347"/>
      <c r="AP2" s="347"/>
      <c r="AQ2" s="347"/>
      <c r="AR2" s="347"/>
      <c r="AS2" s="347"/>
      <c r="AT2" s="347"/>
      <c r="AU2" s="347"/>
      <c r="AV2" s="347"/>
      <c r="AW2" s="347"/>
      <c r="AX2" s="347"/>
      <c r="AY2" s="345"/>
      <c r="AZ2" s="346"/>
      <c r="BA2" s="346"/>
      <c r="BB2" s="346"/>
      <c r="BC2" s="346"/>
      <c r="BD2" s="345"/>
      <c r="BE2" s="345"/>
      <c r="BF2" s="345"/>
      <c r="BG2" s="345"/>
      <c r="BH2" s="346"/>
      <c r="BI2" s="346"/>
    </row>
    <row r="3" spans="1:91" ht="15.75" thickBot="1">
      <c r="A3" s="336"/>
      <c r="B3" s="336"/>
      <c r="C3" s="336"/>
      <c r="D3" s="336"/>
      <c r="E3" s="336"/>
      <c r="F3" s="336"/>
      <c r="G3" s="336"/>
      <c r="H3" s="336"/>
      <c r="I3" s="336"/>
      <c r="J3" s="864"/>
      <c r="K3" s="865"/>
      <c r="L3" s="865"/>
      <c r="M3" s="865"/>
      <c r="N3" s="865"/>
      <c r="O3" s="865"/>
      <c r="P3" s="865"/>
      <c r="Q3" s="866"/>
      <c r="R3" s="864"/>
      <c r="S3" s="865"/>
      <c r="T3" s="865"/>
      <c r="U3" s="865"/>
      <c r="V3" s="865"/>
      <c r="W3" s="865"/>
      <c r="X3" s="865"/>
      <c r="Y3" s="866"/>
      <c r="Z3" s="347"/>
      <c r="AA3" s="347"/>
      <c r="AB3" s="347"/>
      <c r="AC3" s="347"/>
      <c r="AD3" s="347"/>
      <c r="AE3" s="347"/>
      <c r="AF3" s="347"/>
      <c r="AG3" s="347"/>
      <c r="AH3" s="347"/>
      <c r="AI3" s="347"/>
      <c r="AJ3" s="347"/>
      <c r="AK3" s="347"/>
      <c r="AL3" s="347"/>
      <c r="AM3" s="347"/>
      <c r="AN3" s="347"/>
      <c r="AO3" s="347"/>
      <c r="AP3" s="347"/>
      <c r="AQ3" s="347"/>
      <c r="AR3" s="347"/>
      <c r="AS3" s="347"/>
      <c r="AT3" s="347"/>
      <c r="AU3" s="347"/>
      <c r="AV3" s="347"/>
      <c r="AW3" s="347"/>
      <c r="AX3" s="347"/>
      <c r="AY3" s="345"/>
      <c r="AZ3" s="346"/>
      <c r="BA3" s="346"/>
      <c r="BB3" s="346"/>
      <c r="BC3" s="346"/>
      <c r="BD3" s="345"/>
      <c r="BE3" s="345"/>
      <c r="BF3" s="345"/>
      <c r="BG3" s="345"/>
      <c r="BH3" s="346"/>
      <c r="BI3" s="346"/>
    </row>
    <row r="4" spans="1:91" ht="15.75" thickBot="1">
      <c r="A4" s="872" t="s">
        <v>547</v>
      </c>
      <c r="B4" s="873" t="s">
        <v>690</v>
      </c>
      <c r="C4" s="316"/>
      <c r="D4" s="316"/>
      <c r="E4" s="316"/>
      <c r="F4" s="316"/>
      <c r="G4" s="316" t="s">
        <v>686</v>
      </c>
      <c r="H4" s="316" t="s">
        <v>697</v>
      </c>
      <c r="I4" s="335"/>
      <c r="J4" s="883" t="s">
        <v>714</v>
      </c>
      <c r="K4" s="884"/>
      <c r="L4" s="884"/>
      <c r="M4" s="884"/>
      <c r="N4" s="884"/>
      <c r="O4" s="884"/>
      <c r="P4" s="884"/>
      <c r="Q4" s="885"/>
      <c r="R4" s="968" t="s">
        <v>715</v>
      </c>
      <c r="S4" s="969"/>
      <c r="T4" s="969"/>
      <c r="U4" s="969"/>
      <c r="V4" s="969"/>
      <c r="W4" s="969"/>
      <c r="X4" s="969"/>
      <c r="Y4" s="970"/>
      <c r="Z4" s="965" t="s">
        <v>716</v>
      </c>
      <c r="AA4" s="966"/>
      <c r="AB4" s="966"/>
      <c r="AC4" s="966"/>
      <c r="AD4" s="966"/>
      <c r="AE4" s="966"/>
      <c r="AF4" s="966"/>
      <c r="AG4" s="966"/>
      <c r="AH4" s="966"/>
      <c r="AI4" s="966"/>
      <c r="AJ4" s="966"/>
      <c r="AK4" s="966"/>
      <c r="AL4" s="966"/>
      <c r="AM4" s="966"/>
      <c r="AN4" s="966"/>
      <c r="AO4" s="967"/>
      <c r="AP4" s="968" t="s">
        <v>717</v>
      </c>
      <c r="AQ4" s="969"/>
      <c r="AR4" s="969"/>
      <c r="AS4" s="969"/>
      <c r="AT4" s="969"/>
      <c r="AU4" s="969"/>
      <c r="AV4" s="969"/>
      <c r="AW4" s="970"/>
      <c r="AX4" s="347"/>
      <c r="AY4" s="345"/>
      <c r="AZ4" s="346"/>
      <c r="BA4" s="346"/>
      <c r="BB4" s="346"/>
      <c r="BC4" s="346"/>
      <c r="BD4" s="345"/>
      <c r="BE4" s="345"/>
      <c r="BF4" s="345"/>
      <c r="BG4" s="345"/>
      <c r="BH4" s="346"/>
      <c r="BI4" s="346"/>
    </row>
    <row r="5" spans="1:91" ht="15.75" thickBot="1">
      <c r="A5" s="872"/>
      <c r="B5" s="873"/>
      <c r="C5" s="316"/>
      <c r="D5" s="316"/>
      <c r="E5" s="316"/>
      <c r="F5" s="316"/>
      <c r="G5" s="316"/>
      <c r="H5" s="316"/>
      <c r="I5" s="335"/>
      <c r="J5" s="874" t="s">
        <v>703</v>
      </c>
      <c r="K5" s="875"/>
      <c r="L5" s="875"/>
      <c r="M5" s="876"/>
      <c r="N5" s="877" t="s">
        <v>704</v>
      </c>
      <c r="O5" s="875"/>
      <c r="P5" s="875"/>
      <c r="Q5" s="875"/>
      <c r="R5" s="878" t="s">
        <v>705</v>
      </c>
      <c r="S5" s="879"/>
      <c r="T5" s="879"/>
      <c r="U5" s="880"/>
      <c r="V5" s="881" t="s">
        <v>706</v>
      </c>
      <c r="W5" s="879"/>
      <c r="X5" s="879"/>
      <c r="Y5" s="882"/>
      <c r="Z5" s="972" t="s">
        <v>713</v>
      </c>
      <c r="AA5" s="973"/>
      <c r="AB5" s="973"/>
      <c r="AC5" s="974"/>
      <c r="AD5" s="975" t="s">
        <v>707</v>
      </c>
      <c r="AE5" s="973"/>
      <c r="AF5" s="973"/>
      <c r="AG5" s="974"/>
      <c r="AH5" s="975" t="s">
        <v>708</v>
      </c>
      <c r="AI5" s="973"/>
      <c r="AJ5" s="973"/>
      <c r="AK5" s="974"/>
      <c r="AL5" s="975" t="s">
        <v>709</v>
      </c>
      <c r="AM5" s="973"/>
      <c r="AN5" s="973"/>
      <c r="AO5" s="976"/>
      <c r="AP5" s="878" t="s">
        <v>710</v>
      </c>
      <c r="AQ5" s="879"/>
      <c r="AR5" s="879"/>
      <c r="AS5" s="880"/>
      <c r="AT5" s="881" t="s">
        <v>711</v>
      </c>
      <c r="AU5" s="879"/>
      <c r="AV5" s="879"/>
      <c r="AW5" s="882"/>
      <c r="AX5" s="347"/>
      <c r="AY5" s="345"/>
      <c r="AZ5" s="346"/>
      <c r="BA5" s="346"/>
      <c r="BB5" s="346"/>
      <c r="BC5" s="346"/>
      <c r="BD5" s="345"/>
      <c r="BE5" s="345"/>
      <c r="BF5" s="345"/>
      <c r="BG5" s="345"/>
      <c r="BH5" s="346"/>
      <c r="BI5" s="346"/>
    </row>
    <row r="6" spans="1:91" ht="15.75" thickBot="1">
      <c r="A6" s="872"/>
      <c r="B6" s="873"/>
      <c r="C6" s="316"/>
      <c r="D6" s="316"/>
      <c r="E6" s="316"/>
      <c r="F6" s="316"/>
      <c r="G6" s="316" t="s">
        <v>687</v>
      </c>
      <c r="H6" s="316" t="s">
        <v>681</v>
      </c>
      <c r="I6" s="335"/>
      <c r="J6" s="356" t="s">
        <v>699</v>
      </c>
      <c r="K6" s="355" t="s">
        <v>700</v>
      </c>
      <c r="L6" s="355" t="s">
        <v>701</v>
      </c>
      <c r="M6" s="355" t="s">
        <v>702</v>
      </c>
      <c r="N6" s="355" t="s">
        <v>699</v>
      </c>
      <c r="O6" s="355" t="s">
        <v>700</v>
      </c>
      <c r="P6" s="355" t="s">
        <v>701</v>
      </c>
      <c r="Q6" s="366" t="s">
        <v>702</v>
      </c>
      <c r="R6" s="367" t="s">
        <v>699</v>
      </c>
      <c r="S6" s="361" t="s">
        <v>700</v>
      </c>
      <c r="T6" s="361" t="s">
        <v>701</v>
      </c>
      <c r="U6" s="361" t="s">
        <v>702</v>
      </c>
      <c r="V6" s="361" t="s">
        <v>699</v>
      </c>
      <c r="W6" s="361" t="s">
        <v>700</v>
      </c>
      <c r="X6" s="361" t="s">
        <v>701</v>
      </c>
      <c r="Y6" s="368" t="s">
        <v>702</v>
      </c>
      <c r="Z6" s="364" t="s">
        <v>699</v>
      </c>
      <c r="AA6" s="362" t="s">
        <v>700</v>
      </c>
      <c r="AB6" s="362" t="s">
        <v>701</v>
      </c>
      <c r="AC6" s="362" t="s">
        <v>702</v>
      </c>
      <c r="AD6" s="362" t="s">
        <v>699</v>
      </c>
      <c r="AE6" s="362" t="s">
        <v>700</v>
      </c>
      <c r="AF6" s="362" t="s">
        <v>701</v>
      </c>
      <c r="AG6" s="362" t="s">
        <v>702</v>
      </c>
      <c r="AH6" s="362" t="s">
        <v>699</v>
      </c>
      <c r="AI6" s="362" t="s">
        <v>700</v>
      </c>
      <c r="AJ6" s="362" t="s">
        <v>701</v>
      </c>
      <c r="AK6" s="362" t="s">
        <v>702</v>
      </c>
      <c r="AL6" s="362" t="s">
        <v>699</v>
      </c>
      <c r="AM6" s="362" t="s">
        <v>700</v>
      </c>
      <c r="AN6" s="362" t="s">
        <v>701</v>
      </c>
      <c r="AO6" s="365" t="s">
        <v>702</v>
      </c>
      <c r="AP6" s="367" t="s">
        <v>699</v>
      </c>
      <c r="AQ6" s="361" t="s">
        <v>700</v>
      </c>
      <c r="AR6" s="361" t="s">
        <v>701</v>
      </c>
      <c r="AS6" s="361" t="s">
        <v>702</v>
      </c>
      <c r="AT6" s="361" t="s">
        <v>699</v>
      </c>
      <c r="AU6" s="361" t="s">
        <v>700</v>
      </c>
      <c r="AV6" s="361" t="s">
        <v>701</v>
      </c>
      <c r="AW6" s="368" t="s">
        <v>702</v>
      </c>
      <c r="AX6" s="348"/>
      <c r="AY6" s="345" t="s">
        <v>712</v>
      </c>
      <c r="AZ6" s="346">
        <v>1</v>
      </c>
      <c r="BA6" s="346">
        <v>2</v>
      </c>
      <c r="BB6" s="346">
        <v>3</v>
      </c>
      <c r="BC6" s="346">
        <v>4</v>
      </c>
      <c r="BD6" s="345">
        <v>5</v>
      </c>
      <c r="BE6" s="345">
        <v>6</v>
      </c>
      <c r="BF6" s="345">
        <v>7</v>
      </c>
      <c r="BG6" s="345">
        <v>8</v>
      </c>
      <c r="BH6" s="346">
        <v>9</v>
      </c>
      <c r="BI6" s="346">
        <v>10</v>
      </c>
      <c r="BJ6" s="346">
        <v>11</v>
      </c>
      <c r="BK6" s="346">
        <v>12</v>
      </c>
      <c r="BL6" s="345">
        <v>13</v>
      </c>
      <c r="BM6" s="345">
        <v>14</v>
      </c>
      <c r="BN6" s="346">
        <v>15</v>
      </c>
      <c r="BO6" s="345">
        <v>16</v>
      </c>
      <c r="BP6" s="346">
        <v>17</v>
      </c>
      <c r="BQ6" s="346">
        <v>18</v>
      </c>
      <c r="BR6" s="346">
        <v>19</v>
      </c>
      <c r="BS6" s="346">
        <v>20</v>
      </c>
      <c r="BT6" s="346">
        <v>21</v>
      </c>
      <c r="BU6" s="345">
        <v>22</v>
      </c>
      <c r="BV6" s="345">
        <v>23</v>
      </c>
      <c r="BW6" s="346">
        <v>24</v>
      </c>
      <c r="BX6" s="346">
        <v>25</v>
      </c>
      <c r="BY6" s="346">
        <v>26</v>
      </c>
      <c r="BZ6" s="346">
        <v>27</v>
      </c>
      <c r="CA6" s="346">
        <v>28</v>
      </c>
      <c r="CB6" s="345">
        <v>29</v>
      </c>
      <c r="CC6" s="346">
        <v>30</v>
      </c>
      <c r="CD6" s="345">
        <v>31</v>
      </c>
      <c r="CE6" s="345">
        <v>32</v>
      </c>
      <c r="CF6" s="346">
        <v>33</v>
      </c>
      <c r="CG6" s="346">
        <v>34</v>
      </c>
      <c r="CH6" s="346">
        <v>35</v>
      </c>
      <c r="CI6" s="346">
        <v>36</v>
      </c>
      <c r="CJ6" s="345">
        <v>37</v>
      </c>
      <c r="CK6" s="345">
        <v>38</v>
      </c>
      <c r="CL6" s="346">
        <v>39</v>
      </c>
      <c r="CM6" s="345">
        <v>40</v>
      </c>
    </row>
    <row r="7" spans="1:91" ht="15.75" thickBot="1">
      <c r="A7" s="897">
        <v>1</v>
      </c>
      <c r="B7" s="898" t="s">
        <v>17</v>
      </c>
      <c r="C7" s="906">
        <f>'PLANILHA CONSOLIDADA'!L4</f>
        <v>126807.04999999999</v>
      </c>
      <c r="D7" s="906">
        <f>'PLANILHA CONSOLIDADA'!M4</f>
        <v>11862.826363182503</v>
      </c>
      <c r="E7" s="906">
        <f>'PLANILHA CONSOLIDADA'!N4</f>
        <v>287800.69917789142</v>
      </c>
      <c r="F7" s="906">
        <f>'PLANILHA CONSOLIDADA'!O4</f>
        <v>39667.69</v>
      </c>
      <c r="G7" s="899">
        <f>SUM(C7:D7)</f>
        <v>138669.8763631825</v>
      </c>
      <c r="H7" s="901">
        <f>G7/$G$31</f>
        <v>4.3064303313421912E-2</v>
      </c>
      <c r="I7" s="903">
        <f>H7</f>
        <v>4.3064303313421912E-2</v>
      </c>
      <c r="J7" s="357">
        <f>AZ7</f>
        <v>4</v>
      </c>
      <c r="K7" s="342">
        <f t="shared" ref="K7:AW7" si="0">BA7</f>
        <v>0</v>
      </c>
      <c r="L7" s="342">
        <f t="shared" si="0"/>
        <v>0</v>
      </c>
      <c r="M7" s="342">
        <f t="shared" si="0"/>
        <v>0</v>
      </c>
      <c r="N7" s="342">
        <f t="shared" si="0"/>
        <v>0</v>
      </c>
      <c r="O7" s="342">
        <f t="shared" si="0"/>
        <v>0</v>
      </c>
      <c r="P7" s="342">
        <f t="shared" si="0"/>
        <v>0</v>
      </c>
      <c r="Q7" s="363">
        <f t="shared" si="0"/>
        <v>0</v>
      </c>
      <c r="R7" s="357">
        <f t="shared" si="0"/>
        <v>4</v>
      </c>
      <c r="S7" s="342">
        <f t="shared" si="0"/>
        <v>0</v>
      </c>
      <c r="T7" s="342">
        <f t="shared" si="0"/>
        <v>0</v>
      </c>
      <c r="U7" s="342">
        <f t="shared" si="0"/>
        <v>0</v>
      </c>
      <c r="V7" s="342">
        <f t="shared" si="0"/>
        <v>0</v>
      </c>
      <c r="W7" s="342">
        <f t="shared" si="0"/>
        <v>0</v>
      </c>
      <c r="X7" s="342">
        <f t="shared" si="0"/>
        <v>0</v>
      </c>
      <c r="Y7" s="358">
        <f t="shared" si="0"/>
        <v>0</v>
      </c>
      <c r="Z7" s="357">
        <f t="shared" si="0"/>
        <v>1</v>
      </c>
      <c r="AA7" s="342">
        <f t="shared" si="0"/>
        <v>1</v>
      </c>
      <c r="AB7" s="342">
        <f t="shared" si="0"/>
        <v>1</v>
      </c>
      <c r="AC7" s="342">
        <f t="shared" si="0"/>
        <v>1</v>
      </c>
      <c r="AD7" s="342">
        <f t="shared" si="0"/>
        <v>1</v>
      </c>
      <c r="AE7" s="342">
        <f t="shared" si="0"/>
        <v>1</v>
      </c>
      <c r="AF7" s="342">
        <f t="shared" si="0"/>
        <v>1</v>
      </c>
      <c r="AG7" s="342">
        <f t="shared" si="0"/>
        <v>1</v>
      </c>
      <c r="AH7" s="342">
        <f t="shared" si="0"/>
        <v>2</v>
      </c>
      <c r="AI7" s="342">
        <f t="shared" si="0"/>
        <v>2</v>
      </c>
      <c r="AJ7" s="342">
        <f t="shared" si="0"/>
        <v>0</v>
      </c>
      <c r="AK7" s="342">
        <f t="shared" si="0"/>
        <v>0</v>
      </c>
      <c r="AL7" s="342">
        <f t="shared" si="0"/>
        <v>0</v>
      </c>
      <c r="AM7" s="342">
        <f t="shared" si="0"/>
        <v>0</v>
      </c>
      <c r="AN7" s="342">
        <f t="shared" si="0"/>
        <v>0</v>
      </c>
      <c r="AO7" s="358">
        <f t="shared" si="0"/>
        <v>0</v>
      </c>
      <c r="AP7" s="357">
        <f t="shared" si="0"/>
        <v>4</v>
      </c>
      <c r="AQ7" s="342">
        <f t="shared" si="0"/>
        <v>0</v>
      </c>
      <c r="AR7" s="342">
        <f t="shared" si="0"/>
        <v>0</v>
      </c>
      <c r="AS7" s="342">
        <f t="shared" si="0"/>
        <v>0</v>
      </c>
      <c r="AT7" s="342">
        <f t="shared" si="0"/>
        <v>0</v>
      </c>
      <c r="AU7" s="342">
        <f t="shared" si="0"/>
        <v>0</v>
      </c>
      <c r="AV7" s="342">
        <f t="shared" si="0"/>
        <v>0</v>
      </c>
      <c r="AW7" s="358">
        <f t="shared" si="0"/>
        <v>0</v>
      </c>
      <c r="AX7" s="349"/>
      <c r="AY7" s="345">
        <f>SUM(AZ7:CM7)</f>
        <v>24</v>
      </c>
      <c r="AZ7" s="346">
        <v>4</v>
      </c>
      <c r="BA7" s="346">
        <v>0</v>
      </c>
      <c r="BB7" s="346">
        <v>0</v>
      </c>
      <c r="BC7" s="346">
        <v>0</v>
      </c>
      <c r="BD7" s="345">
        <v>0</v>
      </c>
      <c r="BE7" s="345">
        <v>0</v>
      </c>
      <c r="BF7" s="345">
        <v>0</v>
      </c>
      <c r="BG7" s="345">
        <v>0</v>
      </c>
      <c r="BH7" s="346">
        <v>4</v>
      </c>
      <c r="BI7" s="346">
        <v>0</v>
      </c>
      <c r="BJ7" s="332">
        <v>0</v>
      </c>
      <c r="BK7" s="332">
        <v>0</v>
      </c>
      <c r="BL7" s="332">
        <v>0</v>
      </c>
      <c r="BM7" s="332">
        <v>0</v>
      </c>
      <c r="BN7" s="332">
        <v>0</v>
      </c>
      <c r="BO7" s="332">
        <v>0</v>
      </c>
      <c r="BP7" s="332">
        <v>1</v>
      </c>
      <c r="BQ7" s="332">
        <v>1</v>
      </c>
      <c r="BR7" s="332">
        <v>1</v>
      </c>
      <c r="BS7" s="332">
        <v>1</v>
      </c>
      <c r="BT7" s="332">
        <v>1</v>
      </c>
      <c r="BU7" s="332">
        <v>1</v>
      </c>
      <c r="BV7" s="332">
        <v>1</v>
      </c>
      <c r="BW7" s="332">
        <v>1</v>
      </c>
      <c r="BX7" s="332">
        <v>2</v>
      </c>
      <c r="BY7" s="332">
        <v>2</v>
      </c>
      <c r="BZ7" s="332">
        <v>0</v>
      </c>
      <c r="CA7" s="332">
        <v>0</v>
      </c>
      <c r="CB7" s="332">
        <v>0</v>
      </c>
      <c r="CC7" s="332">
        <v>0</v>
      </c>
      <c r="CD7" s="332">
        <v>0</v>
      </c>
      <c r="CE7" s="332">
        <v>0</v>
      </c>
      <c r="CF7" s="332">
        <v>4</v>
      </c>
      <c r="CG7" s="332">
        <v>0</v>
      </c>
      <c r="CH7" s="332">
        <v>0</v>
      </c>
      <c r="CI7" s="332">
        <v>0</v>
      </c>
      <c r="CJ7" s="332">
        <v>0</v>
      </c>
      <c r="CK7" s="332">
        <v>0</v>
      </c>
      <c r="CL7" s="332">
        <v>0</v>
      </c>
      <c r="CM7" s="332">
        <v>0</v>
      </c>
    </row>
    <row r="8" spans="1:91" ht="15.75" thickBot="1">
      <c r="A8" s="897"/>
      <c r="B8" s="898"/>
      <c r="C8" s="907"/>
      <c r="D8" s="907"/>
      <c r="E8" s="907"/>
      <c r="F8" s="907"/>
      <c r="G8" s="900"/>
      <c r="H8" s="902"/>
      <c r="I8" s="904"/>
      <c r="J8" s="889">
        <f>(SUM(J7:M7)/$AY$8)</f>
        <v>0.5</v>
      </c>
      <c r="K8" s="887"/>
      <c r="L8" s="887"/>
      <c r="M8" s="887"/>
      <c r="N8" s="886">
        <f>SUM(N7:Q7)/$AY$8</f>
        <v>0</v>
      </c>
      <c r="O8" s="887"/>
      <c r="P8" s="887"/>
      <c r="Q8" s="888"/>
      <c r="R8" s="889">
        <f>SUM(R7:U7)/$AY$8</f>
        <v>0.5</v>
      </c>
      <c r="S8" s="887"/>
      <c r="T8" s="887"/>
      <c r="U8" s="887"/>
      <c r="V8" s="886">
        <f>SUM(V7:Y7)/$AY$8</f>
        <v>0</v>
      </c>
      <c r="W8" s="887"/>
      <c r="X8" s="887"/>
      <c r="Y8" s="890"/>
      <c r="Z8" s="889">
        <f t="shared" ref="Z8" si="1">SUM(Z7:AC7)/$AY$7</f>
        <v>0.16666666666666666</v>
      </c>
      <c r="AA8" s="887"/>
      <c r="AB8" s="887"/>
      <c r="AC8" s="887"/>
      <c r="AD8" s="886">
        <f t="shared" ref="AD8" si="2">SUM(AD7:AG7)/$AY$7</f>
        <v>0.16666666666666666</v>
      </c>
      <c r="AE8" s="887"/>
      <c r="AF8" s="887"/>
      <c r="AG8" s="887"/>
      <c r="AH8" s="886">
        <f t="shared" ref="AH8" si="3">SUM(AH7:AK7)/$AY$7</f>
        <v>0.16666666666666666</v>
      </c>
      <c r="AI8" s="887"/>
      <c r="AJ8" s="887"/>
      <c r="AK8" s="887"/>
      <c r="AL8" s="886">
        <f t="shared" ref="AL8" si="4">SUM(AL7:AO7)/$AY$7</f>
        <v>0</v>
      </c>
      <c r="AM8" s="887"/>
      <c r="AN8" s="887"/>
      <c r="AO8" s="890"/>
      <c r="AP8" s="889">
        <f t="shared" ref="AP8" si="5">SUM(AP7:AS7)/$AY$7</f>
        <v>0.16666666666666666</v>
      </c>
      <c r="AQ8" s="887"/>
      <c r="AR8" s="887"/>
      <c r="AS8" s="887"/>
      <c r="AT8" s="886">
        <f t="shared" ref="AT8" si="6">SUM(AT7:AW7)/$AY$7</f>
        <v>0</v>
      </c>
      <c r="AU8" s="887"/>
      <c r="AV8" s="887"/>
      <c r="AW8" s="890"/>
      <c r="AX8" s="350">
        <f>SUM(J8:AW8)</f>
        <v>1.666666666666667</v>
      </c>
      <c r="AY8" s="345">
        <f>SUM(AZ7:AZ7:BO7)</f>
        <v>8</v>
      </c>
      <c r="AZ8" s="346"/>
      <c r="BA8" s="346"/>
      <c r="BB8" s="346"/>
      <c r="BC8" s="346"/>
      <c r="BD8" s="345"/>
      <c r="BE8" s="345"/>
      <c r="BF8" s="345"/>
      <c r="BG8" s="345"/>
      <c r="BH8" s="346"/>
      <c r="BI8" s="346"/>
    </row>
    <row r="9" spans="1:91" ht="15.75" thickBot="1">
      <c r="A9" s="897"/>
      <c r="B9" s="898"/>
      <c r="C9" s="908"/>
      <c r="D9" s="908"/>
      <c r="E9" s="908"/>
      <c r="F9" s="908"/>
      <c r="G9" s="900"/>
      <c r="H9" s="902"/>
      <c r="I9" s="905"/>
      <c r="J9" s="891">
        <f>J8*$G$7/$G$31</f>
        <v>2.1532151656710956E-2</v>
      </c>
      <c r="K9" s="892"/>
      <c r="L9" s="892"/>
      <c r="M9" s="892"/>
      <c r="N9" s="892">
        <f>J30+N8*$G$7/$G$31</f>
        <v>0.13274244307117361</v>
      </c>
      <c r="O9" s="892"/>
      <c r="P9" s="892"/>
      <c r="Q9" s="893"/>
      <c r="R9" s="891">
        <f>N30+R8*G7/G31</f>
        <v>0.41972692365549424</v>
      </c>
      <c r="S9" s="892"/>
      <c r="T9" s="892"/>
      <c r="U9" s="892"/>
      <c r="V9" s="894">
        <f>R30+V8*G7/G31</f>
        <v>0.73454767107239005</v>
      </c>
      <c r="W9" s="895"/>
      <c r="X9" s="895"/>
      <c r="Y9" s="896"/>
      <c r="Z9" s="891">
        <f>V30+Z8*$G$7/$G$31</f>
        <v>1.00717738388557</v>
      </c>
      <c r="AA9" s="892"/>
      <c r="AB9" s="892"/>
      <c r="AC9" s="892"/>
      <c r="AD9" s="892">
        <f>Z30+AD8*$G$7/$G$31</f>
        <v>1.0570001456048799</v>
      </c>
      <c r="AE9" s="892"/>
      <c r="AF9" s="892"/>
      <c r="AG9" s="892"/>
      <c r="AH9" s="892">
        <f>AD30+AH8*G7/G31</f>
        <v>1.1760542846031774</v>
      </c>
      <c r="AI9" s="892"/>
      <c r="AJ9" s="892"/>
      <c r="AK9" s="892"/>
      <c r="AL9" s="894">
        <f>AH30+AL8*G7/G31</f>
        <v>1.2879310397159047</v>
      </c>
      <c r="AM9" s="895"/>
      <c r="AN9" s="895"/>
      <c r="AO9" s="896"/>
      <c r="AP9" s="891">
        <f>AL30+AP8*$G$7/$G$31</f>
        <v>1.3046044758477588</v>
      </c>
      <c r="AQ9" s="892"/>
      <c r="AR9" s="892"/>
      <c r="AS9" s="892"/>
      <c r="AT9" s="892">
        <f>AP30+AT8*$G$7/$G$31</f>
        <v>1.4449969772004374</v>
      </c>
      <c r="AU9" s="892"/>
      <c r="AV9" s="892"/>
      <c r="AW9" s="911"/>
      <c r="AX9" s="350"/>
      <c r="AY9" s="345"/>
      <c r="AZ9" s="346"/>
      <c r="BA9" s="346"/>
      <c r="BB9" s="346"/>
      <c r="BC9" s="346"/>
      <c r="BD9" s="345"/>
      <c r="BE9" s="345"/>
      <c r="BF9" s="345"/>
      <c r="BG9" s="345"/>
      <c r="BH9" s="346"/>
      <c r="BI9" s="346"/>
    </row>
    <row r="10" spans="1:91" ht="15.75" thickBot="1">
      <c r="A10" s="897">
        <v>2</v>
      </c>
      <c r="B10" s="898" t="s">
        <v>38</v>
      </c>
      <c r="C10" s="906">
        <f>'PLANILHA CONSOLIDADA'!L14</f>
        <v>124420.61</v>
      </c>
      <c r="D10" s="906">
        <f>'PLANILHA CONSOLIDADA'!M14</f>
        <v>242869.67</v>
      </c>
      <c r="E10" s="906">
        <f>'PLANILHA CONSOLIDADA'!N14</f>
        <v>229096.46000000002</v>
      </c>
      <c r="F10" s="906">
        <f>'PLANILHA CONSOLIDADA'!O14</f>
        <v>274230.58</v>
      </c>
      <c r="G10" s="899">
        <f t="shared" ref="G10" si="7">SUM(C10:D10)</f>
        <v>367290.28</v>
      </c>
      <c r="H10" s="901">
        <f t="shared" ref="H10" si="8">G10/$G$31</f>
        <v>0.1140629849598047</v>
      </c>
      <c r="I10" s="903">
        <f>H10+I7</f>
        <v>0.15712728827322661</v>
      </c>
      <c r="J10" s="357">
        <f>AZ10</f>
        <v>0</v>
      </c>
      <c r="K10" s="342">
        <f t="shared" ref="K10:AW10" si="9">BA10</f>
        <v>4</v>
      </c>
      <c r="L10" s="342">
        <f t="shared" si="9"/>
        <v>0</v>
      </c>
      <c r="M10" s="342">
        <f t="shared" si="9"/>
        <v>0</v>
      </c>
      <c r="N10" s="342">
        <f t="shared" si="9"/>
        <v>0</v>
      </c>
      <c r="O10" s="342">
        <f t="shared" si="9"/>
        <v>0</v>
      </c>
      <c r="P10" s="342">
        <f t="shared" si="9"/>
        <v>0</v>
      </c>
      <c r="Q10" s="363">
        <f t="shared" si="9"/>
        <v>0</v>
      </c>
      <c r="R10" s="357">
        <f t="shared" si="9"/>
        <v>2</v>
      </c>
      <c r="S10" s="342">
        <f t="shared" si="9"/>
        <v>2</v>
      </c>
      <c r="T10" s="342">
        <f t="shared" si="9"/>
        <v>0</v>
      </c>
      <c r="U10" s="342">
        <f t="shared" si="9"/>
        <v>0</v>
      </c>
      <c r="V10" s="342">
        <f t="shared" si="9"/>
        <v>0</v>
      </c>
      <c r="W10" s="342">
        <f t="shared" si="9"/>
        <v>0</v>
      </c>
      <c r="X10" s="342">
        <f t="shared" si="9"/>
        <v>0</v>
      </c>
      <c r="Y10" s="358">
        <f t="shared" si="9"/>
        <v>0</v>
      </c>
      <c r="Z10" s="357">
        <f t="shared" si="9"/>
        <v>0</v>
      </c>
      <c r="AA10" s="342">
        <f t="shared" si="9"/>
        <v>1.3333333333333333</v>
      </c>
      <c r="AB10" s="342">
        <f t="shared" si="9"/>
        <v>1.3333333333333333</v>
      </c>
      <c r="AC10" s="342">
        <f t="shared" si="9"/>
        <v>1.3333333333333333</v>
      </c>
      <c r="AD10" s="342">
        <f t="shared" si="9"/>
        <v>0</v>
      </c>
      <c r="AE10" s="342">
        <f t="shared" si="9"/>
        <v>0</v>
      </c>
      <c r="AF10" s="342">
        <f t="shared" si="9"/>
        <v>0</v>
      </c>
      <c r="AG10" s="342">
        <f t="shared" si="9"/>
        <v>0</v>
      </c>
      <c r="AH10" s="342">
        <f t="shared" si="9"/>
        <v>0</v>
      </c>
      <c r="AI10" s="342">
        <f t="shared" si="9"/>
        <v>0</v>
      </c>
      <c r="AJ10" s="342">
        <f t="shared" si="9"/>
        <v>0</v>
      </c>
      <c r="AK10" s="342">
        <f t="shared" si="9"/>
        <v>0</v>
      </c>
      <c r="AL10" s="342">
        <f t="shared" si="9"/>
        <v>0</v>
      </c>
      <c r="AM10" s="342">
        <f t="shared" si="9"/>
        <v>0</v>
      </c>
      <c r="AN10" s="342">
        <f t="shared" si="9"/>
        <v>0</v>
      </c>
      <c r="AO10" s="358">
        <f t="shared" si="9"/>
        <v>0</v>
      </c>
      <c r="AP10" s="357">
        <f t="shared" si="9"/>
        <v>2</v>
      </c>
      <c r="AQ10" s="342">
        <f t="shared" si="9"/>
        <v>2</v>
      </c>
      <c r="AR10" s="342">
        <f t="shared" si="9"/>
        <v>0</v>
      </c>
      <c r="AS10" s="342">
        <f t="shared" si="9"/>
        <v>0</v>
      </c>
      <c r="AT10" s="342">
        <f t="shared" si="9"/>
        <v>0</v>
      </c>
      <c r="AU10" s="342">
        <f t="shared" si="9"/>
        <v>0</v>
      </c>
      <c r="AV10" s="342">
        <f t="shared" si="9"/>
        <v>0</v>
      </c>
      <c r="AW10" s="358">
        <f t="shared" si="9"/>
        <v>0</v>
      </c>
      <c r="AX10" s="350"/>
      <c r="AY10" s="345">
        <f t="shared" ref="AY10:AY29" si="10">SUM(AZ10:CM10)</f>
        <v>16</v>
      </c>
      <c r="AZ10" s="346">
        <v>0</v>
      </c>
      <c r="BA10" s="346">
        <v>4</v>
      </c>
      <c r="BB10" s="346">
        <v>0</v>
      </c>
      <c r="BC10" s="346">
        <v>0</v>
      </c>
      <c r="BD10" s="345">
        <v>0</v>
      </c>
      <c r="BE10" s="345">
        <v>0</v>
      </c>
      <c r="BF10" s="345">
        <v>0</v>
      </c>
      <c r="BG10" s="345">
        <v>0</v>
      </c>
      <c r="BH10" s="346">
        <v>2</v>
      </c>
      <c r="BI10" s="346">
        <v>2</v>
      </c>
      <c r="BJ10" s="332">
        <v>0</v>
      </c>
      <c r="BK10" s="332">
        <v>0</v>
      </c>
      <c r="BL10" s="332">
        <v>0</v>
      </c>
      <c r="BM10" s="332">
        <v>0</v>
      </c>
      <c r="BN10" s="332">
        <v>0</v>
      </c>
      <c r="BO10">
        <v>0</v>
      </c>
      <c r="BP10" s="332">
        <v>0</v>
      </c>
      <c r="BQ10" s="332">
        <f>4/3</f>
        <v>1.3333333333333333</v>
      </c>
      <c r="BR10" s="332">
        <f>4/3</f>
        <v>1.3333333333333333</v>
      </c>
      <c r="BS10" s="332">
        <f>4/3</f>
        <v>1.3333333333333333</v>
      </c>
      <c r="BT10">
        <v>0</v>
      </c>
      <c r="BU10">
        <v>0</v>
      </c>
      <c r="BV10">
        <v>0</v>
      </c>
      <c r="BW10">
        <v>0</v>
      </c>
      <c r="BX10" s="332">
        <v>0</v>
      </c>
      <c r="BY10" s="332">
        <v>0</v>
      </c>
      <c r="BZ10" s="332">
        <v>0</v>
      </c>
      <c r="CA10" s="332">
        <v>0</v>
      </c>
      <c r="CB10" s="332">
        <v>0</v>
      </c>
      <c r="CC10" s="332">
        <v>0</v>
      </c>
      <c r="CD10" s="332">
        <v>0</v>
      </c>
      <c r="CE10" s="332">
        <v>0</v>
      </c>
      <c r="CF10" s="332">
        <v>2</v>
      </c>
      <c r="CG10" s="332">
        <v>2</v>
      </c>
      <c r="CH10" s="332">
        <v>0</v>
      </c>
      <c r="CI10" s="332">
        <v>0</v>
      </c>
      <c r="CJ10" s="332">
        <v>0</v>
      </c>
      <c r="CK10" s="332">
        <v>0</v>
      </c>
      <c r="CL10" s="332">
        <v>0</v>
      </c>
      <c r="CM10" s="332">
        <v>0</v>
      </c>
    </row>
    <row r="11" spans="1:91" ht="15.75" thickBot="1">
      <c r="A11" s="897"/>
      <c r="B11" s="898"/>
      <c r="C11" s="907"/>
      <c r="D11" s="907"/>
      <c r="E11" s="907"/>
      <c r="F11" s="907"/>
      <c r="G11" s="900"/>
      <c r="H11" s="902"/>
      <c r="I11" s="904"/>
      <c r="J11" s="889">
        <f>SUM(J10:M10)/$AY$11</f>
        <v>0.5</v>
      </c>
      <c r="K11" s="887"/>
      <c r="L11" s="887"/>
      <c r="M11" s="887"/>
      <c r="N11" s="886">
        <f>SUM(N10:Q10)/$AY$11</f>
        <v>0</v>
      </c>
      <c r="O11" s="887"/>
      <c r="P11" s="887"/>
      <c r="Q11" s="888"/>
      <c r="R11" s="889">
        <f>SUM(R10:U10)/$AY$11</f>
        <v>0.5</v>
      </c>
      <c r="S11" s="887"/>
      <c r="T11" s="887"/>
      <c r="U11" s="887"/>
      <c r="V11" s="886">
        <f>SUM(V10:Y10)/$AY$11</f>
        <v>0</v>
      </c>
      <c r="W11" s="887"/>
      <c r="X11" s="887"/>
      <c r="Y11" s="890"/>
      <c r="Z11" s="889">
        <f t="shared" ref="Z11" si="11">SUM(Z10:AC10)/$AY$10</f>
        <v>0.25</v>
      </c>
      <c r="AA11" s="887"/>
      <c r="AB11" s="887"/>
      <c r="AC11" s="887"/>
      <c r="AD11" s="886">
        <f t="shared" ref="AD11" si="12">SUM(AD10:AG10)/$AY$10</f>
        <v>0</v>
      </c>
      <c r="AE11" s="887"/>
      <c r="AF11" s="887"/>
      <c r="AG11" s="887"/>
      <c r="AH11" s="886">
        <f t="shared" ref="AH11" si="13">SUM(AH10:AK10)/$AY$10</f>
        <v>0</v>
      </c>
      <c r="AI11" s="887"/>
      <c r="AJ11" s="887"/>
      <c r="AK11" s="887"/>
      <c r="AL11" s="886">
        <f t="shared" ref="AL11" si="14">SUM(AL10:AO10)/$AY$10</f>
        <v>0</v>
      </c>
      <c r="AM11" s="887"/>
      <c r="AN11" s="887"/>
      <c r="AO11" s="890"/>
      <c r="AP11" s="889">
        <f t="shared" ref="AP11" si="15">SUM(AP10:AS10)/$AY$10</f>
        <v>0.25</v>
      </c>
      <c r="AQ11" s="887"/>
      <c r="AR11" s="887"/>
      <c r="AS11" s="887"/>
      <c r="AT11" s="886">
        <f t="shared" ref="AT11" si="16">SUM(AT10:AW10)/$AY$10</f>
        <v>0</v>
      </c>
      <c r="AU11" s="887"/>
      <c r="AV11" s="887"/>
      <c r="AW11" s="890"/>
      <c r="AX11" s="350">
        <f t="shared" ref="AX11:AX29" si="17">SUM(J11:AW11)</f>
        <v>1.5</v>
      </c>
      <c r="AY11" s="345">
        <f>SUM(AZ10:BO10)</f>
        <v>8</v>
      </c>
      <c r="AZ11" s="346"/>
      <c r="BA11" s="346"/>
      <c r="BB11" s="346"/>
      <c r="BC11" s="346"/>
      <c r="BD11" s="345"/>
      <c r="BE11" s="345"/>
      <c r="BF11" s="345"/>
      <c r="BG11" s="345"/>
      <c r="BH11" s="346"/>
      <c r="BI11" s="346"/>
    </row>
    <row r="12" spans="1:91" ht="15.75" thickBot="1">
      <c r="A12" s="897"/>
      <c r="B12" s="898"/>
      <c r="C12" s="908"/>
      <c r="D12" s="908"/>
      <c r="E12" s="908"/>
      <c r="F12" s="908"/>
      <c r="G12" s="900"/>
      <c r="H12" s="902"/>
      <c r="I12" s="905"/>
      <c r="J12" s="909">
        <f>J9+(J11*G10/G31)</f>
        <v>7.8563644136613306E-2</v>
      </c>
      <c r="K12" s="910"/>
      <c r="L12" s="910"/>
      <c r="M12" s="910"/>
      <c r="N12" s="914">
        <f>N9+N11*$G$10/$G$31</f>
        <v>0.13274244307117361</v>
      </c>
      <c r="O12" s="914"/>
      <c r="P12" s="914"/>
      <c r="Q12" s="894"/>
      <c r="R12" s="971">
        <f>R9+R11*G10/G31</f>
        <v>0.4767584161353966</v>
      </c>
      <c r="S12" s="895"/>
      <c r="T12" s="895"/>
      <c r="U12" s="963"/>
      <c r="V12" s="894">
        <f>V9+V11*G10/G31</f>
        <v>0.73454767107239005</v>
      </c>
      <c r="W12" s="895"/>
      <c r="X12" s="895"/>
      <c r="Y12" s="896"/>
      <c r="Z12" s="909">
        <f>Z9+Z11*$G$10/$G$31</f>
        <v>1.0356931301255212</v>
      </c>
      <c r="AA12" s="910"/>
      <c r="AB12" s="910"/>
      <c r="AC12" s="910"/>
      <c r="AD12" s="914">
        <f>AD9+AD11*$G$10/$G$31</f>
        <v>1.0570001456048799</v>
      </c>
      <c r="AE12" s="914"/>
      <c r="AF12" s="914"/>
      <c r="AG12" s="914"/>
      <c r="AH12" s="894">
        <f>AH9+AH11*G10/G31</f>
        <v>1.1760542846031774</v>
      </c>
      <c r="AI12" s="895"/>
      <c r="AJ12" s="895"/>
      <c r="AK12" s="963"/>
      <c r="AL12" s="894">
        <f>AL9+AL11*G10/G31</f>
        <v>1.2879310397159047</v>
      </c>
      <c r="AM12" s="895"/>
      <c r="AN12" s="895"/>
      <c r="AO12" s="896"/>
      <c r="AP12" s="909">
        <f>AP9+(AP11*G10/G31)</f>
        <v>1.3331202220877101</v>
      </c>
      <c r="AQ12" s="910"/>
      <c r="AR12" s="910"/>
      <c r="AS12" s="910"/>
      <c r="AT12" s="914">
        <f>AT9+AT11*$G$10/$G$31</f>
        <v>1.4449969772004374</v>
      </c>
      <c r="AU12" s="914"/>
      <c r="AV12" s="914"/>
      <c r="AW12" s="915"/>
      <c r="AX12" s="350"/>
      <c r="AY12" s="345"/>
      <c r="AZ12" s="346"/>
      <c r="BA12" s="346"/>
      <c r="BB12" s="346"/>
      <c r="BC12" s="346"/>
      <c r="BD12" s="345"/>
      <c r="BE12" s="345"/>
      <c r="BF12" s="345"/>
      <c r="BG12" s="345"/>
      <c r="BH12" s="346"/>
      <c r="BI12" s="346"/>
    </row>
    <row r="13" spans="1:91" ht="15.75" thickBot="1">
      <c r="A13" s="897">
        <v>3</v>
      </c>
      <c r="B13" s="898" t="s">
        <v>59</v>
      </c>
      <c r="C13" s="906">
        <f>'PLANILHA CONSOLIDADA'!L20</f>
        <v>735374.60999999987</v>
      </c>
      <c r="D13" s="906">
        <f>'PLANILHA CONSOLIDADA'!M20</f>
        <v>1231542.3899999999</v>
      </c>
      <c r="E13" s="906">
        <f>'PLANILHA CONSOLIDADA'!N20</f>
        <v>1038449.1799999999</v>
      </c>
      <c r="F13" s="906">
        <f>'PLANILHA CONSOLIDADA'!O20</f>
        <v>1441350.05</v>
      </c>
      <c r="G13" s="899">
        <f t="shared" ref="G13" si="18">SUM(C13:D13)</f>
        <v>1966916.9999999998</v>
      </c>
      <c r="H13" s="901">
        <f t="shared" ref="H13" si="19">G13/$G$31</f>
        <v>0.61083136800729965</v>
      </c>
      <c r="I13" s="903">
        <f t="shared" ref="I13" si="20">H13+I10</f>
        <v>0.76795865628052629</v>
      </c>
      <c r="J13" s="357">
        <f>AZ13</f>
        <v>0</v>
      </c>
      <c r="K13" s="342">
        <f t="shared" ref="K13:AW13" si="21">BA13</f>
        <v>0</v>
      </c>
      <c r="L13" s="342">
        <f t="shared" si="21"/>
        <v>0</v>
      </c>
      <c r="M13" s="342">
        <f t="shared" si="21"/>
        <v>0</v>
      </c>
      <c r="N13" s="342">
        <f t="shared" si="21"/>
        <v>4</v>
      </c>
      <c r="O13" s="342">
        <f t="shared" si="21"/>
        <v>0</v>
      </c>
      <c r="P13" s="342">
        <f t="shared" si="21"/>
        <v>0</v>
      </c>
      <c r="Q13" s="363">
        <f t="shared" si="21"/>
        <v>0</v>
      </c>
      <c r="R13" s="357">
        <f t="shared" si="21"/>
        <v>0</v>
      </c>
      <c r="S13" s="342">
        <f t="shared" si="21"/>
        <v>0</v>
      </c>
      <c r="T13" s="342">
        <f t="shared" si="21"/>
        <v>2</v>
      </c>
      <c r="U13" s="342">
        <f t="shared" si="21"/>
        <v>2</v>
      </c>
      <c r="V13" s="342">
        <f t="shared" si="21"/>
        <v>4</v>
      </c>
      <c r="W13" s="342">
        <f t="shared" si="21"/>
        <v>0</v>
      </c>
      <c r="X13" s="342">
        <f t="shared" si="21"/>
        <v>0</v>
      </c>
      <c r="Y13" s="358">
        <f t="shared" si="21"/>
        <v>0</v>
      </c>
      <c r="Z13" s="357">
        <f t="shared" si="21"/>
        <v>0</v>
      </c>
      <c r="AA13" s="342">
        <f t="shared" si="21"/>
        <v>0</v>
      </c>
      <c r="AB13" s="342">
        <f t="shared" si="21"/>
        <v>0</v>
      </c>
      <c r="AC13" s="342">
        <f t="shared" si="21"/>
        <v>0</v>
      </c>
      <c r="AD13" s="342">
        <f t="shared" si="21"/>
        <v>1</v>
      </c>
      <c r="AE13" s="342">
        <f t="shared" si="21"/>
        <v>1</v>
      </c>
      <c r="AF13" s="342">
        <f t="shared" si="21"/>
        <v>1</v>
      </c>
      <c r="AG13" s="342">
        <f t="shared" si="21"/>
        <v>1</v>
      </c>
      <c r="AH13" s="342">
        <f t="shared" si="21"/>
        <v>1</v>
      </c>
      <c r="AI13" s="342">
        <f t="shared" si="21"/>
        <v>1</v>
      </c>
      <c r="AJ13" s="342">
        <f t="shared" si="21"/>
        <v>1</v>
      </c>
      <c r="AK13" s="342">
        <f t="shared" si="21"/>
        <v>1</v>
      </c>
      <c r="AL13" s="342">
        <f t="shared" si="21"/>
        <v>0</v>
      </c>
      <c r="AM13" s="342">
        <f t="shared" si="21"/>
        <v>0</v>
      </c>
      <c r="AN13" s="342">
        <f t="shared" si="21"/>
        <v>0</v>
      </c>
      <c r="AO13" s="358">
        <f t="shared" si="21"/>
        <v>0</v>
      </c>
      <c r="AP13" s="357">
        <f t="shared" si="21"/>
        <v>0</v>
      </c>
      <c r="AQ13" s="342">
        <f t="shared" si="21"/>
        <v>0</v>
      </c>
      <c r="AR13" s="342">
        <f t="shared" si="21"/>
        <v>2</v>
      </c>
      <c r="AS13" s="342">
        <f t="shared" si="21"/>
        <v>2</v>
      </c>
      <c r="AT13" s="342">
        <f t="shared" si="21"/>
        <v>4</v>
      </c>
      <c r="AU13" s="342">
        <f t="shared" si="21"/>
        <v>0</v>
      </c>
      <c r="AV13" s="342">
        <f t="shared" si="21"/>
        <v>0</v>
      </c>
      <c r="AW13" s="358">
        <f t="shared" si="21"/>
        <v>0</v>
      </c>
      <c r="AX13" s="350"/>
      <c r="AY13" s="345">
        <f t="shared" si="10"/>
        <v>28</v>
      </c>
      <c r="AZ13" s="346">
        <v>0</v>
      </c>
      <c r="BA13" s="346">
        <v>0</v>
      </c>
      <c r="BB13" s="346">
        <v>0</v>
      </c>
      <c r="BC13" s="346">
        <v>0</v>
      </c>
      <c r="BD13" s="345">
        <v>4</v>
      </c>
      <c r="BE13" s="345">
        <v>0</v>
      </c>
      <c r="BF13" s="345">
        <v>0</v>
      </c>
      <c r="BG13" s="345">
        <v>0</v>
      </c>
      <c r="BH13" s="346">
        <v>0</v>
      </c>
      <c r="BI13" s="346">
        <v>0</v>
      </c>
      <c r="BJ13" s="332">
        <v>2</v>
      </c>
      <c r="BK13" s="332">
        <v>2</v>
      </c>
      <c r="BL13" s="332">
        <v>4</v>
      </c>
      <c r="BM13" s="332">
        <v>0</v>
      </c>
      <c r="BN13" s="332">
        <v>0</v>
      </c>
      <c r="BO13" s="332">
        <v>0</v>
      </c>
      <c r="BP13" s="332">
        <v>0</v>
      </c>
      <c r="BQ13" s="332">
        <v>0</v>
      </c>
      <c r="BR13" s="332">
        <v>0</v>
      </c>
      <c r="BS13" s="332">
        <v>0</v>
      </c>
      <c r="BT13" s="332">
        <v>1</v>
      </c>
      <c r="BU13" s="332">
        <v>1</v>
      </c>
      <c r="BV13" s="332">
        <v>1</v>
      </c>
      <c r="BW13" s="332">
        <v>1</v>
      </c>
      <c r="BX13" s="332">
        <v>1</v>
      </c>
      <c r="BY13" s="332">
        <v>1</v>
      </c>
      <c r="BZ13" s="332">
        <v>1</v>
      </c>
      <c r="CA13" s="332">
        <v>1</v>
      </c>
      <c r="CB13" s="332">
        <v>0</v>
      </c>
      <c r="CC13" s="332">
        <v>0</v>
      </c>
      <c r="CD13" s="332">
        <v>0</v>
      </c>
      <c r="CE13" s="332">
        <v>0</v>
      </c>
      <c r="CF13" s="332">
        <v>0</v>
      </c>
      <c r="CG13" s="332">
        <v>0</v>
      </c>
      <c r="CH13" s="332">
        <v>2</v>
      </c>
      <c r="CI13" s="332">
        <v>2</v>
      </c>
      <c r="CJ13" s="332">
        <v>4</v>
      </c>
      <c r="CK13" s="332">
        <v>0</v>
      </c>
      <c r="CL13" s="332">
        <v>0</v>
      </c>
      <c r="CM13" s="332">
        <v>0</v>
      </c>
    </row>
    <row r="14" spans="1:91" ht="15.75" thickBot="1">
      <c r="A14" s="897"/>
      <c r="B14" s="898"/>
      <c r="C14" s="907"/>
      <c r="D14" s="907"/>
      <c r="E14" s="907"/>
      <c r="F14" s="907"/>
      <c r="G14" s="900"/>
      <c r="H14" s="902"/>
      <c r="I14" s="904"/>
      <c r="J14" s="889">
        <f>SUM(J13:M13)/$AY$14</f>
        <v>0</v>
      </c>
      <c r="K14" s="887"/>
      <c r="L14" s="887"/>
      <c r="M14" s="887"/>
      <c r="N14" s="886">
        <f>SUM(N13:Q13)/$AY$14</f>
        <v>0.33333333333333331</v>
      </c>
      <c r="O14" s="887"/>
      <c r="P14" s="887"/>
      <c r="Q14" s="888"/>
      <c r="R14" s="889">
        <f>SUM(R13:U13)/$AY$14</f>
        <v>0.33333333333333331</v>
      </c>
      <c r="S14" s="887"/>
      <c r="T14" s="887"/>
      <c r="U14" s="887"/>
      <c r="V14" s="886">
        <f>SUM(V13:Y13)/$AY$14</f>
        <v>0.33333333333333331</v>
      </c>
      <c r="W14" s="887"/>
      <c r="X14" s="887"/>
      <c r="Y14" s="890"/>
      <c r="Z14" s="889">
        <f t="shared" ref="Z14" si="22">SUM(Z13:AC13)/$AY$13</f>
        <v>0</v>
      </c>
      <c r="AA14" s="887"/>
      <c r="AB14" s="887"/>
      <c r="AC14" s="887"/>
      <c r="AD14" s="886">
        <f t="shared" ref="AD14" si="23">SUM(AD13:AG13)/$AY$13</f>
        <v>0.14285714285714285</v>
      </c>
      <c r="AE14" s="887"/>
      <c r="AF14" s="887"/>
      <c r="AG14" s="887"/>
      <c r="AH14" s="886">
        <f t="shared" ref="AH14" si="24">SUM(AH13:AK13)/$AY$13</f>
        <v>0.14285714285714285</v>
      </c>
      <c r="AI14" s="887"/>
      <c r="AJ14" s="887"/>
      <c r="AK14" s="887"/>
      <c r="AL14" s="886">
        <f t="shared" ref="AL14" si="25">SUM(AL13:AO13)/$AY$13</f>
        <v>0</v>
      </c>
      <c r="AM14" s="887"/>
      <c r="AN14" s="887"/>
      <c r="AO14" s="890"/>
      <c r="AP14" s="889">
        <f t="shared" ref="AP14" si="26">SUM(AP13:AS13)/$AY$13</f>
        <v>0.14285714285714285</v>
      </c>
      <c r="AQ14" s="887"/>
      <c r="AR14" s="887"/>
      <c r="AS14" s="887"/>
      <c r="AT14" s="886">
        <f t="shared" ref="AT14" si="27">SUM(AT13:AW13)/$AY$13</f>
        <v>0.14285714285714285</v>
      </c>
      <c r="AU14" s="887"/>
      <c r="AV14" s="887"/>
      <c r="AW14" s="890"/>
      <c r="AX14" s="350">
        <f t="shared" si="17"/>
        <v>1.5714285714285712</v>
      </c>
      <c r="AY14" s="345">
        <f>SUM(AZ13:BO13)</f>
        <v>12</v>
      </c>
      <c r="AZ14" s="346"/>
      <c r="BA14" s="346"/>
      <c r="BB14" s="346"/>
      <c r="BC14" s="346"/>
      <c r="BD14" s="345"/>
      <c r="BE14" s="345"/>
      <c r="BF14" s="345"/>
      <c r="BG14" s="345"/>
      <c r="BH14" s="346"/>
      <c r="BI14" s="346"/>
    </row>
    <row r="15" spans="1:91" ht="15.75" thickBot="1">
      <c r="A15" s="897"/>
      <c r="B15" s="898"/>
      <c r="C15" s="908"/>
      <c r="D15" s="908"/>
      <c r="E15" s="908"/>
      <c r="F15" s="908"/>
      <c r="G15" s="900"/>
      <c r="H15" s="902"/>
      <c r="I15" s="905"/>
      <c r="J15" s="909">
        <f>J12+(J14*G13/G31)</f>
        <v>7.8563644136613306E-2</v>
      </c>
      <c r="K15" s="910"/>
      <c r="L15" s="910"/>
      <c r="M15" s="910"/>
      <c r="N15" s="892">
        <f>N12+N14*G13/G31</f>
        <v>0.33635289907360677</v>
      </c>
      <c r="O15" s="892"/>
      <c r="P15" s="892"/>
      <c r="Q15" s="893"/>
      <c r="R15" s="891">
        <f>R12+R14*G13/G31</f>
        <v>0.68036887213782982</v>
      </c>
      <c r="S15" s="892"/>
      <c r="T15" s="892"/>
      <c r="U15" s="892"/>
      <c r="V15" s="892">
        <f>R30+V14*G13/$G$31</f>
        <v>0.93815812707482327</v>
      </c>
      <c r="W15" s="892"/>
      <c r="X15" s="892"/>
      <c r="Y15" s="911"/>
      <c r="Z15" s="909">
        <f>Z12+Z14*$G$13/$G$31</f>
        <v>1.0356931301255212</v>
      </c>
      <c r="AA15" s="910"/>
      <c r="AB15" s="910"/>
      <c r="AC15" s="910"/>
      <c r="AD15" s="892">
        <f>AD12+AD14*G13/G31</f>
        <v>1.1442617696059227</v>
      </c>
      <c r="AE15" s="892"/>
      <c r="AF15" s="892"/>
      <c r="AG15" s="892"/>
      <c r="AH15" s="892">
        <f>AH12+AH14*G13/G31</f>
        <v>1.2633159086042203</v>
      </c>
      <c r="AI15" s="892"/>
      <c r="AJ15" s="892"/>
      <c r="AK15" s="892"/>
      <c r="AL15" s="892">
        <f>AH30+AL14*G13/$G$31</f>
        <v>1.2879310397159047</v>
      </c>
      <c r="AM15" s="892"/>
      <c r="AN15" s="892"/>
      <c r="AO15" s="911"/>
      <c r="AP15" s="909">
        <f>AP12+(AP14*G13/G31)</f>
        <v>1.420381846088753</v>
      </c>
      <c r="AQ15" s="910"/>
      <c r="AR15" s="910"/>
      <c r="AS15" s="910"/>
      <c r="AT15" s="892">
        <f>AT12+AT14*G13/G31</f>
        <v>1.5322586012014803</v>
      </c>
      <c r="AU15" s="892"/>
      <c r="AV15" s="892"/>
      <c r="AW15" s="911"/>
      <c r="AX15" s="350"/>
      <c r="AY15" s="345">
        <f t="shared" si="10"/>
        <v>36</v>
      </c>
      <c r="AZ15" s="346">
        <v>0</v>
      </c>
      <c r="BA15" s="346">
        <v>0</v>
      </c>
      <c r="BB15" s="346">
        <v>0</v>
      </c>
      <c r="BC15" s="346">
        <v>4</v>
      </c>
      <c r="BD15" s="345">
        <v>4</v>
      </c>
      <c r="BE15" s="345">
        <v>0</v>
      </c>
      <c r="BF15" s="345">
        <v>0</v>
      </c>
      <c r="BG15" s="345">
        <v>0</v>
      </c>
      <c r="BH15" s="346">
        <v>0</v>
      </c>
      <c r="BI15" s="346">
        <v>0</v>
      </c>
      <c r="BJ15" s="332">
        <v>2</v>
      </c>
      <c r="BK15" s="332">
        <v>2</v>
      </c>
      <c r="BL15" s="332">
        <v>4</v>
      </c>
      <c r="BM15" s="332">
        <v>0</v>
      </c>
      <c r="BN15" s="332">
        <v>0</v>
      </c>
      <c r="BO15" s="332">
        <v>0</v>
      </c>
      <c r="BS15" s="332">
        <v>4</v>
      </c>
      <c r="BT15">
        <v>1</v>
      </c>
      <c r="BU15">
        <v>1</v>
      </c>
      <c r="BV15" s="332">
        <v>1</v>
      </c>
      <c r="BW15" s="332">
        <v>1</v>
      </c>
      <c r="BX15" s="332">
        <v>2</v>
      </c>
      <c r="BY15" s="332">
        <v>2</v>
      </c>
      <c r="BZ15" s="332">
        <v>0</v>
      </c>
      <c r="CA15" s="332">
        <v>0</v>
      </c>
      <c r="CB15" s="332">
        <v>0</v>
      </c>
      <c r="CC15" s="332">
        <v>0</v>
      </c>
      <c r="CD15" s="332">
        <v>0</v>
      </c>
      <c r="CE15" s="332">
        <v>0</v>
      </c>
      <c r="CF15" s="332">
        <v>0</v>
      </c>
      <c r="CG15" s="332">
        <v>0</v>
      </c>
      <c r="CH15" s="332">
        <v>2</v>
      </c>
      <c r="CI15" s="332">
        <v>2</v>
      </c>
      <c r="CJ15" s="332">
        <v>4</v>
      </c>
      <c r="CK15" s="332">
        <v>0</v>
      </c>
      <c r="CL15" s="332">
        <v>0</v>
      </c>
      <c r="CM15" s="332">
        <v>0</v>
      </c>
    </row>
    <row r="16" spans="1:91" ht="15.75" thickBot="1">
      <c r="A16" s="897">
        <v>4</v>
      </c>
      <c r="B16" s="898" t="s">
        <v>695</v>
      </c>
      <c r="C16" s="906">
        <f>'PLANILHA CONSOLIDADA'!L45</f>
        <v>147103.51</v>
      </c>
      <c r="D16" s="906">
        <f>'PLANILHA CONSOLIDADA'!M45</f>
        <v>98220.55</v>
      </c>
      <c r="E16" s="906">
        <f>'PLANILHA CONSOLIDADA'!N45</f>
        <v>398600.49</v>
      </c>
      <c r="F16" s="906">
        <f>'PLANILHA CONSOLIDADA'!O45</f>
        <v>123975.91999999998</v>
      </c>
      <c r="G16" s="899">
        <f t="shared" ref="G16" si="28">SUM(C16:D16)</f>
        <v>245324.06</v>
      </c>
      <c r="H16" s="901">
        <f t="shared" ref="H16" si="29">G16/$G$31</f>
        <v>7.6186047085314165E-2</v>
      </c>
      <c r="I16" s="903">
        <f t="shared" ref="I16" si="30">H16+I13</f>
        <v>0.84414470336584047</v>
      </c>
      <c r="J16" s="357">
        <f>AZ15</f>
        <v>0</v>
      </c>
      <c r="K16" s="342">
        <f t="shared" ref="K16:AW16" si="31">BA15</f>
        <v>0</v>
      </c>
      <c r="L16" s="342">
        <f t="shared" si="31"/>
        <v>0</v>
      </c>
      <c r="M16" s="342">
        <f t="shared" si="31"/>
        <v>4</v>
      </c>
      <c r="N16" s="342">
        <f t="shared" si="31"/>
        <v>4</v>
      </c>
      <c r="O16" s="342">
        <f t="shared" si="31"/>
        <v>0</v>
      </c>
      <c r="P16" s="342">
        <f t="shared" si="31"/>
        <v>0</v>
      </c>
      <c r="Q16" s="363">
        <f t="shared" si="31"/>
        <v>0</v>
      </c>
      <c r="R16" s="357">
        <f t="shared" si="31"/>
        <v>0</v>
      </c>
      <c r="S16" s="342">
        <f t="shared" si="31"/>
        <v>0</v>
      </c>
      <c r="T16" s="342">
        <f t="shared" si="31"/>
        <v>2</v>
      </c>
      <c r="U16" s="342">
        <f t="shared" si="31"/>
        <v>2</v>
      </c>
      <c r="V16" s="342">
        <f t="shared" si="31"/>
        <v>4</v>
      </c>
      <c r="W16" s="342">
        <f t="shared" si="31"/>
        <v>0</v>
      </c>
      <c r="X16" s="342">
        <f t="shared" si="31"/>
        <v>0</v>
      </c>
      <c r="Y16" s="358">
        <f t="shared" si="31"/>
        <v>0</v>
      </c>
      <c r="Z16" s="357">
        <f t="shared" si="31"/>
        <v>0</v>
      </c>
      <c r="AA16" s="342">
        <f t="shared" si="31"/>
        <v>0</v>
      </c>
      <c r="AB16" s="342">
        <f t="shared" si="31"/>
        <v>0</v>
      </c>
      <c r="AC16" s="342">
        <f t="shared" si="31"/>
        <v>4</v>
      </c>
      <c r="AD16" s="342">
        <f t="shared" si="31"/>
        <v>1</v>
      </c>
      <c r="AE16" s="342">
        <f t="shared" si="31"/>
        <v>1</v>
      </c>
      <c r="AF16" s="342">
        <f t="shared" si="31"/>
        <v>1</v>
      </c>
      <c r="AG16" s="342">
        <f t="shared" si="31"/>
        <v>1</v>
      </c>
      <c r="AH16" s="342">
        <f t="shared" si="31"/>
        <v>2</v>
      </c>
      <c r="AI16" s="342">
        <f t="shared" si="31"/>
        <v>2</v>
      </c>
      <c r="AJ16" s="342">
        <f t="shared" si="31"/>
        <v>0</v>
      </c>
      <c r="AK16" s="342">
        <f t="shared" si="31"/>
        <v>0</v>
      </c>
      <c r="AL16" s="342">
        <f t="shared" si="31"/>
        <v>0</v>
      </c>
      <c r="AM16" s="342">
        <f t="shared" si="31"/>
        <v>0</v>
      </c>
      <c r="AN16" s="342">
        <f t="shared" si="31"/>
        <v>0</v>
      </c>
      <c r="AO16" s="358">
        <f t="shared" si="31"/>
        <v>0</v>
      </c>
      <c r="AP16" s="357">
        <f t="shared" si="31"/>
        <v>0</v>
      </c>
      <c r="AQ16" s="342">
        <f t="shared" si="31"/>
        <v>0</v>
      </c>
      <c r="AR16" s="342">
        <f t="shared" si="31"/>
        <v>2</v>
      </c>
      <c r="AS16" s="342">
        <f t="shared" si="31"/>
        <v>2</v>
      </c>
      <c r="AT16" s="342">
        <f t="shared" si="31"/>
        <v>4</v>
      </c>
      <c r="AU16" s="342">
        <f t="shared" si="31"/>
        <v>0</v>
      </c>
      <c r="AV16" s="342">
        <f t="shared" si="31"/>
        <v>0</v>
      </c>
      <c r="AW16" s="358">
        <f t="shared" si="31"/>
        <v>0</v>
      </c>
      <c r="AX16" s="350"/>
      <c r="AY16" s="349">
        <f>SUM(AZ15:BO15)</f>
        <v>16</v>
      </c>
      <c r="AZ16" s="346"/>
      <c r="BA16" s="346"/>
      <c r="BB16" s="346"/>
      <c r="BC16" s="346"/>
      <c r="BD16" s="345"/>
      <c r="BE16" s="345"/>
      <c r="BF16" s="345"/>
      <c r="BG16" s="345"/>
      <c r="BH16" s="346"/>
      <c r="BI16" s="346"/>
    </row>
    <row r="17" spans="1:91" ht="15.75" thickBot="1">
      <c r="A17" s="897"/>
      <c r="B17" s="898"/>
      <c r="C17" s="907"/>
      <c r="D17" s="907"/>
      <c r="E17" s="907"/>
      <c r="F17" s="907"/>
      <c r="G17" s="900"/>
      <c r="H17" s="902"/>
      <c r="I17" s="904"/>
      <c r="J17" s="889">
        <f>SUM(J16:M16)/$AY$16</f>
        <v>0.25</v>
      </c>
      <c r="K17" s="887"/>
      <c r="L17" s="887"/>
      <c r="M17" s="887"/>
      <c r="N17" s="886">
        <f>SUM(N16:Q16)/$AY$16</f>
        <v>0.25</v>
      </c>
      <c r="O17" s="887"/>
      <c r="P17" s="887"/>
      <c r="Q17" s="888"/>
      <c r="R17" s="889">
        <f>SUM(R16:U16)/$AY$16</f>
        <v>0.25</v>
      </c>
      <c r="S17" s="887"/>
      <c r="T17" s="887"/>
      <c r="U17" s="887"/>
      <c r="V17" s="886">
        <f>SUM(V16:Y16)/$AY$16</f>
        <v>0.25</v>
      </c>
      <c r="W17" s="887"/>
      <c r="X17" s="887"/>
      <c r="Y17" s="890"/>
      <c r="Z17" s="889">
        <f t="shared" ref="Z17" si="32">SUM(Z16:AC16)/$AY$15</f>
        <v>0.1111111111111111</v>
      </c>
      <c r="AA17" s="887"/>
      <c r="AB17" s="887"/>
      <c r="AC17" s="887"/>
      <c r="AD17" s="886">
        <f t="shared" ref="AD17" si="33">SUM(AD16:AG16)/$AY$15</f>
        <v>0.1111111111111111</v>
      </c>
      <c r="AE17" s="887"/>
      <c r="AF17" s="887"/>
      <c r="AG17" s="887"/>
      <c r="AH17" s="886">
        <f t="shared" ref="AH17" si="34">SUM(AH16:AK16)/$AY$15</f>
        <v>0.1111111111111111</v>
      </c>
      <c r="AI17" s="887"/>
      <c r="AJ17" s="887"/>
      <c r="AK17" s="887"/>
      <c r="AL17" s="886">
        <f t="shared" ref="AL17" si="35">SUM(AL16:AO16)/$AY$15</f>
        <v>0</v>
      </c>
      <c r="AM17" s="887"/>
      <c r="AN17" s="887"/>
      <c r="AO17" s="890"/>
      <c r="AP17" s="889">
        <f t="shared" ref="AP17" si="36">SUM(AP16:AS16)/$AY$15</f>
        <v>0.1111111111111111</v>
      </c>
      <c r="AQ17" s="887"/>
      <c r="AR17" s="887"/>
      <c r="AS17" s="887"/>
      <c r="AT17" s="886">
        <f t="shared" ref="AT17" si="37">SUM(AT16:AW16)/$AY$15</f>
        <v>0.1111111111111111</v>
      </c>
      <c r="AU17" s="887"/>
      <c r="AV17" s="887"/>
      <c r="AW17" s="890"/>
      <c r="AX17" s="350">
        <f t="shared" si="17"/>
        <v>1.5555555555555558</v>
      </c>
      <c r="AY17" s="345"/>
      <c r="AZ17" s="346"/>
      <c r="BA17" s="346"/>
      <c r="BB17" s="346"/>
      <c r="BC17" s="346"/>
      <c r="BD17" s="345"/>
      <c r="BE17" s="345"/>
      <c r="BF17" s="345"/>
      <c r="BG17" s="345"/>
      <c r="BH17" s="346"/>
      <c r="BI17" s="346"/>
    </row>
    <row r="18" spans="1:91" ht="15.75" thickBot="1">
      <c r="A18" s="897"/>
      <c r="B18" s="898"/>
      <c r="C18" s="908"/>
      <c r="D18" s="908"/>
      <c r="E18" s="908"/>
      <c r="F18" s="908"/>
      <c r="G18" s="900"/>
      <c r="H18" s="902"/>
      <c r="I18" s="905"/>
      <c r="J18" s="912">
        <f>J15+(J17*G16/G31)</f>
        <v>9.7610155907941851E-2</v>
      </c>
      <c r="K18" s="913"/>
      <c r="L18" s="913"/>
      <c r="M18" s="913"/>
      <c r="N18" s="892">
        <f>N15+N17*G16/G31</f>
        <v>0.35539941084493532</v>
      </c>
      <c r="O18" s="892"/>
      <c r="P18" s="892"/>
      <c r="Q18" s="893"/>
      <c r="R18" s="891">
        <f>R15+R17*G16/G31</f>
        <v>0.69941538390915836</v>
      </c>
      <c r="S18" s="892"/>
      <c r="T18" s="892"/>
      <c r="U18" s="892"/>
      <c r="V18" s="892">
        <f>V15+V17*G16/G31</f>
        <v>0.95720463884615181</v>
      </c>
      <c r="W18" s="892"/>
      <c r="X18" s="892"/>
      <c r="Y18" s="911"/>
      <c r="Z18" s="912">
        <f>Z15+Z17*$G$16/$G$31</f>
        <v>1.0441582464683339</v>
      </c>
      <c r="AA18" s="913"/>
      <c r="AB18" s="913"/>
      <c r="AC18" s="913"/>
      <c r="AD18" s="892">
        <f>AD15+AD17*G16/G31</f>
        <v>1.1527268859487354</v>
      </c>
      <c r="AE18" s="892"/>
      <c r="AF18" s="892"/>
      <c r="AG18" s="892"/>
      <c r="AH18" s="892">
        <f>AH15+AH17*G16/G31</f>
        <v>1.2717810249470329</v>
      </c>
      <c r="AI18" s="892"/>
      <c r="AJ18" s="892"/>
      <c r="AK18" s="892"/>
      <c r="AL18" s="892">
        <f>AL15+AL17*G16/G31</f>
        <v>1.2879310397159047</v>
      </c>
      <c r="AM18" s="892"/>
      <c r="AN18" s="892"/>
      <c r="AO18" s="911"/>
      <c r="AP18" s="912">
        <f>AP15+(AP17*G16/G31)</f>
        <v>1.4288469624315656</v>
      </c>
      <c r="AQ18" s="913"/>
      <c r="AR18" s="913"/>
      <c r="AS18" s="913"/>
      <c r="AT18" s="892">
        <f>AT15+AT17*G16/G31</f>
        <v>1.5407237175442929</v>
      </c>
      <c r="AU18" s="892"/>
      <c r="AV18" s="892"/>
      <c r="AW18" s="911"/>
      <c r="AX18" s="350"/>
      <c r="AY18" s="345"/>
      <c r="AZ18" s="346"/>
      <c r="BA18" s="346"/>
      <c r="BB18" s="346"/>
      <c r="BC18" s="346"/>
      <c r="BD18" s="345"/>
      <c r="BE18" s="345"/>
      <c r="BF18" s="345"/>
      <c r="BG18" s="345"/>
      <c r="BH18" s="346"/>
      <c r="BI18" s="346"/>
    </row>
    <row r="19" spans="1:91" ht="15.75" thickBot="1">
      <c r="A19" s="897">
        <v>5</v>
      </c>
      <c r="B19" s="898" t="s">
        <v>81</v>
      </c>
      <c r="C19" s="906">
        <f>'PLANILHA CONSOLIDADA'!L48</f>
        <v>160267.61000000002</v>
      </c>
      <c r="D19" s="906">
        <f>'PLANILHA CONSOLIDADA'!M48</f>
        <v>109844.35</v>
      </c>
      <c r="E19" s="906">
        <f>'PLANILHA CONSOLIDADA'!N48</f>
        <v>501695.23000000004</v>
      </c>
      <c r="F19" s="906">
        <f>'PLANILHA CONSOLIDADA'!O48</f>
        <v>138167.41999999998</v>
      </c>
      <c r="G19" s="899">
        <f t="shared" ref="G19" si="38">SUM(C19:D19)</f>
        <v>270111.96000000002</v>
      </c>
      <c r="H19" s="901">
        <f t="shared" ref="H19" si="39">G19/$G$31</f>
        <v>8.3883996143168743E-2</v>
      </c>
      <c r="I19" s="903">
        <f t="shared" ref="I19" si="40">H19+I16</f>
        <v>0.92802869950900924</v>
      </c>
      <c r="J19" s="357">
        <f>AZ19</f>
        <v>1</v>
      </c>
      <c r="K19" s="342">
        <f t="shared" ref="K19:AW19" si="41">BA19</f>
        <v>1</v>
      </c>
      <c r="L19" s="342">
        <f t="shared" si="41"/>
        <v>1</v>
      </c>
      <c r="M19" s="342">
        <f t="shared" si="41"/>
        <v>1</v>
      </c>
      <c r="N19" s="342">
        <f t="shared" si="41"/>
        <v>4</v>
      </c>
      <c r="O19" s="342">
        <f t="shared" si="41"/>
        <v>0</v>
      </c>
      <c r="P19" s="342">
        <f t="shared" si="41"/>
        <v>0</v>
      </c>
      <c r="Q19" s="363">
        <f t="shared" si="41"/>
        <v>0</v>
      </c>
      <c r="R19" s="357">
        <f t="shared" si="41"/>
        <v>0</v>
      </c>
      <c r="S19" s="342">
        <f t="shared" si="41"/>
        <v>0</v>
      </c>
      <c r="T19" s="342">
        <f t="shared" si="41"/>
        <v>0</v>
      </c>
      <c r="U19" s="342">
        <f t="shared" si="41"/>
        <v>4</v>
      </c>
      <c r="V19" s="342">
        <f t="shared" si="41"/>
        <v>4</v>
      </c>
      <c r="W19" s="342">
        <f t="shared" si="41"/>
        <v>0</v>
      </c>
      <c r="X19" s="342">
        <f t="shared" si="41"/>
        <v>0</v>
      </c>
      <c r="Y19" s="358">
        <f t="shared" si="41"/>
        <v>0</v>
      </c>
      <c r="Z19" s="357">
        <f t="shared" si="41"/>
        <v>0</v>
      </c>
      <c r="AA19" s="342">
        <f t="shared" si="41"/>
        <v>0</v>
      </c>
      <c r="AB19" s="342">
        <f t="shared" si="41"/>
        <v>0</v>
      </c>
      <c r="AC19" s="342">
        <f t="shared" si="41"/>
        <v>0</v>
      </c>
      <c r="AD19" s="342">
        <f t="shared" si="41"/>
        <v>1</v>
      </c>
      <c r="AE19" s="342">
        <f t="shared" si="41"/>
        <v>1</v>
      </c>
      <c r="AF19" s="342">
        <f t="shared" si="41"/>
        <v>1</v>
      </c>
      <c r="AG19" s="342">
        <f t="shared" si="41"/>
        <v>1</v>
      </c>
      <c r="AH19" s="342">
        <f t="shared" si="41"/>
        <v>1</v>
      </c>
      <c r="AI19" s="342">
        <f t="shared" si="41"/>
        <v>1</v>
      </c>
      <c r="AJ19" s="342">
        <f t="shared" si="41"/>
        <v>1</v>
      </c>
      <c r="AK19" s="342">
        <f t="shared" si="41"/>
        <v>1</v>
      </c>
      <c r="AL19" s="342">
        <f t="shared" si="41"/>
        <v>0</v>
      </c>
      <c r="AM19" s="342">
        <f t="shared" si="41"/>
        <v>0</v>
      </c>
      <c r="AN19" s="342">
        <f t="shared" si="41"/>
        <v>0</v>
      </c>
      <c r="AO19" s="358">
        <f t="shared" si="41"/>
        <v>0</v>
      </c>
      <c r="AP19" s="357">
        <f t="shared" si="41"/>
        <v>1</v>
      </c>
      <c r="AQ19" s="342">
        <f t="shared" si="41"/>
        <v>1</v>
      </c>
      <c r="AR19" s="342">
        <f t="shared" si="41"/>
        <v>1</v>
      </c>
      <c r="AS19" s="342">
        <f t="shared" si="41"/>
        <v>1</v>
      </c>
      <c r="AT19" s="342">
        <f t="shared" si="41"/>
        <v>4</v>
      </c>
      <c r="AU19" s="342">
        <f t="shared" si="41"/>
        <v>0</v>
      </c>
      <c r="AV19" s="342">
        <f t="shared" si="41"/>
        <v>0</v>
      </c>
      <c r="AW19" s="358">
        <f t="shared" si="41"/>
        <v>0</v>
      </c>
      <c r="AX19" s="350"/>
      <c r="AY19" s="345">
        <f t="shared" si="10"/>
        <v>32</v>
      </c>
      <c r="AZ19" s="346">
        <v>1</v>
      </c>
      <c r="BA19" s="346">
        <v>1</v>
      </c>
      <c r="BB19" s="346">
        <v>1</v>
      </c>
      <c r="BC19" s="346">
        <v>1</v>
      </c>
      <c r="BD19" s="345">
        <v>4</v>
      </c>
      <c r="BE19" s="345">
        <v>0</v>
      </c>
      <c r="BF19" s="345">
        <v>0</v>
      </c>
      <c r="BG19" s="345">
        <v>0</v>
      </c>
      <c r="BH19" s="346">
        <v>0</v>
      </c>
      <c r="BI19" s="346">
        <v>0</v>
      </c>
      <c r="BJ19" s="332">
        <v>0</v>
      </c>
      <c r="BK19" s="332">
        <v>4</v>
      </c>
      <c r="BL19" s="332">
        <v>4</v>
      </c>
      <c r="BM19" s="332">
        <v>0</v>
      </c>
      <c r="BN19" s="332">
        <v>0</v>
      </c>
      <c r="BO19" s="332">
        <v>0</v>
      </c>
      <c r="BP19" s="332">
        <v>0</v>
      </c>
      <c r="BQ19" s="332">
        <v>0</v>
      </c>
      <c r="BR19" s="332">
        <v>0</v>
      </c>
      <c r="BS19" s="332">
        <v>0</v>
      </c>
      <c r="BT19" s="332">
        <v>1</v>
      </c>
      <c r="BU19" s="332">
        <v>1</v>
      </c>
      <c r="BV19" s="332">
        <v>1</v>
      </c>
      <c r="BW19" s="332">
        <v>1</v>
      </c>
      <c r="BX19" s="332">
        <v>1</v>
      </c>
      <c r="BY19" s="332">
        <v>1</v>
      </c>
      <c r="BZ19" s="332">
        <v>1</v>
      </c>
      <c r="CA19" s="332">
        <v>1</v>
      </c>
      <c r="CB19" s="332">
        <v>0</v>
      </c>
      <c r="CC19" s="332">
        <v>0</v>
      </c>
      <c r="CD19" s="332">
        <v>0</v>
      </c>
      <c r="CE19" s="332">
        <v>0</v>
      </c>
      <c r="CF19" s="332">
        <v>1</v>
      </c>
      <c r="CG19" s="332">
        <v>1</v>
      </c>
      <c r="CH19" s="332">
        <v>1</v>
      </c>
      <c r="CI19" s="332">
        <v>1</v>
      </c>
      <c r="CJ19" s="332">
        <v>4</v>
      </c>
      <c r="CK19" s="332">
        <v>0</v>
      </c>
      <c r="CL19" s="332">
        <v>0</v>
      </c>
      <c r="CM19" s="332">
        <v>0</v>
      </c>
    </row>
    <row r="20" spans="1:91" ht="15.75" thickBot="1">
      <c r="A20" s="897"/>
      <c r="B20" s="898"/>
      <c r="C20" s="907"/>
      <c r="D20" s="907"/>
      <c r="E20" s="907"/>
      <c r="F20" s="907"/>
      <c r="G20" s="900"/>
      <c r="H20" s="902"/>
      <c r="I20" s="904"/>
      <c r="J20" s="889">
        <f>SUM(J19:M19)/$AY$20</f>
        <v>0.25</v>
      </c>
      <c r="K20" s="887"/>
      <c r="L20" s="887"/>
      <c r="M20" s="887"/>
      <c r="N20" s="886">
        <f>SUM(N19:Q19)/$AY$20</f>
        <v>0.25</v>
      </c>
      <c r="O20" s="887"/>
      <c r="P20" s="887"/>
      <c r="Q20" s="888"/>
      <c r="R20" s="889">
        <f>SUM(R19:U19)/$AY$20</f>
        <v>0.25</v>
      </c>
      <c r="S20" s="887"/>
      <c r="T20" s="887"/>
      <c r="U20" s="887"/>
      <c r="V20" s="886">
        <f>SUM(V19:Y19)/$AY$20</f>
        <v>0.25</v>
      </c>
      <c r="W20" s="887"/>
      <c r="X20" s="887"/>
      <c r="Y20" s="890"/>
      <c r="Z20" s="889">
        <f t="shared" ref="Z20" si="42">SUM(Z19:AC19)/$AY$19</f>
        <v>0</v>
      </c>
      <c r="AA20" s="887"/>
      <c r="AB20" s="887"/>
      <c r="AC20" s="887"/>
      <c r="AD20" s="886">
        <f t="shared" ref="AD20" si="43">SUM(AD19:AG19)/$AY$19</f>
        <v>0.125</v>
      </c>
      <c r="AE20" s="887"/>
      <c r="AF20" s="887"/>
      <c r="AG20" s="887"/>
      <c r="AH20" s="886">
        <f t="shared" ref="AH20" si="44">SUM(AH19:AK19)/$AY$19</f>
        <v>0.125</v>
      </c>
      <c r="AI20" s="887"/>
      <c r="AJ20" s="887"/>
      <c r="AK20" s="887"/>
      <c r="AL20" s="886">
        <f t="shared" ref="AL20" si="45">SUM(AL19:AO19)/$AY$19</f>
        <v>0</v>
      </c>
      <c r="AM20" s="887"/>
      <c r="AN20" s="887"/>
      <c r="AO20" s="890"/>
      <c r="AP20" s="889">
        <f t="shared" ref="AP20" si="46">SUM(AP19:AS19)/$AY$19</f>
        <v>0.125</v>
      </c>
      <c r="AQ20" s="887"/>
      <c r="AR20" s="887"/>
      <c r="AS20" s="887"/>
      <c r="AT20" s="886">
        <f t="shared" ref="AT20" si="47">SUM(AT19:AW19)/$AY$19</f>
        <v>0.125</v>
      </c>
      <c r="AU20" s="887"/>
      <c r="AV20" s="887"/>
      <c r="AW20" s="890"/>
      <c r="AX20" s="350">
        <f t="shared" si="17"/>
        <v>1.5</v>
      </c>
      <c r="AY20" s="345">
        <f>SUM(AZ19:BO19)</f>
        <v>16</v>
      </c>
      <c r="AZ20" s="346"/>
      <c r="BA20" s="346"/>
      <c r="BB20" s="346"/>
      <c r="BC20" s="346"/>
      <c r="BD20" s="345"/>
      <c r="BE20" s="345"/>
      <c r="BF20" s="345"/>
      <c r="BG20" s="345"/>
      <c r="BH20" s="346"/>
      <c r="BI20" s="346"/>
    </row>
    <row r="21" spans="1:91" ht="15.75" thickBot="1">
      <c r="A21" s="897"/>
      <c r="B21" s="898"/>
      <c r="C21" s="908"/>
      <c r="D21" s="908"/>
      <c r="E21" s="908"/>
      <c r="F21" s="908"/>
      <c r="G21" s="900"/>
      <c r="H21" s="902"/>
      <c r="I21" s="905"/>
      <c r="J21" s="912">
        <f>J18+J20*G19/G31</f>
        <v>0.11858115494373403</v>
      </c>
      <c r="K21" s="913"/>
      <c r="L21" s="913"/>
      <c r="M21" s="913"/>
      <c r="N21" s="892">
        <f>N18+N20*G19/G31</f>
        <v>0.37637040988072751</v>
      </c>
      <c r="O21" s="892"/>
      <c r="P21" s="892"/>
      <c r="Q21" s="893"/>
      <c r="R21" s="891">
        <f>R18+R20*G19/G31</f>
        <v>0.7203863829449505</v>
      </c>
      <c r="S21" s="892"/>
      <c r="T21" s="892"/>
      <c r="U21" s="892"/>
      <c r="V21" s="892">
        <f>V18+V20*G19/G31</f>
        <v>0.97817563788194395</v>
      </c>
      <c r="W21" s="892"/>
      <c r="X21" s="892"/>
      <c r="Y21" s="911"/>
      <c r="Z21" s="912">
        <f>Z18+Z20*$G$19/$G$31</f>
        <v>1.0441582464683339</v>
      </c>
      <c r="AA21" s="913"/>
      <c r="AB21" s="913"/>
      <c r="AC21" s="913"/>
      <c r="AD21" s="892">
        <f>AD18+AD20*G19/G31</f>
        <v>1.1632123854666314</v>
      </c>
      <c r="AE21" s="892"/>
      <c r="AF21" s="892"/>
      <c r="AG21" s="892"/>
      <c r="AH21" s="892">
        <f>AH18+AH20*G19/G31</f>
        <v>1.2822665244649289</v>
      </c>
      <c r="AI21" s="892"/>
      <c r="AJ21" s="892"/>
      <c r="AK21" s="892"/>
      <c r="AL21" s="892">
        <f>AL18+AL20*G19/G31</f>
        <v>1.2879310397159047</v>
      </c>
      <c r="AM21" s="892"/>
      <c r="AN21" s="892"/>
      <c r="AO21" s="911"/>
      <c r="AP21" s="912">
        <f>AP18+AP20*G19/G31</f>
        <v>1.4393324619494616</v>
      </c>
      <c r="AQ21" s="913"/>
      <c r="AR21" s="913"/>
      <c r="AS21" s="913"/>
      <c r="AT21" s="892">
        <f>AT18+AT20*G19/G31</f>
        <v>1.5512092170621889</v>
      </c>
      <c r="AU21" s="892"/>
      <c r="AV21" s="892"/>
      <c r="AW21" s="911"/>
      <c r="AX21" s="350"/>
      <c r="AY21" s="345"/>
      <c r="AZ21" s="346"/>
      <c r="BA21" s="346"/>
      <c r="BB21" s="346"/>
      <c r="BC21" s="346"/>
      <c r="BD21" s="345"/>
      <c r="BE21" s="345"/>
      <c r="BF21" s="345"/>
      <c r="BG21" s="345"/>
      <c r="BH21" s="346"/>
      <c r="BI21" s="346"/>
    </row>
    <row r="22" spans="1:91" ht="15.75" thickBot="1">
      <c r="A22" s="897">
        <v>6</v>
      </c>
      <c r="B22" s="898" t="s">
        <v>329</v>
      </c>
      <c r="C22" s="906">
        <f>'PLANILHA CONSOLIDADA'!L54</f>
        <v>28359.13</v>
      </c>
      <c r="D22" s="906">
        <f>'PLANILHA CONSOLIDADA'!M54</f>
        <v>20992.07</v>
      </c>
      <c r="E22" s="906">
        <f>'PLANILHA CONSOLIDADA'!N54</f>
        <v>15995.28</v>
      </c>
      <c r="F22" s="906">
        <f>'PLANILHA CONSOLIDADA'!O54</f>
        <v>29427.48</v>
      </c>
      <c r="G22" s="899">
        <f t="shared" ref="G22" si="48">SUM(C22:D22)</f>
        <v>49351.199999999997</v>
      </c>
      <c r="H22" s="901">
        <f t="shared" ref="H22" si="49">G22/$G$31</f>
        <v>1.5326147981232481E-2</v>
      </c>
      <c r="I22" s="903">
        <f t="shared" ref="I22" si="50">H22+I19</f>
        <v>0.94335484749024168</v>
      </c>
      <c r="J22" s="357">
        <f>AZ22</f>
        <v>0</v>
      </c>
      <c r="K22" s="342">
        <f t="shared" ref="K22:AW22" si="51">BA22</f>
        <v>0</v>
      </c>
      <c r="L22" s="342">
        <f t="shared" si="51"/>
        <v>0</v>
      </c>
      <c r="M22" s="342">
        <f t="shared" si="51"/>
        <v>0</v>
      </c>
      <c r="N22" s="342">
        <f t="shared" si="51"/>
        <v>0</v>
      </c>
      <c r="O22" s="342">
        <f t="shared" si="51"/>
        <v>4</v>
      </c>
      <c r="P22" s="342">
        <f t="shared" si="51"/>
        <v>0</v>
      </c>
      <c r="Q22" s="363">
        <f t="shared" si="51"/>
        <v>0</v>
      </c>
      <c r="R22" s="357">
        <f t="shared" si="51"/>
        <v>0</v>
      </c>
      <c r="S22" s="342">
        <f t="shared" si="51"/>
        <v>0</v>
      </c>
      <c r="T22" s="342">
        <f t="shared" si="51"/>
        <v>0</v>
      </c>
      <c r="U22" s="342">
        <f t="shared" si="51"/>
        <v>0</v>
      </c>
      <c r="V22" s="342">
        <f t="shared" si="51"/>
        <v>0</v>
      </c>
      <c r="W22" s="342">
        <f t="shared" si="51"/>
        <v>4</v>
      </c>
      <c r="X22" s="342">
        <f t="shared" si="51"/>
        <v>0</v>
      </c>
      <c r="Y22" s="358">
        <f t="shared" si="51"/>
        <v>0</v>
      </c>
      <c r="Z22" s="357">
        <f t="shared" si="51"/>
        <v>0</v>
      </c>
      <c r="AA22" s="342">
        <f t="shared" si="51"/>
        <v>0</v>
      </c>
      <c r="AB22" s="342">
        <f t="shared" si="51"/>
        <v>0</v>
      </c>
      <c r="AC22" s="342">
        <f t="shared" si="51"/>
        <v>0</v>
      </c>
      <c r="AD22" s="342">
        <f t="shared" si="51"/>
        <v>0</v>
      </c>
      <c r="AE22" s="342">
        <f t="shared" si="51"/>
        <v>0</v>
      </c>
      <c r="AF22" s="342">
        <f t="shared" si="51"/>
        <v>0</v>
      </c>
      <c r="AG22" s="342">
        <f t="shared" si="51"/>
        <v>0</v>
      </c>
      <c r="AH22" s="342">
        <f t="shared" si="51"/>
        <v>0</v>
      </c>
      <c r="AI22" s="342">
        <f t="shared" si="51"/>
        <v>0</v>
      </c>
      <c r="AJ22" s="342">
        <f t="shared" si="51"/>
        <v>0</v>
      </c>
      <c r="AK22" s="342">
        <f t="shared" si="51"/>
        <v>0</v>
      </c>
      <c r="AL22" s="342">
        <f t="shared" si="51"/>
        <v>4</v>
      </c>
      <c r="AM22" s="342">
        <f t="shared" si="51"/>
        <v>0</v>
      </c>
      <c r="AN22" s="342">
        <f t="shared" si="51"/>
        <v>0</v>
      </c>
      <c r="AO22" s="358">
        <f t="shared" si="51"/>
        <v>0</v>
      </c>
      <c r="AP22" s="357">
        <f t="shared" si="51"/>
        <v>0</v>
      </c>
      <c r="AQ22" s="342">
        <f t="shared" si="51"/>
        <v>0</v>
      </c>
      <c r="AR22" s="342">
        <f t="shared" si="51"/>
        <v>0</v>
      </c>
      <c r="AS22" s="342">
        <f t="shared" si="51"/>
        <v>0</v>
      </c>
      <c r="AT22" s="342">
        <f t="shared" si="51"/>
        <v>0</v>
      </c>
      <c r="AU22" s="342">
        <f t="shared" si="51"/>
        <v>4</v>
      </c>
      <c r="AV22" s="342">
        <f t="shared" si="51"/>
        <v>0</v>
      </c>
      <c r="AW22" s="358">
        <f t="shared" si="51"/>
        <v>0</v>
      </c>
      <c r="AX22" s="350"/>
      <c r="AY22" s="345">
        <f t="shared" si="10"/>
        <v>16</v>
      </c>
      <c r="AZ22" s="346">
        <v>0</v>
      </c>
      <c r="BA22" s="346">
        <v>0</v>
      </c>
      <c r="BB22" s="346">
        <v>0</v>
      </c>
      <c r="BC22" s="346">
        <v>0</v>
      </c>
      <c r="BD22" s="345">
        <v>0</v>
      </c>
      <c r="BE22" s="345">
        <v>4</v>
      </c>
      <c r="BF22" s="345">
        <v>0</v>
      </c>
      <c r="BG22" s="345">
        <v>0</v>
      </c>
      <c r="BH22" s="346">
        <v>0</v>
      </c>
      <c r="BI22" s="346">
        <v>0</v>
      </c>
      <c r="BJ22" s="332">
        <v>0</v>
      </c>
      <c r="BK22" s="332">
        <v>0</v>
      </c>
      <c r="BL22" s="332">
        <v>0</v>
      </c>
      <c r="BM22" s="332">
        <v>4</v>
      </c>
      <c r="BN22" s="332">
        <v>0</v>
      </c>
      <c r="BO22" s="332">
        <v>0</v>
      </c>
      <c r="BP22" s="332">
        <v>0</v>
      </c>
      <c r="BQ22" s="332">
        <v>0</v>
      </c>
      <c r="BR22" s="332">
        <v>0</v>
      </c>
      <c r="BS22" s="332">
        <v>0</v>
      </c>
      <c r="BT22">
        <v>0</v>
      </c>
      <c r="BU22">
        <v>0</v>
      </c>
      <c r="BV22">
        <v>0</v>
      </c>
      <c r="BW22">
        <v>0</v>
      </c>
      <c r="BX22" s="332">
        <v>0</v>
      </c>
      <c r="BY22" s="332">
        <v>0</v>
      </c>
      <c r="BZ22" s="332">
        <v>0</v>
      </c>
      <c r="CA22" s="332">
        <v>0</v>
      </c>
      <c r="CB22">
        <v>4</v>
      </c>
      <c r="CC22" s="332">
        <v>0</v>
      </c>
      <c r="CD22" s="332">
        <v>0</v>
      </c>
      <c r="CE22" s="332">
        <v>0</v>
      </c>
      <c r="CF22" s="332">
        <v>0</v>
      </c>
      <c r="CG22" s="332">
        <v>0</v>
      </c>
      <c r="CH22" s="332">
        <v>0</v>
      </c>
      <c r="CI22" s="332">
        <v>0</v>
      </c>
      <c r="CJ22">
        <v>0</v>
      </c>
      <c r="CK22">
        <v>4</v>
      </c>
      <c r="CL22" s="332">
        <v>0</v>
      </c>
      <c r="CM22" s="332">
        <v>0</v>
      </c>
    </row>
    <row r="23" spans="1:91" ht="15.75" thickBot="1">
      <c r="A23" s="897"/>
      <c r="B23" s="898"/>
      <c r="C23" s="907"/>
      <c r="D23" s="907"/>
      <c r="E23" s="907"/>
      <c r="F23" s="907"/>
      <c r="G23" s="900"/>
      <c r="H23" s="902"/>
      <c r="I23" s="904"/>
      <c r="J23" s="891">
        <f>SUM(J22:M22)/$AY$23</f>
        <v>0</v>
      </c>
      <c r="K23" s="914"/>
      <c r="L23" s="914"/>
      <c r="M23" s="914"/>
      <c r="N23" s="892">
        <f>SUM(N22:Q22)/$AY$23</f>
        <v>0.5</v>
      </c>
      <c r="O23" s="914"/>
      <c r="P23" s="914"/>
      <c r="Q23" s="894"/>
      <c r="R23" s="891">
        <f>SUM(R22:U22)/$AY$23</f>
        <v>0</v>
      </c>
      <c r="S23" s="914"/>
      <c r="T23" s="914"/>
      <c r="U23" s="914"/>
      <c r="V23" s="892">
        <f>SUM(V22:Y22)/$AY$23</f>
        <v>0.5</v>
      </c>
      <c r="W23" s="914"/>
      <c r="X23" s="914"/>
      <c r="Y23" s="915"/>
      <c r="Z23" s="891">
        <f t="shared" ref="Z23" si="52">SUM(Z22:AC22)/$AY$22</f>
        <v>0</v>
      </c>
      <c r="AA23" s="914"/>
      <c r="AB23" s="914"/>
      <c r="AC23" s="914"/>
      <c r="AD23" s="892">
        <f t="shared" ref="AD23" si="53">SUM(AD22:AG22)/$AY$22</f>
        <v>0</v>
      </c>
      <c r="AE23" s="914"/>
      <c r="AF23" s="914"/>
      <c r="AG23" s="914"/>
      <c r="AH23" s="892">
        <f t="shared" ref="AH23" si="54">SUM(AH22:AK22)/$AY$22</f>
        <v>0</v>
      </c>
      <c r="AI23" s="914"/>
      <c r="AJ23" s="914"/>
      <c r="AK23" s="914"/>
      <c r="AL23" s="892">
        <f t="shared" ref="AL23" si="55">SUM(AL22:AO22)/$AY$22</f>
        <v>0.25</v>
      </c>
      <c r="AM23" s="914"/>
      <c r="AN23" s="914"/>
      <c r="AO23" s="915"/>
      <c r="AP23" s="891">
        <f t="shared" ref="AP23" si="56">SUM(AP22:AS22)/$AY$22</f>
        <v>0</v>
      </c>
      <c r="AQ23" s="914"/>
      <c r="AR23" s="914"/>
      <c r="AS23" s="914"/>
      <c r="AT23" s="892">
        <f t="shared" ref="AT23" si="57">SUM(AT22:AW22)/$AY$22</f>
        <v>0.25</v>
      </c>
      <c r="AU23" s="914"/>
      <c r="AV23" s="914"/>
      <c r="AW23" s="915"/>
      <c r="AX23" s="350">
        <f t="shared" si="17"/>
        <v>1.5</v>
      </c>
      <c r="AY23" s="345">
        <f>SUM(AZ22:BO22)</f>
        <v>8</v>
      </c>
      <c r="AZ23" s="346"/>
      <c r="BA23" s="346"/>
      <c r="BB23" s="346"/>
      <c r="BC23" s="346"/>
      <c r="BD23" s="345"/>
      <c r="BE23" s="345"/>
      <c r="BF23" s="345"/>
      <c r="BG23" s="345"/>
      <c r="BH23" s="346"/>
      <c r="BI23" s="346"/>
    </row>
    <row r="24" spans="1:91" ht="15.75" thickBot="1">
      <c r="A24" s="897"/>
      <c r="B24" s="898"/>
      <c r="C24" s="908"/>
      <c r="D24" s="908"/>
      <c r="E24" s="908"/>
      <c r="F24" s="908"/>
      <c r="G24" s="900"/>
      <c r="H24" s="902"/>
      <c r="I24" s="905"/>
      <c r="J24" s="912">
        <f>J21+J23*G22/G31</f>
        <v>0.11858115494373403</v>
      </c>
      <c r="K24" s="913"/>
      <c r="L24" s="913"/>
      <c r="M24" s="913"/>
      <c r="N24" s="893">
        <f>N21+N23*G22/G31</f>
        <v>0.38403348387134373</v>
      </c>
      <c r="O24" s="916"/>
      <c r="P24" s="916"/>
      <c r="Q24" s="916"/>
      <c r="R24" s="917">
        <f>R21+R23*G22/G31</f>
        <v>0.7203863829449505</v>
      </c>
      <c r="S24" s="916"/>
      <c r="T24" s="916"/>
      <c r="U24" s="918"/>
      <c r="V24" s="893">
        <f>V21+V23*G22/G31</f>
        <v>0.98583871187256022</v>
      </c>
      <c r="W24" s="916"/>
      <c r="X24" s="916"/>
      <c r="Y24" s="919"/>
      <c r="Z24" s="922">
        <f>Z21+Z23*$G$22/$G$31</f>
        <v>1.0441582464683339</v>
      </c>
      <c r="AA24" s="921"/>
      <c r="AB24" s="921"/>
      <c r="AC24" s="923"/>
      <c r="AD24" s="893">
        <f>AD21+AD23*G22/G31</f>
        <v>1.1632123854666314</v>
      </c>
      <c r="AE24" s="916"/>
      <c r="AF24" s="916"/>
      <c r="AG24" s="918"/>
      <c r="AH24" s="893">
        <f>AH21+AH23*G22/G31</f>
        <v>1.2822665244649289</v>
      </c>
      <c r="AI24" s="916"/>
      <c r="AJ24" s="916"/>
      <c r="AK24" s="918"/>
      <c r="AL24" s="893">
        <f>AL21+AL23*G22/G31</f>
        <v>1.2917625767112129</v>
      </c>
      <c r="AM24" s="916"/>
      <c r="AN24" s="916"/>
      <c r="AO24" s="919"/>
      <c r="AP24" s="922">
        <f>AP21+AP23*G22/G31</f>
        <v>1.4393324619494616</v>
      </c>
      <c r="AQ24" s="921"/>
      <c r="AR24" s="921"/>
      <c r="AS24" s="923"/>
      <c r="AT24" s="893">
        <f>AT21+AT23*G22/G31</f>
        <v>1.5550407540574971</v>
      </c>
      <c r="AU24" s="916"/>
      <c r="AV24" s="916"/>
      <c r="AW24" s="919"/>
      <c r="AX24" s="350"/>
      <c r="AY24" s="345"/>
      <c r="AZ24" s="346"/>
      <c r="BA24" s="346"/>
      <c r="BB24" s="346"/>
      <c r="BC24" s="346"/>
      <c r="BD24" s="345"/>
      <c r="BE24" s="345"/>
      <c r="BF24" s="345"/>
      <c r="BG24" s="345"/>
      <c r="BH24" s="346"/>
      <c r="BI24" s="346"/>
    </row>
    <row r="25" spans="1:91" ht="15.75" hidden="1" thickBot="1">
      <c r="A25" s="925">
        <v>7</v>
      </c>
      <c r="B25" s="928" t="s">
        <v>476</v>
      </c>
      <c r="C25" s="906">
        <f>'PLANILHA CONSOLIDADA'!L56</f>
        <v>0</v>
      </c>
      <c r="D25" s="906">
        <f>'PLANILHA CONSOLIDADA'!M56</f>
        <v>0</v>
      </c>
      <c r="E25" s="906">
        <f>'PLANILHA CONSOLIDADA'!N56</f>
        <v>4713.5300000000007</v>
      </c>
      <c r="F25" s="906">
        <f>'PLANILHA CONSOLIDADA'!O56</f>
        <v>0</v>
      </c>
      <c r="G25" s="899">
        <f t="shared" ref="G25" si="58">SUM(C25:D25)</f>
        <v>0</v>
      </c>
      <c r="H25" s="901">
        <f t="shared" ref="H25" si="59">G25/$G$31</f>
        <v>0</v>
      </c>
      <c r="I25" s="903">
        <f t="shared" ref="I25" si="60">H25+I22</f>
        <v>0.94335484749024168</v>
      </c>
      <c r="J25" s="359">
        <f>AZ25</f>
        <v>0</v>
      </c>
      <c r="K25" s="343">
        <f t="shared" ref="K25:AW25" si="61">BA25</f>
        <v>0</v>
      </c>
      <c r="L25" s="343">
        <f t="shared" si="61"/>
        <v>0</v>
      </c>
      <c r="M25" s="343">
        <f t="shared" si="61"/>
        <v>0</v>
      </c>
      <c r="N25" s="343">
        <f t="shared" si="61"/>
        <v>0</v>
      </c>
      <c r="O25" s="343">
        <f t="shared" si="61"/>
        <v>0</v>
      </c>
      <c r="P25" s="343">
        <f t="shared" si="61"/>
        <v>0</v>
      </c>
      <c r="Q25" s="344">
        <f t="shared" si="61"/>
        <v>0</v>
      </c>
      <c r="R25" s="359">
        <f t="shared" si="61"/>
        <v>0</v>
      </c>
      <c r="S25" s="343">
        <f t="shared" si="61"/>
        <v>0</v>
      </c>
      <c r="T25" s="343">
        <f t="shared" si="61"/>
        <v>0</v>
      </c>
      <c r="U25" s="343">
        <f t="shared" si="61"/>
        <v>0</v>
      </c>
      <c r="V25" s="343">
        <f t="shared" si="61"/>
        <v>0</v>
      </c>
      <c r="W25" s="343">
        <f t="shared" si="61"/>
        <v>0</v>
      </c>
      <c r="X25" s="343">
        <f t="shared" si="61"/>
        <v>0</v>
      </c>
      <c r="Y25" s="360">
        <f t="shared" si="61"/>
        <v>0</v>
      </c>
      <c r="Z25" s="359">
        <f t="shared" si="61"/>
        <v>0</v>
      </c>
      <c r="AA25" s="343">
        <f t="shared" si="61"/>
        <v>0</v>
      </c>
      <c r="AB25" s="343">
        <f t="shared" si="61"/>
        <v>0</v>
      </c>
      <c r="AC25" s="343">
        <f t="shared" si="61"/>
        <v>0</v>
      </c>
      <c r="AD25" s="343">
        <f t="shared" si="61"/>
        <v>0</v>
      </c>
      <c r="AE25" s="343">
        <f t="shared" si="61"/>
        <v>0</v>
      </c>
      <c r="AF25" s="343">
        <f t="shared" si="61"/>
        <v>0</v>
      </c>
      <c r="AG25" s="343">
        <f t="shared" si="61"/>
        <v>0</v>
      </c>
      <c r="AH25" s="343">
        <f t="shared" si="61"/>
        <v>0</v>
      </c>
      <c r="AI25" s="343">
        <f t="shared" si="61"/>
        <v>0</v>
      </c>
      <c r="AJ25" s="343">
        <f t="shared" si="61"/>
        <v>0</v>
      </c>
      <c r="AK25" s="343">
        <f t="shared" si="61"/>
        <v>4</v>
      </c>
      <c r="AL25" s="343">
        <f t="shared" si="61"/>
        <v>4</v>
      </c>
      <c r="AM25" s="343">
        <f t="shared" si="61"/>
        <v>0</v>
      </c>
      <c r="AN25" s="343">
        <f t="shared" si="61"/>
        <v>0</v>
      </c>
      <c r="AO25" s="360">
        <f t="shared" si="61"/>
        <v>0</v>
      </c>
      <c r="AP25" s="359">
        <f t="shared" si="61"/>
        <v>0</v>
      </c>
      <c r="AQ25" s="343">
        <f t="shared" si="61"/>
        <v>0</v>
      </c>
      <c r="AR25" s="343">
        <f t="shared" si="61"/>
        <v>0</v>
      </c>
      <c r="AS25" s="343">
        <f t="shared" si="61"/>
        <v>0</v>
      </c>
      <c r="AT25" s="343">
        <f t="shared" si="61"/>
        <v>0</v>
      </c>
      <c r="AU25" s="343">
        <f t="shared" si="61"/>
        <v>0</v>
      </c>
      <c r="AV25" s="343">
        <f t="shared" si="61"/>
        <v>0</v>
      </c>
      <c r="AW25" s="360">
        <f t="shared" si="61"/>
        <v>0</v>
      </c>
      <c r="AX25" s="350"/>
      <c r="AY25" s="345">
        <f t="shared" si="10"/>
        <v>8</v>
      </c>
      <c r="AZ25" s="346">
        <v>0</v>
      </c>
      <c r="BA25" s="346">
        <v>0</v>
      </c>
      <c r="BB25" s="346">
        <v>0</v>
      </c>
      <c r="BC25" s="346">
        <v>0</v>
      </c>
      <c r="BD25" s="345">
        <v>0</v>
      </c>
      <c r="BE25" s="345">
        <v>0</v>
      </c>
      <c r="BF25" s="345">
        <v>0</v>
      </c>
      <c r="BG25" s="345">
        <v>0</v>
      </c>
      <c r="BH25" s="346">
        <v>0</v>
      </c>
      <c r="BI25" s="346">
        <v>0</v>
      </c>
      <c r="BJ25" s="332">
        <v>0</v>
      </c>
      <c r="BK25" s="332">
        <v>0</v>
      </c>
      <c r="BL25" s="332">
        <v>0</v>
      </c>
      <c r="BM25" s="332">
        <v>0</v>
      </c>
      <c r="BN25" s="332">
        <v>0</v>
      </c>
      <c r="BO25" s="332">
        <v>0</v>
      </c>
      <c r="BP25" s="332">
        <v>0</v>
      </c>
      <c r="BQ25" s="332">
        <v>0</v>
      </c>
      <c r="BR25" s="332">
        <v>0</v>
      </c>
      <c r="BS25" s="332">
        <v>0</v>
      </c>
      <c r="BT25" s="332">
        <v>0</v>
      </c>
      <c r="BU25" s="332">
        <v>0</v>
      </c>
      <c r="BV25" s="332">
        <v>0</v>
      </c>
      <c r="BW25" s="332">
        <v>0</v>
      </c>
      <c r="BX25" s="332">
        <v>0</v>
      </c>
      <c r="BY25" s="332">
        <v>0</v>
      </c>
      <c r="BZ25" s="332">
        <v>0</v>
      </c>
      <c r="CA25" s="332">
        <v>4</v>
      </c>
      <c r="CB25" s="332">
        <v>4</v>
      </c>
      <c r="CC25" s="332">
        <v>0</v>
      </c>
      <c r="CD25" s="332">
        <v>0</v>
      </c>
      <c r="CE25" s="332">
        <v>0</v>
      </c>
      <c r="CF25" s="332">
        <v>0</v>
      </c>
      <c r="CG25" s="332">
        <v>0</v>
      </c>
      <c r="CH25" s="332">
        <v>0</v>
      </c>
      <c r="CI25" s="332">
        <v>0</v>
      </c>
      <c r="CJ25" s="332">
        <v>0</v>
      </c>
      <c r="CK25" s="332">
        <v>0</v>
      </c>
      <c r="CL25" s="332">
        <v>0</v>
      </c>
      <c r="CM25" s="332">
        <v>0</v>
      </c>
    </row>
    <row r="26" spans="1:91" ht="15.75" hidden="1" thickBot="1">
      <c r="A26" s="926"/>
      <c r="B26" s="929"/>
      <c r="C26" s="907"/>
      <c r="D26" s="907"/>
      <c r="E26" s="907"/>
      <c r="F26" s="907"/>
      <c r="G26" s="900"/>
      <c r="H26" s="902"/>
      <c r="I26" s="904"/>
      <c r="J26" s="922">
        <f>SUM(J25:M25)/$AY$25</f>
        <v>0</v>
      </c>
      <c r="K26" s="921"/>
      <c r="L26" s="921"/>
      <c r="M26" s="923"/>
      <c r="N26" s="920">
        <f t="shared" ref="N26" si="62">SUM(N25:Q25)/$AY$25</f>
        <v>0</v>
      </c>
      <c r="O26" s="921"/>
      <c r="P26" s="921"/>
      <c r="Q26" s="921"/>
      <c r="R26" s="922">
        <f t="shared" ref="R26" si="63">SUM(R25:U25)/$AY$25</f>
        <v>0</v>
      </c>
      <c r="S26" s="921"/>
      <c r="T26" s="921"/>
      <c r="U26" s="923"/>
      <c r="V26" s="920">
        <f t="shared" ref="V26" si="64">SUM(V25:Y25)/$AY$25</f>
        <v>0</v>
      </c>
      <c r="W26" s="921"/>
      <c r="X26" s="921"/>
      <c r="Y26" s="924"/>
      <c r="Z26" s="922">
        <f t="shared" ref="Z26" si="65">SUM(Z25:AC25)/$AY$25</f>
        <v>0</v>
      </c>
      <c r="AA26" s="921"/>
      <c r="AB26" s="921"/>
      <c r="AC26" s="923"/>
      <c r="AD26" s="920">
        <f t="shared" ref="AD26" si="66">SUM(AD25:AG25)/$AY$25</f>
        <v>0</v>
      </c>
      <c r="AE26" s="921"/>
      <c r="AF26" s="921"/>
      <c r="AG26" s="923"/>
      <c r="AH26" s="920">
        <f t="shared" ref="AH26" si="67">SUM(AH25:AK25)/$AY$25</f>
        <v>0.5</v>
      </c>
      <c r="AI26" s="921"/>
      <c r="AJ26" s="921"/>
      <c r="AK26" s="923"/>
      <c r="AL26" s="920">
        <f t="shared" ref="AL26" si="68">SUM(AL25:AO25)/$AY$25</f>
        <v>0.5</v>
      </c>
      <c r="AM26" s="921"/>
      <c r="AN26" s="921"/>
      <c r="AO26" s="924"/>
      <c r="AP26" s="922">
        <f t="shared" ref="AP26" si="69">SUM(AP25:AS25)/$AY$25</f>
        <v>0</v>
      </c>
      <c r="AQ26" s="921"/>
      <c r="AR26" s="921"/>
      <c r="AS26" s="923"/>
      <c r="AT26" s="920">
        <f t="shared" ref="AT26" si="70">SUM(AT25:AW25)/$AY$25</f>
        <v>0</v>
      </c>
      <c r="AU26" s="921"/>
      <c r="AV26" s="921"/>
      <c r="AW26" s="924"/>
      <c r="AX26" s="350">
        <f t="shared" si="17"/>
        <v>1</v>
      </c>
      <c r="AY26" s="345">
        <f>SUM(AZ25:BG25)</f>
        <v>0</v>
      </c>
      <c r="AZ26" s="346"/>
      <c r="BA26" s="346"/>
      <c r="BB26" s="346"/>
      <c r="BC26" s="346"/>
      <c r="BD26" s="345"/>
      <c r="BE26" s="345"/>
      <c r="BF26" s="345"/>
      <c r="BG26" s="345"/>
      <c r="BH26" s="346"/>
      <c r="BI26" s="346"/>
    </row>
    <row r="27" spans="1:91" ht="15.75" hidden="1" thickBot="1">
      <c r="A27" s="927"/>
      <c r="B27" s="930"/>
      <c r="C27" s="908"/>
      <c r="D27" s="908"/>
      <c r="E27" s="908"/>
      <c r="F27" s="908"/>
      <c r="G27" s="900"/>
      <c r="H27" s="902"/>
      <c r="I27" s="905"/>
      <c r="J27" s="922">
        <f>J24+J26*$G$25</f>
        <v>0.11858115494373403</v>
      </c>
      <c r="K27" s="921"/>
      <c r="L27" s="921"/>
      <c r="M27" s="923"/>
      <c r="N27" s="893">
        <f>N24+N26*G25/G31</f>
        <v>0.38403348387134373</v>
      </c>
      <c r="O27" s="916"/>
      <c r="P27" s="916"/>
      <c r="Q27" s="916"/>
      <c r="R27" s="917">
        <f>R24+R26*G25/G31</f>
        <v>0.7203863829449505</v>
      </c>
      <c r="S27" s="916"/>
      <c r="T27" s="916"/>
      <c r="U27" s="918"/>
      <c r="V27" s="893">
        <f>V24+V26*G25/G31</f>
        <v>0.98583871187256022</v>
      </c>
      <c r="W27" s="916"/>
      <c r="X27" s="916"/>
      <c r="Y27" s="919"/>
      <c r="Z27" s="922">
        <f>Z24+Z26*$G$25/$G$31</f>
        <v>1.0441582464683339</v>
      </c>
      <c r="AA27" s="921"/>
      <c r="AB27" s="921"/>
      <c r="AC27" s="923"/>
      <c r="AD27" s="893">
        <f>AD24+AD26*G25/G31</f>
        <v>1.1632123854666314</v>
      </c>
      <c r="AE27" s="916"/>
      <c r="AF27" s="916"/>
      <c r="AG27" s="918"/>
      <c r="AH27" s="893">
        <f>AH24+AH26*G25/G31</f>
        <v>1.2822665244649289</v>
      </c>
      <c r="AI27" s="916"/>
      <c r="AJ27" s="916"/>
      <c r="AK27" s="918"/>
      <c r="AL27" s="893">
        <f>AL24+AL26*G25/G31</f>
        <v>1.2917625767112129</v>
      </c>
      <c r="AM27" s="916"/>
      <c r="AN27" s="916"/>
      <c r="AO27" s="919"/>
      <c r="AP27" s="922">
        <f>AP24+AP26*G7/G31</f>
        <v>1.4393324619494616</v>
      </c>
      <c r="AQ27" s="921"/>
      <c r="AR27" s="921"/>
      <c r="AS27" s="923"/>
      <c r="AT27" s="893">
        <f>AT24+AT26*G25/G31</f>
        <v>1.5550407540574971</v>
      </c>
      <c r="AU27" s="916"/>
      <c r="AV27" s="916"/>
      <c r="AW27" s="919"/>
      <c r="AX27" s="350"/>
      <c r="AY27" s="345"/>
      <c r="AZ27" s="346"/>
      <c r="BA27" s="346"/>
      <c r="BB27" s="346"/>
      <c r="BC27" s="346"/>
      <c r="BD27" s="345"/>
      <c r="BE27" s="345"/>
      <c r="BF27" s="345"/>
      <c r="BG27" s="345"/>
      <c r="BH27" s="346"/>
      <c r="BI27" s="346"/>
    </row>
    <row r="28" spans="1:91" ht="15.75" thickBot="1">
      <c r="A28" s="897">
        <v>7</v>
      </c>
      <c r="B28" s="938" t="s">
        <v>696</v>
      </c>
      <c r="C28" s="906">
        <f>'PLANILHA CONSOLIDADA'!L59</f>
        <v>83805.91</v>
      </c>
      <c r="D28" s="906">
        <f>'PLANILHA CONSOLIDADA'!M59</f>
        <v>98595.19</v>
      </c>
      <c r="E28" s="906">
        <f>'PLANILHA CONSOLIDADA'!N59</f>
        <v>195957.95</v>
      </c>
      <c r="F28" s="906">
        <f>'PLANILHA CONSOLIDADA'!O59</f>
        <v>89351.89</v>
      </c>
      <c r="G28" s="899">
        <f t="shared" ref="G28" si="71">SUM(C28:D28)</f>
        <v>182401.1</v>
      </c>
      <c r="H28" s="901">
        <f t="shared" ref="H28" si="72">G28/$G$31</f>
        <v>5.6645152509758309E-2</v>
      </c>
      <c r="I28" s="903">
        <f t="shared" ref="I28" si="73">H28+I25</f>
        <v>1</v>
      </c>
      <c r="J28" s="357">
        <f>AZ29</f>
        <v>1</v>
      </c>
      <c r="K28" s="342">
        <f t="shared" ref="K28:AW28" si="74">BA29</f>
        <v>1</v>
      </c>
      <c r="L28" s="342">
        <f t="shared" si="74"/>
        <v>1</v>
      </c>
      <c r="M28" s="342">
        <f t="shared" si="74"/>
        <v>1</v>
      </c>
      <c r="N28" s="342">
        <f t="shared" si="74"/>
        <v>2</v>
      </c>
      <c r="O28" s="342">
        <f t="shared" si="74"/>
        <v>2</v>
      </c>
      <c r="P28" s="342">
        <f t="shared" si="74"/>
        <v>0</v>
      </c>
      <c r="Q28" s="363">
        <f t="shared" si="74"/>
        <v>0</v>
      </c>
      <c r="R28" s="357">
        <f t="shared" si="74"/>
        <v>1</v>
      </c>
      <c r="S28" s="342">
        <f t="shared" si="74"/>
        <v>1</v>
      </c>
      <c r="T28" s="342">
        <f t="shared" si="74"/>
        <v>1</v>
      </c>
      <c r="U28" s="342">
        <f t="shared" si="74"/>
        <v>1</v>
      </c>
      <c r="V28" s="342">
        <f t="shared" si="74"/>
        <v>2</v>
      </c>
      <c r="W28" s="342">
        <f t="shared" si="74"/>
        <v>2</v>
      </c>
      <c r="X28" s="342">
        <f t="shared" si="74"/>
        <v>0</v>
      </c>
      <c r="Y28" s="358">
        <f t="shared" si="74"/>
        <v>0</v>
      </c>
      <c r="Z28" s="357">
        <f t="shared" si="74"/>
        <v>1</v>
      </c>
      <c r="AA28" s="342">
        <f t="shared" si="74"/>
        <v>1</v>
      </c>
      <c r="AB28" s="342">
        <f t="shared" si="74"/>
        <v>1</v>
      </c>
      <c r="AC28" s="342">
        <f t="shared" si="74"/>
        <v>1</v>
      </c>
      <c r="AD28" s="342">
        <f t="shared" si="74"/>
        <v>1</v>
      </c>
      <c r="AE28" s="342">
        <f t="shared" si="74"/>
        <v>1</v>
      </c>
      <c r="AF28" s="342">
        <f t="shared" si="74"/>
        <v>1</v>
      </c>
      <c r="AG28" s="342">
        <f t="shared" si="74"/>
        <v>1</v>
      </c>
      <c r="AH28" s="342">
        <f t="shared" si="74"/>
        <v>1</v>
      </c>
      <c r="AI28" s="342">
        <f t="shared" si="74"/>
        <v>1</v>
      </c>
      <c r="AJ28" s="342">
        <f t="shared" si="74"/>
        <v>1</v>
      </c>
      <c r="AK28" s="342">
        <f t="shared" si="74"/>
        <v>1</v>
      </c>
      <c r="AL28" s="342">
        <f t="shared" si="74"/>
        <v>4</v>
      </c>
      <c r="AM28" s="342">
        <f t="shared" si="74"/>
        <v>0</v>
      </c>
      <c r="AN28" s="342">
        <f t="shared" si="74"/>
        <v>0</v>
      </c>
      <c r="AO28" s="358">
        <f t="shared" si="74"/>
        <v>0</v>
      </c>
      <c r="AP28" s="357">
        <f t="shared" si="74"/>
        <v>1</v>
      </c>
      <c r="AQ28" s="342">
        <f t="shared" si="74"/>
        <v>1</v>
      </c>
      <c r="AR28" s="342">
        <f t="shared" si="74"/>
        <v>1</v>
      </c>
      <c r="AS28" s="342">
        <f t="shared" si="74"/>
        <v>1</v>
      </c>
      <c r="AT28" s="342">
        <f t="shared" si="74"/>
        <v>2</v>
      </c>
      <c r="AU28" s="342">
        <f t="shared" si="74"/>
        <v>2</v>
      </c>
      <c r="AV28" s="342">
        <f t="shared" si="74"/>
        <v>0</v>
      </c>
      <c r="AW28" s="358">
        <f t="shared" si="74"/>
        <v>0</v>
      </c>
      <c r="AX28" s="350"/>
      <c r="AY28" s="345"/>
      <c r="AZ28" s="346"/>
      <c r="BA28" s="346"/>
      <c r="BB28" s="346"/>
      <c r="BC28" s="346"/>
      <c r="BD28" s="345"/>
      <c r="BE28" s="345"/>
      <c r="BF28" s="345"/>
      <c r="BG28" s="345"/>
      <c r="BH28" s="346"/>
      <c r="BI28" s="346"/>
    </row>
    <row r="29" spans="1:91" ht="15.75" thickBot="1">
      <c r="A29" s="937"/>
      <c r="B29" s="938"/>
      <c r="C29" s="907"/>
      <c r="D29" s="907"/>
      <c r="E29" s="907"/>
      <c r="F29" s="907"/>
      <c r="G29" s="900"/>
      <c r="H29" s="902"/>
      <c r="I29" s="904"/>
      <c r="J29" s="889">
        <f>SUM(J28:M28)/$AY$30</f>
        <v>0.25</v>
      </c>
      <c r="K29" s="887"/>
      <c r="L29" s="887"/>
      <c r="M29" s="887"/>
      <c r="N29" s="886">
        <f>SUM(N28:Q28)/$AY$30</f>
        <v>0.25</v>
      </c>
      <c r="O29" s="887"/>
      <c r="P29" s="887"/>
      <c r="Q29" s="888"/>
      <c r="R29" s="889">
        <f>SUM(R28:U28)/$AY$30</f>
        <v>0.25</v>
      </c>
      <c r="S29" s="887"/>
      <c r="T29" s="887"/>
      <c r="U29" s="887"/>
      <c r="V29" s="886">
        <f>SUM(V28:Y28)/$AY$30</f>
        <v>0.25</v>
      </c>
      <c r="W29" s="887"/>
      <c r="X29" s="887"/>
      <c r="Y29" s="890"/>
      <c r="Z29" s="889">
        <f t="shared" ref="Z29" si="75">SUM(Z28:AC28)/$AY$29</f>
        <v>0.1</v>
      </c>
      <c r="AA29" s="887"/>
      <c r="AB29" s="887"/>
      <c r="AC29" s="887"/>
      <c r="AD29" s="886">
        <f t="shared" ref="AD29" si="76">SUM(AD28:AG28)/$AY$29</f>
        <v>0.1</v>
      </c>
      <c r="AE29" s="887"/>
      <c r="AF29" s="887"/>
      <c r="AG29" s="887"/>
      <c r="AH29" s="886">
        <f t="shared" ref="AH29" si="77">SUM(AH28:AK28)/$AY$29</f>
        <v>0.1</v>
      </c>
      <c r="AI29" s="887"/>
      <c r="AJ29" s="887"/>
      <c r="AK29" s="887"/>
      <c r="AL29" s="886">
        <f t="shared" ref="AL29" si="78">SUM(AL28:AO28)/$AY$29</f>
        <v>0.1</v>
      </c>
      <c r="AM29" s="887"/>
      <c r="AN29" s="887"/>
      <c r="AO29" s="890"/>
      <c r="AP29" s="889">
        <f t="shared" ref="AP29" si="79">SUM(AP28:AS28)/$AY$29</f>
        <v>0.1</v>
      </c>
      <c r="AQ29" s="887"/>
      <c r="AR29" s="887"/>
      <c r="AS29" s="887"/>
      <c r="AT29" s="886">
        <f t="shared" ref="AT29" si="80">SUM(AT28:AW28)/$AY$29</f>
        <v>0.1</v>
      </c>
      <c r="AU29" s="887"/>
      <c r="AV29" s="887"/>
      <c r="AW29" s="890"/>
      <c r="AX29" s="350">
        <f t="shared" si="17"/>
        <v>1.6000000000000005</v>
      </c>
      <c r="AY29" s="345">
        <f t="shared" si="10"/>
        <v>40</v>
      </c>
      <c r="AZ29" s="346">
        <v>1</v>
      </c>
      <c r="BA29" s="346">
        <v>1</v>
      </c>
      <c r="BB29" s="346">
        <v>1</v>
      </c>
      <c r="BC29" s="346">
        <v>1</v>
      </c>
      <c r="BD29" s="345">
        <v>2</v>
      </c>
      <c r="BE29" s="345">
        <v>2</v>
      </c>
      <c r="BF29" s="345">
        <v>0</v>
      </c>
      <c r="BG29" s="345">
        <v>0</v>
      </c>
      <c r="BH29" s="346">
        <v>1</v>
      </c>
      <c r="BI29" s="346">
        <v>1</v>
      </c>
      <c r="BJ29" s="332">
        <v>1</v>
      </c>
      <c r="BK29" s="332">
        <v>1</v>
      </c>
      <c r="BL29" s="332">
        <v>2</v>
      </c>
      <c r="BM29" s="332">
        <v>2</v>
      </c>
      <c r="BN29" s="332">
        <v>0</v>
      </c>
      <c r="BO29" s="332">
        <v>0</v>
      </c>
      <c r="BP29" s="332">
        <v>1</v>
      </c>
      <c r="BQ29" s="332">
        <v>1</v>
      </c>
      <c r="BR29" s="332">
        <v>1</v>
      </c>
      <c r="BS29" s="332">
        <v>1</v>
      </c>
      <c r="BT29" s="332">
        <v>1</v>
      </c>
      <c r="BU29" s="332">
        <v>1</v>
      </c>
      <c r="BV29" s="332">
        <v>1</v>
      </c>
      <c r="BW29" s="332">
        <v>1</v>
      </c>
      <c r="BX29" s="332">
        <v>1</v>
      </c>
      <c r="BY29" s="332">
        <v>1</v>
      </c>
      <c r="BZ29" s="332">
        <v>1</v>
      </c>
      <c r="CA29" s="332">
        <v>1</v>
      </c>
      <c r="CB29" s="332">
        <v>4</v>
      </c>
      <c r="CC29" s="332">
        <v>0</v>
      </c>
      <c r="CD29" s="332">
        <v>0</v>
      </c>
      <c r="CE29" s="332">
        <v>0</v>
      </c>
      <c r="CF29" s="332">
        <v>1</v>
      </c>
      <c r="CG29" s="332">
        <v>1</v>
      </c>
      <c r="CH29" s="332">
        <v>1</v>
      </c>
      <c r="CI29" s="332">
        <v>1</v>
      </c>
      <c r="CJ29" s="332">
        <v>2</v>
      </c>
      <c r="CK29" s="332">
        <v>2</v>
      </c>
      <c r="CL29" s="332">
        <v>0</v>
      </c>
      <c r="CM29" s="332">
        <v>0</v>
      </c>
    </row>
    <row r="30" spans="1:91" ht="15.75" thickBot="1">
      <c r="A30" s="937"/>
      <c r="B30" s="938"/>
      <c r="C30" s="908"/>
      <c r="D30" s="908"/>
      <c r="E30" s="908"/>
      <c r="F30" s="908"/>
      <c r="G30" s="900"/>
      <c r="H30" s="902"/>
      <c r="I30" s="905"/>
      <c r="J30" s="931">
        <f>J27+J29*G28/G31</f>
        <v>0.13274244307117361</v>
      </c>
      <c r="K30" s="932"/>
      <c r="L30" s="932"/>
      <c r="M30" s="932"/>
      <c r="N30" s="933">
        <f>N27+N29*G28/G31</f>
        <v>0.39819477199878328</v>
      </c>
      <c r="O30" s="933"/>
      <c r="P30" s="933"/>
      <c r="Q30" s="934"/>
      <c r="R30" s="935">
        <f>R27+R29*G28/G31</f>
        <v>0.73454767107239005</v>
      </c>
      <c r="S30" s="933"/>
      <c r="T30" s="933"/>
      <c r="U30" s="933"/>
      <c r="V30" s="933">
        <f>V27+V29*G28/G31</f>
        <v>0.99999999999999978</v>
      </c>
      <c r="W30" s="933"/>
      <c r="X30" s="933"/>
      <c r="Y30" s="936"/>
      <c r="Z30" s="931">
        <f>Z27+Z29*$G$28/$G$31</f>
        <v>1.0498227617193097</v>
      </c>
      <c r="AA30" s="932"/>
      <c r="AB30" s="932"/>
      <c r="AC30" s="932"/>
      <c r="AD30" s="933">
        <f>AD27+AD29*G28/G31</f>
        <v>1.1688769007176072</v>
      </c>
      <c r="AE30" s="933"/>
      <c r="AF30" s="933"/>
      <c r="AG30" s="933"/>
      <c r="AH30" s="933">
        <f>AH27+AH29*G28/G31</f>
        <v>1.2879310397159047</v>
      </c>
      <c r="AI30" s="933"/>
      <c r="AJ30" s="933"/>
      <c r="AK30" s="933"/>
      <c r="AL30" s="933">
        <f>AL27+AL29*G28/G31</f>
        <v>1.2974270919621886</v>
      </c>
      <c r="AM30" s="933"/>
      <c r="AN30" s="933"/>
      <c r="AO30" s="936"/>
      <c r="AP30" s="931">
        <f>AP27+AP29*G28/G31</f>
        <v>1.4449969772004374</v>
      </c>
      <c r="AQ30" s="932"/>
      <c r="AR30" s="932"/>
      <c r="AS30" s="932"/>
      <c r="AT30" s="933">
        <f>AT27+AT29*G28/G31</f>
        <v>1.5607052693084729</v>
      </c>
      <c r="AU30" s="933"/>
      <c r="AV30" s="933"/>
      <c r="AW30" s="936"/>
      <c r="AX30" s="350"/>
      <c r="AY30" s="345">
        <f>SUM(AZ29:BO29)</f>
        <v>16</v>
      </c>
      <c r="AZ30" s="346"/>
      <c r="BA30" s="346"/>
      <c r="BB30" s="346"/>
      <c r="BC30" s="346"/>
      <c r="BD30" s="345"/>
      <c r="BE30" s="345"/>
      <c r="BF30" s="345"/>
      <c r="BG30" s="345"/>
      <c r="BH30" s="346"/>
      <c r="BI30" s="346"/>
    </row>
    <row r="31" spans="1:91" ht="15.75" thickBot="1">
      <c r="A31" s="326"/>
      <c r="B31" s="327" t="s">
        <v>688</v>
      </c>
      <c r="C31" s="327"/>
      <c r="D31" s="327"/>
      <c r="E31" s="327"/>
      <c r="F31" s="327"/>
      <c r="G31" s="328">
        <f>SUM(G7:G30)</f>
        <v>3220065.4763631825</v>
      </c>
      <c r="H31" s="329">
        <f>SUM(H7:H30)</f>
        <v>1</v>
      </c>
      <c r="I31" s="369"/>
      <c r="J31" s="870"/>
      <c r="K31" s="868"/>
      <c r="L31" s="868"/>
      <c r="M31" s="871"/>
      <c r="N31" s="867"/>
      <c r="O31" s="868"/>
      <c r="P31" s="868"/>
      <c r="Q31" s="869"/>
      <c r="R31" s="870"/>
      <c r="S31" s="868"/>
      <c r="T31" s="868"/>
      <c r="U31" s="871"/>
      <c r="V31" s="867"/>
      <c r="W31" s="868"/>
      <c r="X31" s="868"/>
      <c r="Y31" s="869"/>
      <c r="Z31" s="870"/>
      <c r="AA31" s="868"/>
      <c r="AB31" s="868"/>
      <c r="AC31" s="871"/>
      <c r="AD31" s="867"/>
      <c r="AE31" s="868"/>
      <c r="AF31" s="868"/>
      <c r="AG31" s="871"/>
      <c r="AH31" s="867"/>
      <c r="AI31" s="868"/>
      <c r="AJ31" s="868"/>
      <c r="AK31" s="871"/>
      <c r="AL31" s="867"/>
      <c r="AM31" s="868"/>
      <c r="AN31" s="868"/>
      <c r="AO31" s="869"/>
      <c r="AP31" s="870"/>
      <c r="AQ31" s="868"/>
      <c r="AR31" s="868"/>
      <c r="AS31" s="871"/>
      <c r="AT31" s="867"/>
      <c r="AU31" s="868"/>
      <c r="AV31" s="868"/>
      <c r="AW31" s="869"/>
      <c r="AX31" s="351"/>
      <c r="AY31" s="345"/>
      <c r="AZ31" s="346"/>
      <c r="BA31" s="346"/>
      <c r="BB31" s="346"/>
      <c r="BC31" s="346"/>
      <c r="BD31" s="345"/>
      <c r="BE31" s="345"/>
      <c r="BF31" s="345"/>
      <c r="BG31" s="345"/>
      <c r="BH31" s="346"/>
      <c r="BI31" s="346"/>
    </row>
    <row r="32" spans="1:91" ht="15.75" thickBot="1">
      <c r="A32" s="939" t="s">
        <v>691</v>
      </c>
      <c r="B32" s="939"/>
      <c r="C32" s="331"/>
      <c r="D32" s="331"/>
      <c r="E32" s="331"/>
      <c r="F32" s="331"/>
      <c r="G32" s="331"/>
      <c r="H32" s="331"/>
      <c r="I32" s="370"/>
      <c r="J32" s="940">
        <f>J30*G31</f>
        <v>427439.35818159126</v>
      </c>
      <c r="K32" s="941"/>
      <c r="L32" s="941"/>
      <c r="M32" s="941"/>
      <c r="N32" s="941">
        <f>G31*(N30-J30)</f>
        <v>854773.87999999966</v>
      </c>
      <c r="O32" s="941"/>
      <c r="P32" s="941"/>
      <c r="Q32" s="942"/>
      <c r="R32" s="940">
        <f>G31*(R30-N30)</f>
        <v>1083078.3581815911</v>
      </c>
      <c r="S32" s="941"/>
      <c r="T32" s="941"/>
      <c r="U32" s="941"/>
      <c r="V32" s="941">
        <f>G31*(V30-R30)</f>
        <v>854773.87999999989</v>
      </c>
      <c r="W32" s="941"/>
      <c r="X32" s="941"/>
      <c r="Y32" s="942"/>
      <c r="Z32" s="951">
        <f>G31*(Z30-V30)</f>
        <v>160432.5549494189</v>
      </c>
      <c r="AA32" s="952"/>
      <c r="AB32" s="952"/>
      <c r="AC32" s="952"/>
      <c r="AD32" s="952">
        <f>G31*(AD30-Z30)</f>
        <v>383362.12280656147</v>
      </c>
      <c r="AE32" s="952"/>
      <c r="AF32" s="952"/>
      <c r="AG32" s="952"/>
      <c r="AH32" s="952">
        <f>G31*(AH30-AD30)</f>
        <v>383362.12280656147</v>
      </c>
      <c r="AI32" s="952"/>
      <c r="AJ32" s="952"/>
      <c r="AK32" s="952"/>
      <c r="AL32" s="952">
        <f>(G31*(AL30-AH30))</f>
        <v>30577.909999999883</v>
      </c>
      <c r="AM32" s="952"/>
      <c r="AN32" s="952"/>
      <c r="AO32" s="953"/>
      <c r="AP32" s="951">
        <f>G31*(AP30-AL30)</f>
        <v>475184.69280656171</v>
      </c>
      <c r="AQ32" s="952"/>
      <c r="AR32" s="952"/>
      <c r="AS32" s="952"/>
      <c r="AT32" s="952">
        <f>G31*(AT30-AP30)</f>
        <v>372588.27674603148</v>
      </c>
      <c r="AU32" s="952"/>
      <c r="AV32" s="952"/>
      <c r="AW32" s="953"/>
      <c r="AX32" s="352"/>
      <c r="AY32" s="345"/>
      <c r="AZ32" s="346"/>
      <c r="BA32" s="346"/>
      <c r="BB32" s="346"/>
      <c r="BC32" s="346"/>
      <c r="BD32" s="345"/>
      <c r="BE32" s="345"/>
      <c r="BF32" s="345"/>
      <c r="BG32" s="345"/>
      <c r="BH32" s="346"/>
      <c r="BI32" s="346"/>
    </row>
    <row r="33" spans="1:92" ht="15.75" thickBot="1">
      <c r="A33" s="939" t="s">
        <v>692</v>
      </c>
      <c r="B33" s="939"/>
      <c r="C33" s="331"/>
      <c r="D33" s="331"/>
      <c r="E33" s="331"/>
      <c r="F33" s="331"/>
      <c r="G33" s="331"/>
      <c r="H33" s="331"/>
      <c r="I33" s="370"/>
      <c r="J33" s="943">
        <f>J32/G31</f>
        <v>0.13274244307117361</v>
      </c>
      <c r="K33" s="944"/>
      <c r="L33" s="944"/>
      <c r="M33" s="944"/>
      <c r="N33" s="944">
        <f>N30-J30</f>
        <v>0.26545232892760967</v>
      </c>
      <c r="O33" s="944"/>
      <c r="P33" s="944"/>
      <c r="Q33" s="945"/>
      <c r="R33" s="943">
        <f>R30-N30</f>
        <v>0.33635289907360677</v>
      </c>
      <c r="S33" s="944"/>
      <c r="T33" s="944"/>
      <c r="U33" s="944"/>
      <c r="V33" s="944">
        <f>V30-R35</f>
        <v>0.26545232892760973</v>
      </c>
      <c r="W33" s="944"/>
      <c r="X33" s="944"/>
      <c r="Y33" s="945"/>
      <c r="Z33" s="959">
        <f>Z32/G31</f>
        <v>4.9822761719309883E-2</v>
      </c>
      <c r="AA33" s="960"/>
      <c r="AB33" s="960"/>
      <c r="AC33" s="960"/>
      <c r="AD33" s="960">
        <f>AD30-Z30</f>
        <v>0.11905413899829753</v>
      </c>
      <c r="AE33" s="960"/>
      <c r="AF33" s="960"/>
      <c r="AG33" s="960"/>
      <c r="AH33" s="960">
        <f>AH30-AD30</f>
        <v>0.11905413899829753</v>
      </c>
      <c r="AI33" s="960"/>
      <c r="AJ33" s="960"/>
      <c r="AK33" s="960"/>
      <c r="AL33" s="960">
        <f>AL30-AH35</f>
        <v>9.4960522462839148E-3</v>
      </c>
      <c r="AM33" s="960"/>
      <c r="AN33" s="960"/>
      <c r="AO33" s="961"/>
      <c r="AP33" s="959">
        <f>AP32/G31</f>
        <v>0.14756988523824877</v>
      </c>
      <c r="AQ33" s="960"/>
      <c r="AR33" s="960"/>
      <c r="AS33" s="960"/>
      <c r="AT33" s="960">
        <f>AT30-AP30</f>
        <v>0.11570829210803546</v>
      </c>
      <c r="AU33" s="960"/>
      <c r="AV33" s="960"/>
      <c r="AW33" s="961"/>
      <c r="AX33" s="353"/>
      <c r="AY33" s="345"/>
      <c r="AZ33" s="346"/>
      <c r="BA33" s="346"/>
      <c r="BB33" s="346"/>
      <c r="BC33" s="346"/>
      <c r="BD33" s="345"/>
      <c r="BE33" s="345"/>
      <c r="BF33" s="345"/>
      <c r="BG33" s="345"/>
      <c r="BH33" s="346"/>
      <c r="BI33" s="346"/>
      <c r="CN33" s="178"/>
    </row>
    <row r="34" spans="1:92" ht="15.75" thickBot="1">
      <c r="A34" s="939" t="s">
        <v>693</v>
      </c>
      <c r="B34" s="939"/>
      <c r="C34" s="331"/>
      <c r="D34" s="331"/>
      <c r="E34" s="331"/>
      <c r="F34" s="331"/>
      <c r="G34" s="331"/>
      <c r="H34" s="331"/>
      <c r="I34" s="370"/>
      <c r="J34" s="940">
        <f>J32</f>
        <v>427439.35818159126</v>
      </c>
      <c r="K34" s="941"/>
      <c r="L34" s="941"/>
      <c r="M34" s="941"/>
      <c r="N34" s="941">
        <f>J34+N32</f>
        <v>1282213.238181591</v>
      </c>
      <c r="O34" s="941"/>
      <c r="P34" s="941"/>
      <c r="Q34" s="942"/>
      <c r="R34" s="940">
        <f>N34+R32</f>
        <v>2365291.5963631822</v>
      </c>
      <c r="S34" s="941"/>
      <c r="T34" s="941"/>
      <c r="U34" s="941"/>
      <c r="V34" s="941">
        <f>R34+V32</f>
        <v>3220065.4763631821</v>
      </c>
      <c r="W34" s="941"/>
      <c r="X34" s="941"/>
      <c r="Y34" s="942"/>
      <c r="Z34" s="951">
        <f>V34+Z32</f>
        <v>3380498.0313126012</v>
      </c>
      <c r="AA34" s="952"/>
      <c r="AB34" s="952"/>
      <c r="AC34" s="952"/>
      <c r="AD34" s="952">
        <f>Z34+AD32</f>
        <v>3763860.1541191628</v>
      </c>
      <c r="AE34" s="952"/>
      <c r="AF34" s="952"/>
      <c r="AG34" s="952"/>
      <c r="AH34" s="952">
        <f>AD34+AH32</f>
        <v>4147222.2769257245</v>
      </c>
      <c r="AI34" s="952"/>
      <c r="AJ34" s="952"/>
      <c r="AK34" s="952"/>
      <c r="AL34" s="941">
        <f>(AH34+AL32)</f>
        <v>4177800.1869257241</v>
      </c>
      <c r="AM34" s="941"/>
      <c r="AN34" s="941"/>
      <c r="AO34" s="942"/>
      <c r="AP34" s="951">
        <f>AL34+AP32</f>
        <v>4652984.8797322856</v>
      </c>
      <c r="AQ34" s="952"/>
      <c r="AR34" s="952"/>
      <c r="AS34" s="952"/>
      <c r="AT34" s="952">
        <f>AP34+AT32</f>
        <v>5025573.1564783175</v>
      </c>
      <c r="AU34" s="952"/>
      <c r="AV34" s="952"/>
      <c r="AW34" s="953"/>
      <c r="AX34" s="352"/>
      <c r="AY34" s="345"/>
      <c r="AZ34" s="346"/>
      <c r="BA34" s="346"/>
      <c r="BB34" s="346"/>
      <c r="BC34" s="346"/>
      <c r="BD34" s="345"/>
      <c r="BE34" s="345"/>
      <c r="BF34" s="345"/>
      <c r="BG34" s="345"/>
      <c r="BH34" s="346"/>
      <c r="BI34" s="346"/>
    </row>
    <row r="35" spans="1:92" ht="15.75" thickBot="1">
      <c r="A35" s="939" t="s">
        <v>694</v>
      </c>
      <c r="B35" s="939"/>
      <c r="C35" s="331"/>
      <c r="D35" s="331"/>
      <c r="E35" s="331"/>
      <c r="F35" s="331"/>
      <c r="G35" s="331"/>
      <c r="H35" s="331"/>
      <c r="I35" s="370"/>
      <c r="J35" s="946">
        <f>J33</f>
        <v>0.13274244307117361</v>
      </c>
      <c r="K35" s="947"/>
      <c r="L35" s="947"/>
      <c r="M35" s="947"/>
      <c r="N35" s="948">
        <f>J35+N33</f>
        <v>0.39819477199878328</v>
      </c>
      <c r="O35" s="948"/>
      <c r="P35" s="948"/>
      <c r="Q35" s="949"/>
      <c r="R35" s="946">
        <f>R33+N35</f>
        <v>0.73454767107239005</v>
      </c>
      <c r="S35" s="947"/>
      <c r="T35" s="947"/>
      <c r="U35" s="947"/>
      <c r="V35" s="947">
        <f>R35+V33</f>
        <v>0.99999999999999978</v>
      </c>
      <c r="W35" s="947"/>
      <c r="X35" s="947"/>
      <c r="Y35" s="950"/>
      <c r="Z35" s="954">
        <f>V35+Z33</f>
        <v>1.0498227617193097</v>
      </c>
      <c r="AA35" s="955"/>
      <c r="AB35" s="955"/>
      <c r="AC35" s="955"/>
      <c r="AD35" s="956">
        <f>Z35+AD33</f>
        <v>1.1688769007176072</v>
      </c>
      <c r="AE35" s="956"/>
      <c r="AF35" s="956"/>
      <c r="AG35" s="956"/>
      <c r="AH35" s="955">
        <f>AH33+AD35</f>
        <v>1.2879310397159047</v>
      </c>
      <c r="AI35" s="955"/>
      <c r="AJ35" s="955"/>
      <c r="AK35" s="955"/>
      <c r="AL35" s="957">
        <f>AH35+AL33</f>
        <v>1.2974270919621886</v>
      </c>
      <c r="AM35" s="957"/>
      <c r="AN35" s="957"/>
      <c r="AO35" s="958"/>
      <c r="AP35" s="954">
        <f>AL35+AP33</f>
        <v>1.4449969772004374</v>
      </c>
      <c r="AQ35" s="955"/>
      <c r="AR35" s="955"/>
      <c r="AS35" s="955"/>
      <c r="AT35" s="955">
        <f>AP35+AT33</f>
        <v>1.5607052693084729</v>
      </c>
      <c r="AU35" s="955"/>
      <c r="AV35" s="955"/>
      <c r="AW35" s="962"/>
      <c r="AX35" s="354"/>
      <c r="AY35" s="345"/>
      <c r="AZ35" s="346"/>
      <c r="BA35" s="346"/>
      <c r="BB35" s="346"/>
      <c r="BC35" s="346"/>
      <c r="BD35" s="345"/>
      <c r="BE35" s="345"/>
      <c r="BF35" s="345"/>
      <c r="BG35" s="345"/>
      <c r="BH35" s="346"/>
      <c r="BI35" s="346"/>
    </row>
    <row r="36" spans="1:92">
      <c r="G36" s="81"/>
    </row>
  </sheetData>
  <mergeCells count="306">
    <mergeCell ref="AP4:AW4"/>
    <mergeCell ref="AP5:AS5"/>
    <mergeCell ref="AT5:AW5"/>
    <mergeCell ref="AP8:AS8"/>
    <mergeCell ref="F7:F9"/>
    <mergeCell ref="AT11:AW11"/>
    <mergeCell ref="Z9:AC9"/>
    <mergeCell ref="AD9:AG9"/>
    <mergeCell ref="AH9:AK9"/>
    <mergeCell ref="AL9:AO9"/>
    <mergeCell ref="Z11:AC11"/>
    <mergeCell ref="AD11:AG11"/>
    <mergeCell ref="AH11:AK11"/>
    <mergeCell ref="AL11:AO11"/>
    <mergeCell ref="Z5:AC5"/>
    <mergeCell ref="AD5:AG5"/>
    <mergeCell ref="AH5:AK5"/>
    <mergeCell ref="AL5:AO5"/>
    <mergeCell ref="Z8:AC8"/>
    <mergeCell ref="AD8:AG8"/>
    <mergeCell ref="AH8:AK8"/>
    <mergeCell ref="Z12:AC12"/>
    <mergeCell ref="AD12:AG12"/>
    <mergeCell ref="AH12:AK12"/>
    <mergeCell ref="AL12:AO12"/>
    <mergeCell ref="Z14:AC14"/>
    <mergeCell ref="AD14:AG14"/>
    <mergeCell ref="AH14:AK14"/>
    <mergeCell ref="AL14:AO14"/>
    <mergeCell ref="A1:B1"/>
    <mergeCell ref="Z4:AO4"/>
    <mergeCell ref="AL8:AO8"/>
    <mergeCell ref="R4:Y4"/>
    <mergeCell ref="N14:Q14"/>
    <mergeCell ref="R14:U14"/>
    <mergeCell ref="V14:Y14"/>
    <mergeCell ref="E7:E9"/>
    <mergeCell ref="N11:Q11"/>
    <mergeCell ref="R11:U11"/>
    <mergeCell ref="V11:Y11"/>
    <mergeCell ref="J12:M12"/>
    <mergeCell ref="N12:Q12"/>
    <mergeCell ref="R12:U12"/>
    <mergeCell ref="V12:Y12"/>
    <mergeCell ref="AT20:AW20"/>
    <mergeCell ref="AT26:AW26"/>
    <mergeCell ref="AT24:AW24"/>
    <mergeCell ref="AT23:AW23"/>
    <mergeCell ref="AT29:AW29"/>
    <mergeCell ref="AP34:AS34"/>
    <mergeCell ref="AT34:AW34"/>
    <mergeCell ref="AP35:AS35"/>
    <mergeCell ref="AT35:AW35"/>
    <mergeCell ref="AP32:AS32"/>
    <mergeCell ref="AT32:AW32"/>
    <mergeCell ref="AP33:AS33"/>
    <mergeCell ref="AT33:AW33"/>
    <mergeCell ref="AP29:AS29"/>
    <mergeCell ref="AP30:AS30"/>
    <mergeCell ref="AT30:AW30"/>
    <mergeCell ref="AP26:AS26"/>
    <mergeCell ref="AP27:AS27"/>
    <mergeCell ref="AT27:AW27"/>
    <mergeCell ref="AP23:AS23"/>
    <mergeCell ref="AP24:AS24"/>
    <mergeCell ref="AP20:AS20"/>
    <mergeCell ref="AP21:AS21"/>
    <mergeCell ref="AT21:AW21"/>
    <mergeCell ref="AP18:AS18"/>
    <mergeCell ref="AT18:AW18"/>
    <mergeCell ref="AP14:AS14"/>
    <mergeCell ref="AP15:AS15"/>
    <mergeCell ref="AT15:AW15"/>
    <mergeCell ref="AP11:AS11"/>
    <mergeCell ref="AP12:AS12"/>
    <mergeCell ref="AT12:AW12"/>
    <mergeCell ref="AT8:AW8"/>
    <mergeCell ref="AP9:AS9"/>
    <mergeCell ref="AT9:AW9"/>
    <mergeCell ref="AT17:AW17"/>
    <mergeCell ref="AT14:AW14"/>
    <mergeCell ref="AP17:AS17"/>
    <mergeCell ref="Z35:AC35"/>
    <mergeCell ref="AD35:AG35"/>
    <mergeCell ref="AH35:AK35"/>
    <mergeCell ref="AL35:AO35"/>
    <mergeCell ref="Z33:AC33"/>
    <mergeCell ref="AD33:AG33"/>
    <mergeCell ref="AH33:AK33"/>
    <mergeCell ref="AL33:AO33"/>
    <mergeCell ref="Z34:AC34"/>
    <mergeCell ref="AD34:AG34"/>
    <mergeCell ref="AH34:AK34"/>
    <mergeCell ref="AL34:AO34"/>
    <mergeCell ref="Z30:AC30"/>
    <mergeCell ref="AD30:AG30"/>
    <mergeCell ref="AH30:AK30"/>
    <mergeCell ref="AL30:AO30"/>
    <mergeCell ref="Z32:AC32"/>
    <mergeCell ref="AD32:AG32"/>
    <mergeCell ref="AH32:AK32"/>
    <mergeCell ref="AL32:AO32"/>
    <mergeCell ref="Z27:AC27"/>
    <mergeCell ref="AD27:AG27"/>
    <mergeCell ref="AH27:AK27"/>
    <mergeCell ref="AL27:AO27"/>
    <mergeCell ref="Z29:AC29"/>
    <mergeCell ref="AD29:AG29"/>
    <mergeCell ref="AH29:AK29"/>
    <mergeCell ref="AL29:AO29"/>
    <mergeCell ref="Z24:AC24"/>
    <mergeCell ref="AD24:AG24"/>
    <mergeCell ref="AH24:AK24"/>
    <mergeCell ref="AL24:AO24"/>
    <mergeCell ref="Z26:AC26"/>
    <mergeCell ref="AD26:AG26"/>
    <mergeCell ref="AH26:AK26"/>
    <mergeCell ref="AL26:AO26"/>
    <mergeCell ref="Z21:AC21"/>
    <mergeCell ref="AD21:AG21"/>
    <mergeCell ref="AH21:AK21"/>
    <mergeCell ref="AL21:AO21"/>
    <mergeCell ref="Z23:AC23"/>
    <mergeCell ref="AD23:AG23"/>
    <mergeCell ref="AH23:AK23"/>
    <mergeCell ref="AL23:AO23"/>
    <mergeCell ref="Z18:AC18"/>
    <mergeCell ref="AD18:AG18"/>
    <mergeCell ref="AH18:AK18"/>
    <mergeCell ref="AL18:AO18"/>
    <mergeCell ref="Z20:AC20"/>
    <mergeCell ref="AD20:AG20"/>
    <mergeCell ref="AH20:AK20"/>
    <mergeCell ref="AL20:AO20"/>
    <mergeCell ref="Z15:AC15"/>
    <mergeCell ref="AD15:AG15"/>
    <mergeCell ref="AH15:AK15"/>
    <mergeCell ref="AL15:AO15"/>
    <mergeCell ref="Z17:AC17"/>
    <mergeCell ref="AD17:AG17"/>
    <mergeCell ref="AH17:AK17"/>
    <mergeCell ref="AL17:AO17"/>
    <mergeCell ref="A34:B34"/>
    <mergeCell ref="J34:M34"/>
    <mergeCell ref="N34:Q34"/>
    <mergeCell ref="R34:U34"/>
    <mergeCell ref="V34:Y34"/>
    <mergeCell ref="A35:B35"/>
    <mergeCell ref="J35:M35"/>
    <mergeCell ref="N35:Q35"/>
    <mergeCell ref="R35:U35"/>
    <mergeCell ref="V35:Y35"/>
    <mergeCell ref="A32:B32"/>
    <mergeCell ref="J32:M32"/>
    <mergeCell ref="N32:Q32"/>
    <mergeCell ref="R32:U32"/>
    <mergeCell ref="V32:Y32"/>
    <mergeCell ref="A33:B33"/>
    <mergeCell ref="J33:M33"/>
    <mergeCell ref="N33:Q33"/>
    <mergeCell ref="R33:U33"/>
    <mergeCell ref="V33:Y33"/>
    <mergeCell ref="N29:Q29"/>
    <mergeCell ref="R29:U29"/>
    <mergeCell ref="V29:Y29"/>
    <mergeCell ref="J30:M30"/>
    <mergeCell ref="N30:Q30"/>
    <mergeCell ref="R30:U30"/>
    <mergeCell ref="V30:Y30"/>
    <mergeCell ref="A28:A30"/>
    <mergeCell ref="B28:B30"/>
    <mergeCell ref="G28:G30"/>
    <mergeCell ref="H28:H30"/>
    <mergeCell ref="I28:I30"/>
    <mergeCell ref="J29:M29"/>
    <mergeCell ref="C28:C30"/>
    <mergeCell ref="D28:D30"/>
    <mergeCell ref="E28:E30"/>
    <mergeCell ref="F28:F30"/>
    <mergeCell ref="N26:Q26"/>
    <mergeCell ref="R26:U26"/>
    <mergeCell ref="V26:Y26"/>
    <mergeCell ref="J27:M27"/>
    <mergeCell ref="N27:Q27"/>
    <mergeCell ref="R27:U27"/>
    <mergeCell ref="V27:Y27"/>
    <mergeCell ref="A25:A27"/>
    <mergeCell ref="B25:B27"/>
    <mergeCell ref="G25:G27"/>
    <mergeCell ref="H25:H27"/>
    <mergeCell ref="I25:I27"/>
    <mergeCell ref="J26:M26"/>
    <mergeCell ref="C25:C27"/>
    <mergeCell ref="D25:D27"/>
    <mergeCell ref="E25:E27"/>
    <mergeCell ref="F25:F27"/>
    <mergeCell ref="N23:Q23"/>
    <mergeCell ref="R23:U23"/>
    <mergeCell ref="V23:Y23"/>
    <mergeCell ref="J24:M24"/>
    <mergeCell ref="N24:Q24"/>
    <mergeCell ref="R24:U24"/>
    <mergeCell ref="V24:Y24"/>
    <mergeCell ref="A22:A24"/>
    <mergeCell ref="B22:B24"/>
    <mergeCell ref="G22:G24"/>
    <mergeCell ref="H22:H24"/>
    <mergeCell ref="I22:I24"/>
    <mergeCell ref="J23:M23"/>
    <mergeCell ref="C22:C24"/>
    <mergeCell ref="D22:D24"/>
    <mergeCell ref="E22:E24"/>
    <mergeCell ref="F22:F24"/>
    <mergeCell ref="R20:U20"/>
    <mergeCell ref="V20:Y20"/>
    <mergeCell ref="J21:M21"/>
    <mergeCell ref="N21:Q21"/>
    <mergeCell ref="R21:U21"/>
    <mergeCell ref="V21:Y21"/>
    <mergeCell ref="A19:A21"/>
    <mergeCell ref="B19:B21"/>
    <mergeCell ref="G19:G21"/>
    <mergeCell ref="H19:H21"/>
    <mergeCell ref="I19:I21"/>
    <mergeCell ref="J20:M20"/>
    <mergeCell ref="C19:C21"/>
    <mergeCell ref="D19:D21"/>
    <mergeCell ref="E19:E21"/>
    <mergeCell ref="F19:F21"/>
    <mergeCell ref="A16:A18"/>
    <mergeCell ref="B16:B18"/>
    <mergeCell ref="G16:G18"/>
    <mergeCell ref="H16:H18"/>
    <mergeCell ref="I16:I18"/>
    <mergeCell ref="J17:M17"/>
    <mergeCell ref="C16:C18"/>
    <mergeCell ref="D16:D18"/>
    <mergeCell ref="E16:E18"/>
    <mergeCell ref="F16:F18"/>
    <mergeCell ref="A13:A15"/>
    <mergeCell ref="B13:B15"/>
    <mergeCell ref="G13:G15"/>
    <mergeCell ref="H13:H15"/>
    <mergeCell ref="I13:I15"/>
    <mergeCell ref="J14:M14"/>
    <mergeCell ref="C13:C15"/>
    <mergeCell ref="D13:D15"/>
    <mergeCell ref="E13:E15"/>
    <mergeCell ref="F13:F15"/>
    <mergeCell ref="B10:B12"/>
    <mergeCell ref="G10:G12"/>
    <mergeCell ref="H10:H12"/>
    <mergeCell ref="I10:I12"/>
    <mergeCell ref="J11:M11"/>
    <mergeCell ref="C10:C12"/>
    <mergeCell ref="D10:D12"/>
    <mergeCell ref="E10:E12"/>
    <mergeCell ref="F10:F12"/>
    <mergeCell ref="A4:A6"/>
    <mergeCell ref="B4:B6"/>
    <mergeCell ref="J5:M5"/>
    <mergeCell ref="N5:Q5"/>
    <mergeCell ref="R5:U5"/>
    <mergeCell ref="V5:Y5"/>
    <mergeCell ref="J4:Q4"/>
    <mergeCell ref="AP31:AS31"/>
    <mergeCell ref="N8:Q8"/>
    <mergeCell ref="R8:U8"/>
    <mergeCell ref="V8:Y8"/>
    <mergeCell ref="J9:M9"/>
    <mergeCell ref="N9:Q9"/>
    <mergeCell ref="R9:U9"/>
    <mergeCell ref="V9:Y9"/>
    <mergeCell ref="A7:A9"/>
    <mergeCell ref="B7:B9"/>
    <mergeCell ref="G7:G9"/>
    <mergeCell ref="H7:H9"/>
    <mergeCell ref="I7:I9"/>
    <mergeCell ref="J8:M8"/>
    <mergeCell ref="C7:C9"/>
    <mergeCell ref="D7:D9"/>
    <mergeCell ref="A10:A12"/>
    <mergeCell ref="J1:V1"/>
    <mergeCell ref="J2:Q3"/>
    <mergeCell ref="R2:Y3"/>
    <mergeCell ref="AT31:AW31"/>
    <mergeCell ref="J31:M31"/>
    <mergeCell ref="N31:Q31"/>
    <mergeCell ref="R31:U31"/>
    <mergeCell ref="V31:Y31"/>
    <mergeCell ref="Z31:AC31"/>
    <mergeCell ref="AD31:AG31"/>
    <mergeCell ref="AH31:AK31"/>
    <mergeCell ref="AL31:AO31"/>
    <mergeCell ref="J15:M15"/>
    <mergeCell ref="N15:Q15"/>
    <mergeCell ref="R15:U15"/>
    <mergeCell ref="V15:Y15"/>
    <mergeCell ref="N17:Q17"/>
    <mergeCell ref="R17:U17"/>
    <mergeCell ref="V17:Y17"/>
    <mergeCell ref="J18:M18"/>
    <mergeCell ref="N18:Q18"/>
    <mergeCell ref="R18:U18"/>
    <mergeCell ref="V18:Y18"/>
    <mergeCell ref="N20:Q20"/>
  </mergeCells>
  <conditionalFormatting sqref="J10:AW10 J13:AW13 J16:AW16 J19:AW19 J22:AW22 J28:AW28">
    <cfRule type="cellIs" dxfId="83" priority="3" operator="equal">
      <formula>0</formula>
    </cfRule>
    <cfRule type="cellIs" dxfId="82" priority="4" operator="greaterThan">
      <formula>0</formula>
    </cfRule>
    <cfRule type="cellIs" dxfId="81" priority="11" operator="greaterThan">
      <formula>0</formula>
    </cfRule>
  </conditionalFormatting>
  <conditionalFormatting sqref="J7:AX7 J10:AW10 J13:AW13 J16:AW16 J19:AW19 J22:AW22 J25:AW25 J28:AW28">
    <cfRule type="cellIs" dxfId="80" priority="1" operator="equal">
      <formula>0</formula>
    </cfRule>
    <cfRule type="cellIs" dxfId="79" priority="2" operator="greaterThan">
      <formula>0</formula>
    </cfRule>
  </conditionalFormatting>
  <conditionalFormatting sqref="J7:AX7 J10:AW10 J13:AW13 J16:AW16 J19:AW19 J22:AW22 J28:AW28">
    <cfRule type="cellIs" dxfId="78" priority="10" operator="equal">
      <formula>0</formula>
    </cfRule>
  </conditionalFormatting>
  <conditionalFormatting sqref="J7:AX7">
    <cfRule type="cellIs" dxfId="77" priority="13" operator="lessThan">
      <formula>1</formula>
    </cfRule>
    <cfRule type="cellIs" dxfId="76" priority="14" operator="greaterThan">
      <formula>0</formula>
    </cfRule>
    <cfRule type="cellIs" dxfId="75" priority="36" operator="equal">
      <formula>#REF!</formula>
    </cfRule>
    <cfRule type="cellIs" dxfId="74" priority="37" operator="equal">
      <formula>#REF!</formula>
    </cfRule>
  </conditionalFormatting>
  <pageMargins left="0.511811024" right="0.511811024" top="0.78740157499999996" bottom="0.78740157499999996" header="0.31496062000000002" footer="0.31496062000000002"/>
  <pageSetup paperSize="9" scale="57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" operator="containsText" id="{54B0F62C-D5F8-42F7-89F6-A9615BDE3279}">
            <xm:f>NOT(ISERROR(SEARCH(#REF!,J7)))</xm:f>
            <xm:f>#REF!</xm:f>
            <x14:dxf>
              <font>
                <color rgb="FFFF0000"/>
              </font>
            </x14:dxf>
          </x14:cfRule>
          <x14:cfRule type="containsText" priority="40" operator="containsText" id="{DDD4D610-331C-416B-9F5D-8518B2475271}">
            <xm:f>NOT(ISERROR(SEARCH(#REF!,J7)))</xm:f>
            <xm:f>#REF!</xm:f>
            <x14:dxf>
              <font>
                <color rgb="FFFF0000"/>
              </font>
              <numFmt numFmtId="0" formatCode="General"/>
              <fill>
                <patternFill>
                  <bgColor rgb="FFFF0000"/>
                </patternFill>
              </fill>
            </x14:dxf>
          </x14:cfRule>
          <xm:sqref>J7:AX7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="85" zoomScaleNormal="85" workbookViewId="0">
      <pane ySplit="2" topLeftCell="A3" activePane="bottomLeft" state="frozen"/>
      <selection pane="bottomLeft" activeCell="L7" sqref="L7"/>
    </sheetView>
  </sheetViews>
  <sheetFormatPr defaultRowHeight="15"/>
  <cols>
    <col min="1" max="1" width="8.25" customWidth="1"/>
    <col min="2" max="2" width="8.75" style="440" bestFit="1"/>
    <col min="3" max="3" width="8.75" style="84"/>
    <col min="4" max="4" width="46.625" customWidth="1"/>
    <col min="5" max="5" width="8.75" style="84"/>
    <col min="6" max="6" width="10.875" style="458" bestFit="1" customWidth="1"/>
    <col min="7" max="7" width="13.125" bestFit="1" customWidth="1"/>
    <col min="8" max="8" width="15.375" bestFit="1" customWidth="1"/>
    <col min="9" max="9" width="10.75" style="456" bestFit="1" customWidth="1"/>
  </cols>
  <sheetData>
    <row r="1" spans="1:9" ht="69.599999999999994" customHeight="1">
      <c r="A1" s="765"/>
      <c r="B1" s="766"/>
      <c r="C1" s="766"/>
      <c r="D1" s="849" t="s">
        <v>744</v>
      </c>
      <c r="E1" s="849"/>
      <c r="F1" s="849"/>
      <c r="G1" s="849"/>
      <c r="H1" s="766"/>
      <c r="I1" s="767"/>
    </row>
    <row r="2" spans="1:9" ht="25.5">
      <c r="A2" s="675" t="s">
        <v>569</v>
      </c>
      <c r="B2" s="318" t="s">
        <v>548</v>
      </c>
      <c r="C2" s="318" t="s">
        <v>549</v>
      </c>
      <c r="D2" s="318" t="s">
        <v>724</v>
      </c>
      <c r="E2" s="318" t="s">
        <v>551</v>
      </c>
      <c r="F2" s="457" t="s">
        <v>568</v>
      </c>
      <c r="G2" s="318" t="s">
        <v>554</v>
      </c>
      <c r="H2" s="319" t="s">
        <v>540</v>
      </c>
      <c r="I2" s="676">
        <v>0.5</v>
      </c>
    </row>
    <row r="3" spans="1:9" s="74" customFormat="1" ht="14.45" customHeight="1">
      <c r="A3" s="677">
        <v>1</v>
      </c>
      <c r="B3" s="678"/>
      <c r="C3" s="454"/>
      <c r="D3" s="409" t="s">
        <v>723</v>
      </c>
      <c r="E3" s="475"/>
      <c r="F3" s="470">
        <f>SUM(F4:F4)</f>
        <v>1454.811792</v>
      </c>
      <c r="G3" s="476"/>
      <c r="H3" s="474">
        <f>SUM(H4:H4)</f>
        <v>345342.03907317948</v>
      </c>
      <c r="I3" s="679">
        <f>SUM(I4:I4)</f>
        <v>727.40589599999998</v>
      </c>
    </row>
    <row r="4" spans="1:9" s="74" customFormat="1" ht="30.6" customHeight="1">
      <c r="A4" s="680"/>
      <c r="B4" s="451" t="s">
        <v>60</v>
      </c>
      <c r="C4" s="451" t="s">
        <v>27</v>
      </c>
      <c r="D4" s="260" t="s">
        <v>565</v>
      </c>
      <c r="E4" s="451" t="s">
        <v>61</v>
      </c>
      <c r="F4" s="473">
        <f>'ABC-detalhada'!J5</f>
        <v>1454.811792</v>
      </c>
      <c r="G4" s="471">
        <f>'ABC-detalhada'!M5</f>
        <v>237.37918607218677</v>
      </c>
      <c r="H4" s="472">
        <f>G4*F4</f>
        <v>345342.03907317948</v>
      </c>
      <c r="I4" s="681">
        <f>F4*0.5</f>
        <v>727.40589599999998</v>
      </c>
    </row>
    <row r="5" spans="1:9" s="74" customFormat="1" ht="14.45" customHeight="1">
      <c r="A5" s="677">
        <v>2</v>
      </c>
      <c r="B5" s="682"/>
      <c r="C5" s="479"/>
      <c r="D5" s="410" t="s">
        <v>728</v>
      </c>
      <c r="E5" s="475"/>
      <c r="F5" s="470">
        <f>SUM(F6:F8)</f>
        <v>2640.75</v>
      </c>
      <c r="G5" s="480"/>
      <c r="H5" s="474">
        <f>SUM(H6:H8)</f>
        <v>258715.63621682377</v>
      </c>
      <c r="I5" s="679">
        <f>SUM(I6:I8)</f>
        <v>1320.375</v>
      </c>
    </row>
    <row r="6" spans="1:9" s="74" customFormat="1" ht="42.6" customHeight="1">
      <c r="A6" s="680"/>
      <c r="B6" s="451">
        <v>92398</v>
      </c>
      <c r="C6" s="451" t="s">
        <v>24</v>
      </c>
      <c r="D6" s="260" t="s">
        <v>459</v>
      </c>
      <c r="E6" s="451" t="s">
        <v>21</v>
      </c>
      <c r="F6" s="473">
        <f>'ABC-detalhada'!J41</f>
        <v>0</v>
      </c>
      <c r="G6" s="471">
        <f>'ABC-detalhada'!M41</f>
        <v>97.311888632100008</v>
      </c>
      <c r="H6" s="472">
        <f>G6*F6</f>
        <v>0</v>
      </c>
      <c r="I6" s="681">
        <f>F6*0.5</f>
        <v>0</v>
      </c>
    </row>
    <row r="7" spans="1:9" s="74" customFormat="1" ht="54" customHeight="1" thickBot="1">
      <c r="A7" s="680"/>
      <c r="B7" s="451" t="s">
        <v>422</v>
      </c>
      <c r="C7" s="451" t="s">
        <v>24</v>
      </c>
      <c r="D7" s="260" t="s">
        <v>423</v>
      </c>
      <c r="E7" s="451" t="s">
        <v>21</v>
      </c>
      <c r="F7" s="473">
        <f>'ABC-detalhada'!J42</f>
        <v>927.05</v>
      </c>
      <c r="G7" s="471">
        <f>'ABC-detalhada'!M42</f>
        <v>96.723704668999986</v>
      </c>
      <c r="H7" s="472">
        <f t="shared" ref="H7:H8" si="0">G7*F7</f>
        <v>89667.710413396431</v>
      </c>
      <c r="I7" s="681">
        <f>F7*0.5</f>
        <v>463.52499999999998</v>
      </c>
    </row>
    <row r="8" spans="1:9" s="74" customFormat="1" ht="42.6" customHeight="1" thickBot="1">
      <c r="A8" s="680"/>
      <c r="B8" s="450" t="s">
        <v>82</v>
      </c>
      <c r="C8" s="450" t="s">
        <v>24</v>
      </c>
      <c r="D8" s="297" t="s">
        <v>83</v>
      </c>
      <c r="E8" s="450" t="s">
        <v>21</v>
      </c>
      <c r="F8" s="473">
        <f>'ABC-detalhada'!J43</f>
        <v>1713.6999999999998</v>
      </c>
      <c r="G8" s="471">
        <f>'ABC-detalhada'!M43</f>
        <v>98.644993758200002</v>
      </c>
      <c r="H8" s="472">
        <f t="shared" si="0"/>
        <v>169047.92580342732</v>
      </c>
      <c r="I8" s="681">
        <f>F8*0.5</f>
        <v>856.84999999999991</v>
      </c>
    </row>
    <row r="9" spans="1:9" s="74" customFormat="1" ht="14.45" customHeight="1">
      <c r="A9" s="677">
        <v>3</v>
      </c>
      <c r="B9" s="682"/>
      <c r="C9" s="455"/>
      <c r="D9" s="408" t="s">
        <v>719</v>
      </c>
      <c r="E9" s="475"/>
      <c r="F9" s="470">
        <f>SUM(F10:F12)</f>
        <v>2894.1254800000002</v>
      </c>
      <c r="G9" s="480"/>
      <c r="H9" s="474">
        <f>SUM(H10:H12)</f>
        <v>552769.31644189218</v>
      </c>
      <c r="I9" s="679">
        <f>SUM(I10:I12)</f>
        <v>1447.0627400000001</v>
      </c>
    </row>
    <row r="10" spans="1:9" s="74" customFormat="1" ht="54" customHeight="1">
      <c r="A10" s="680"/>
      <c r="B10" s="451">
        <v>96397</v>
      </c>
      <c r="C10" s="451" t="s">
        <v>24</v>
      </c>
      <c r="D10" s="260" t="s">
        <v>412</v>
      </c>
      <c r="E10" s="451" t="s">
        <v>28</v>
      </c>
      <c r="F10" s="473">
        <f>'ABC-detalhada'!J8</f>
        <v>762.06274000000008</v>
      </c>
      <c r="G10" s="471">
        <f>'ABC-detalhada'!M8</f>
        <v>283.59450737499998</v>
      </c>
      <c r="H10" s="472">
        <f>G10*F10</f>
        <v>216116.80733914272</v>
      </c>
      <c r="I10" s="681">
        <f>F10*0.5</f>
        <v>381.03137000000004</v>
      </c>
    </row>
    <row r="11" spans="1:9" s="74" customFormat="1" ht="54" customHeight="1">
      <c r="A11" s="680"/>
      <c r="B11" s="451" t="s">
        <v>52</v>
      </c>
      <c r="C11" s="451" t="s">
        <v>24</v>
      </c>
      <c r="D11" s="260" t="s">
        <v>53</v>
      </c>
      <c r="E11" s="451" t="s">
        <v>28</v>
      </c>
      <c r="F11" s="473">
        <f>'ABC-detalhada'!J9</f>
        <v>1152.4627400000002</v>
      </c>
      <c r="G11" s="471">
        <f>'ABC-detalhada'!M9</f>
        <v>113.035178499</v>
      </c>
      <c r="H11" s="472">
        <f t="shared" ref="H11:H12" si="1">G11*F11</f>
        <v>130268.83152934664</v>
      </c>
      <c r="I11" s="681">
        <f>F11*0.5</f>
        <v>576.23137000000008</v>
      </c>
    </row>
    <row r="12" spans="1:9" s="74" customFormat="1" ht="42.6" customHeight="1">
      <c r="A12" s="680"/>
      <c r="B12" s="451" t="s">
        <v>54</v>
      </c>
      <c r="C12" s="451" t="s">
        <v>24</v>
      </c>
      <c r="D12" s="260" t="s">
        <v>55</v>
      </c>
      <c r="E12" s="451" t="s">
        <v>28</v>
      </c>
      <c r="F12" s="473">
        <f>'ABC-detalhada'!J10</f>
        <v>979.6</v>
      </c>
      <c r="G12" s="471">
        <f>'ABC-detalhada'!M10</f>
        <v>210.68158184299998</v>
      </c>
      <c r="H12" s="472">
        <f t="shared" si="1"/>
        <v>206383.67757340279</v>
      </c>
      <c r="I12" s="681">
        <f>F12*0.5</f>
        <v>489.8</v>
      </c>
    </row>
    <row r="13" spans="1:9" s="74" customFormat="1" ht="54" customHeight="1">
      <c r="A13" s="677">
        <v>4</v>
      </c>
      <c r="B13" s="683" t="s">
        <v>74</v>
      </c>
      <c r="C13" s="479" t="s">
        <v>24</v>
      </c>
      <c r="D13" s="409" t="s">
        <v>75</v>
      </c>
      <c r="E13" s="475" t="s">
        <v>31</v>
      </c>
      <c r="F13" s="478">
        <f>'ABC-detalhada'!J45</f>
        <v>2278.3000000000002</v>
      </c>
      <c r="G13" s="480">
        <f>'ABC-detalhada'!M45</f>
        <v>60.489098463599994</v>
      </c>
      <c r="H13" s="477">
        <f>G13*F13</f>
        <v>137812.31302961987</v>
      </c>
      <c r="I13" s="679">
        <f>F13*0.5</f>
        <v>1139.1500000000001</v>
      </c>
    </row>
    <row r="14" spans="1:9" s="74" customFormat="1" ht="42.6" customHeight="1">
      <c r="A14" s="684">
        <v>5</v>
      </c>
      <c r="B14" s="685" t="s">
        <v>603</v>
      </c>
      <c r="C14" s="685" t="s">
        <v>27</v>
      </c>
      <c r="D14" s="686" t="s">
        <v>630</v>
      </c>
      <c r="E14" s="685" t="str">
        <f>'ABC-detalhada'!E46</f>
        <v>m³</v>
      </c>
      <c r="F14" s="687">
        <f>'ABC-detalhada'!J46</f>
        <v>1288.20108</v>
      </c>
      <c r="G14" s="688">
        <f>'ABC-detalhada'!M46</f>
        <v>141.15745806278048</v>
      </c>
      <c r="H14" s="689">
        <f>G14*F14</f>
        <v>181839.18992652852</v>
      </c>
      <c r="I14" s="690">
        <f>F14*0.5</f>
        <v>644.10054000000002</v>
      </c>
    </row>
    <row r="15" spans="1:9" s="74" customFormat="1">
      <c r="A15" s="671"/>
      <c r="B15" s="672"/>
      <c r="C15" s="673"/>
      <c r="D15" s="674"/>
      <c r="E15" s="84"/>
      <c r="F15" s="458"/>
      <c r="G15"/>
      <c r="H15"/>
      <c r="I15" s="456"/>
    </row>
    <row r="16" spans="1:9" s="74" customFormat="1">
      <c r="A16" s="459"/>
      <c r="B16" s="462"/>
      <c r="C16" s="463"/>
      <c r="D16" s="464"/>
      <c r="E16" s="84"/>
      <c r="F16" s="458"/>
      <c r="G16"/>
      <c r="H16"/>
      <c r="I16" s="456"/>
    </row>
    <row r="17" spans="1:9" s="74" customFormat="1">
      <c r="A17" s="459"/>
      <c r="B17" s="460"/>
      <c r="C17" s="320"/>
      <c r="D17" s="461"/>
      <c r="E17" s="84"/>
      <c r="F17" s="458"/>
      <c r="G17"/>
      <c r="H17"/>
      <c r="I17" s="456"/>
    </row>
    <row r="18" spans="1:9" s="74" customFormat="1">
      <c r="A18" s="459"/>
      <c r="B18" s="462"/>
      <c r="C18" s="463"/>
      <c r="D18" s="464"/>
      <c r="E18" s="84"/>
      <c r="F18" s="458"/>
      <c r="G18"/>
      <c r="H18"/>
      <c r="I18" s="456"/>
    </row>
    <row r="19" spans="1:9" s="74" customFormat="1">
      <c r="A19" s="459"/>
      <c r="B19" s="460"/>
      <c r="C19" s="320"/>
      <c r="D19" s="461"/>
      <c r="E19" s="84"/>
      <c r="F19" s="458"/>
      <c r="G19"/>
      <c r="H19"/>
      <c r="I19" s="456"/>
    </row>
    <row r="20" spans="1:9">
      <c r="A20" s="459"/>
      <c r="B20" s="460"/>
      <c r="C20" s="320"/>
      <c r="D20" s="465"/>
    </row>
    <row r="21" spans="1:9">
      <c r="A21" s="459"/>
      <c r="B21" s="460"/>
      <c r="C21" s="320"/>
      <c r="D21" s="461"/>
    </row>
    <row r="22" spans="1:9">
      <c r="A22" s="459"/>
      <c r="B22" s="460"/>
      <c r="C22" s="320"/>
      <c r="D22" s="465"/>
    </row>
    <row r="23" spans="1:9">
      <c r="A23" s="459"/>
      <c r="B23" s="460"/>
      <c r="C23" s="320"/>
      <c r="D23" s="461"/>
    </row>
    <row r="24" spans="1:9" ht="15.75" thickBot="1">
      <c r="A24" s="459"/>
      <c r="B24" s="466"/>
      <c r="C24" s="320"/>
      <c r="D24" s="461"/>
    </row>
    <row r="25" spans="1:9" ht="15.75" thickBot="1">
      <c r="A25" s="459"/>
      <c r="B25" s="467"/>
      <c r="C25" s="468"/>
      <c r="D25" s="469"/>
    </row>
    <row r="26" spans="1:9">
      <c r="A26" s="459"/>
      <c r="B26" s="460"/>
      <c r="C26" s="320"/>
      <c r="D26" s="461"/>
    </row>
    <row r="27" spans="1:9">
      <c r="A27" s="459"/>
      <c r="B27" s="460"/>
      <c r="C27" s="320"/>
      <c r="D27" s="461"/>
    </row>
  </sheetData>
  <mergeCells count="1">
    <mergeCell ref="D1:G1"/>
  </mergeCells>
  <conditionalFormatting sqref="D4">
    <cfRule type="duplicateValues" dxfId="71" priority="122"/>
  </conditionalFormatting>
  <conditionalFormatting sqref="D6:D7">
    <cfRule type="duplicateValues" dxfId="70" priority="16"/>
  </conditionalFormatting>
  <conditionalFormatting sqref="D8">
    <cfRule type="duplicateValues" dxfId="69" priority="15"/>
  </conditionalFormatting>
  <conditionalFormatting sqref="D9">
    <cfRule type="duplicateValues" dxfId="68" priority="121"/>
  </conditionalFormatting>
  <conditionalFormatting sqref="D10">
    <cfRule type="duplicateValues" dxfId="67" priority="21"/>
  </conditionalFormatting>
  <conditionalFormatting sqref="D11">
    <cfRule type="duplicateValues" dxfId="66" priority="120"/>
  </conditionalFormatting>
  <conditionalFormatting sqref="D12">
    <cfRule type="duplicateValues" dxfId="65" priority="20"/>
  </conditionalFormatting>
  <conditionalFormatting sqref="D15:D16">
    <cfRule type="duplicateValues" dxfId="64" priority="26"/>
  </conditionalFormatting>
  <conditionalFormatting sqref="D17">
    <cfRule type="duplicateValues" dxfId="63" priority="25"/>
  </conditionalFormatting>
  <conditionalFormatting sqref="D18:D21">
    <cfRule type="duplicateValues" dxfId="62" priority="29"/>
  </conditionalFormatting>
  <conditionalFormatting sqref="D22">
    <cfRule type="duplicateValues" dxfId="61" priority="27"/>
  </conditionalFormatting>
  <conditionalFormatting sqref="D23:D24">
    <cfRule type="duplicateValues" dxfId="60" priority="28"/>
  </conditionalFormatting>
  <conditionalFormatting sqref="D25">
    <cfRule type="duplicateValues" dxfId="59" priority="23"/>
  </conditionalFormatting>
  <conditionalFormatting sqref="D26:D27">
    <cfRule type="duplicateValues" dxfId="58" priority="24"/>
  </conditionalFormatting>
  <pageMargins left="0.511811024" right="0.511811024" top="0.78740157499999996" bottom="0.78740157499999996" header="0.31496062000000002" footer="0.31496062000000002"/>
  <pageSetup paperSize="9" scale="65" fitToWidth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K54"/>
  <sheetViews>
    <sheetView showOutlineSymbols="0" showWhiteSpace="0" zoomScale="85" zoomScaleNormal="85" workbookViewId="0">
      <pane ySplit="6" topLeftCell="A49" activePane="bottomLeft" state="frozen"/>
      <selection pane="bottomLeft" activeCell="A51" sqref="A51:C54"/>
    </sheetView>
  </sheetViews>
  <sheetFormatPr defaultColWidth="8.75" defaultRowHeight="12.75"/>
  <cols>
    <col min="1" max="1" width="6" style="50" customWidth="1"/>
    <col min="2" max="2" width="8.625" style="50" customWidth="1"/>
    <col min="3" max="3" width="7" style="50" customWidth="1"/>
    <col min="4" max="4" width="60" style="50" bestFit="1" customWidth="1"/>
    <col min="5" max="5" width="8" style="50" customWidth="1"/>
    <col min="6" max="10" width="12.875" style="50" customWidth="1"/>
    <col min="11" max="16384" width="8.75" style="50"/>
  </cols>
  <sheetData>
    <row r="1" spans="1:11" ht="33" customHeight="1">
      <c r="A1" s="982"/>
      <c r="B1" s="983"/>
      <c r="C1" s="983"/>
      <c r="D1" s="987" t="s">
        <v>785</v>
      </c>
      <c r="E1" s="988"/>
      <c r="F1" s="989"/>
      <c r="G1" s="781" t="s">
        <v>778</v>
      </c>
      <c r="H1" s="782" t="s">
        <v>779</v>
      </c>
      <c r="I1" s="982"/>
      <c r="J1" s="982"/>
    </row>
    <row r="2" spans="1:11" ht="55.15" customHeight="1">
      <c r="A2" s="983"/>
      <c r="B2" s="983"/>
      <c r="C2" s="983"/>
      <c r="D2" s="984" t="s">
        <v>631</v>
      </c>
      <c r="E2" s="985"/>
      <c r="F2" s="986"/>
      <c r="G2" s="814">
        <v>0.2097</v>
      </c>
      <c r="H2" s="815">
        <v>0.14019999999999999</v>
      </c>
      <c r="I2" s="980"/>
      <c r="J2" s="980"/>
    </row>
    <row r="3" spans="1:11" ht="15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1" ht="30.6" customHeight="1">
      <c r="A4" s="977" t="s">
        <v>733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1" ht="20.45" customHeight="1">
      <c r="A5" s="995" t="s">
        <v>395</v>
      </c>
      <c r="B5" s="996"/>
      <c r="C5" s="996"/>
      <c r="D5" s="996"/>
      <c r="E5" s="996"/>
      <c r="F5" s="996"/>
      <c r="G5" s="996"/>
      <c r="H5" s="996"/>
      <c r="I5" s="996"/>
      <c r="J5" s="997"/>
    </row>
    <row r="6" spans="1:11" ht="30" customHeight="1">
      <c r="A6" s="532" t="s">
        <v>6</v>
      </c>
      <c r="B6" s="53" t="s">
        <v>7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3" t="s">
        <v>13</v>
      </c>
      <c r="I6" s="53" t="s">
        <v>14</v>
      </c>
      <c r="J6" s="533" t="s">
        <v>15</v>
      </c>
    </row>
    <row r="7" spans="1:11" ht="15" customHeight="1">
      <c r="A7" s="534" t="s">
        <v>16</v>
      </c>
      <c r="B7" s="40"/>
      <c r="C7" s="40"/>
      <c r="D7" s="40" t="s">
        <v>17</v>
      </c>
      <c r="E7" s="40"/>
      <c r="F7" s="41"/>
      <c r="G7" s="40"/>
      <c r="H7" s="40"/>
      <c r="I7" s="42">
        <f>SUM(I8:I14)</f>
        <v>126807.04999999999</v>
      </c>
      <c r="J7" s="535">
        <f>SUM(J8:J14)</f>
        <v>9.0181057067048487E-2</v>
      </c>
    </row>
    <row r="8" spans="1:11" ht="15" customHeight="1">
      <c r="A8" s="536" t="s">
        <v>18</v>
      </c>
      <c r="B8" s="44" t="s">
        <v>302</v>
      </c>
      <c r="C8" s="43" t="s">
        <v>19</v>
      </c>
      <c r="D8" s="43" t="s">
        <v>20</v>
      </c>
      <c r="E8" s="45" t="s">
        <v>21</v>
      </c>
      <c r="F8" s="46">
        <f>VLOOKUP(A8,'OBRA 01 - MEMÓRIA'!$A:$O,15,0)</f>
        <v>6</v>
      </c>
      <c r="G8" s="46">
        <f>'OBRA 01 - ANALÍTICA'!J8</f>
        <v>374.03189999999995</v>
      </c>
      <c r="H8" s="46">
        <f>G8*(1+$G$2)</f>
        <v>452.46638942999994</v>
      </c>
      <c r="I8" s="224">
        <f>TRUNC((F8*H8),2)</f>
        <v>2714.79</v>
      </c>
      <c r="J8" s="537">
        <f>I8/$H$50</f>
        <v>1.9306705101573816E-3</v>
      </c>
      <c r="K8" s="52"/>
    </row>
    <row r="9" spans="1:11" ht="30" customHeight="1">
      <c r="A9" s="536" t="s">
        <v>22</v>
      </c>
      <c r="B9" s="44" t="s">
        <v>23</v>
      </c>
      <c r="C9" s="43" t="s">
        <v>24</v>
      </c>
      <c r="D9" s="43" t="s">
        <v>25</v>
      </c>
      <c r="E9" s="45" t="s">
        <v>21</v>
      </c>
      <c r="F9" s="46">
        <f>VLOOKUP(A9,'OBRA 01 - MEMÓRIA'!$A:$O,15,0)</f>
        <v>2946</v>
      </c>
      <c r="G9" s="46">
        <f>'OBRA 01 - ANALÍTICA'!J21</f>
        <v>22.650455999999998</v>
      </c>
      <c r="H9" s="46">
        <f t="shared" ref="H9:H14" si="0">G9*(1+$G$2)</f>
        <v>27.400256623199997</v>
      </c>
      <c r="I9" s="224">
        <f>TRUNC((F9*H9),2)</f>
        <v>80721.149999999994</v>
      </c>
      <c r="J9" s="537">
        <f t="shared" ref="J9:J14" si="1">I9/$H$50</f>
        <v>5.740626120288881E-2</v>
      </c>
      <c r="K9" s="52"/>
    </row>
    <row r="10" spans="1:11" ht="15" customHeight="1">
      <c r="A10" s="536" t="s">
        <v>332</v>
      </c>
      <c r="B10" s="44" t="s">
        <v>361</v>
      </c>
      <c r="C10" s="43" t="s">
        <v>27</v>
      </c>
      <c r="D10" s="43" t="s">
        <v>636</v>
      </c>
      <c r="E10" s="45" t="s">
        <v>21</v>
      </c>
      <c r="F10" s="46">
        <f>VLOOKUP(A10,'OBRA 01 - MEMÓRIA'!$A:$O,15,0)</f>
        <v>380.8</v>
      </c>
      <c r="G10" s="46">
        <f>'OBRA 01 - ANALÍTICA'!J32</f>
        <v>3.9131663089420776</v>
      </c>
      <c r="H10" s="46">
        <f t="shared" si="0"/>
        <v>4.7337572839272317</v>
      </c>
      <c r="I10" s="224">
        <f t="shared" ref="I10:I13" si="2">TRUNC((F10*H10),2)</f>
        <v>1802.61</v>
      </c>
      <c r="J10" s="537">
        <f t="shared" si="1"/>
        <v>1.2819577088153402E-3</v>
      </c>
      <c r="K10" s="52"/>
    </row>
    <row r="11" spans="1:11" ht="15" customHeight="1">
      <c r="A11" s="536" t="s">
        <v>333</v>
      </c>
      <c r="B11" s="44" t="s">
        <v>29</v>
      </c>
      <c r="C11" s="43" t="s">
        <v>30</v>
      </c>
      <c r="D11" s="43" t="s">
        <v>560</v>
      </c>
      <c r="E11" s="45" t="s">
        <v>31</v>
      </c>
      <c r="F11" s="46">
        <f>VLOOKUP(A11,'OBRA 01 - MEMÓRIA'!$A:$O,15,0)</f>
        <v>732</v>
      </c>
      <c r="G11" s="224">
        <f>'OBRA 01 - ANALÍTICA'!J51</f>
        <v>9.8135000000000012</v>
      </c>
      <c r="H11" s="46">
        <f t="shared" si="0"/>
        <v>11.871390950000002</v>
      </c>
      <c r="I11" s="181">
        <f t="shared" si="2"/>
        <v>8689.85</v>
      </c>
      <c r="J11" s="537">
        <f t="shared" si="1"/>
        <v>6.1799391970248614E-3</v>
      </c>
      <c r="K11" s="52"/>
    </row>
    <row r="12" spans="1:11" ht="15" customHeight="1">
      <c r="A12" s="536" t="s">
        <v>334</v>
      </c>
      <c r="B12" s="44" t="s">
        <v>362</v>
      </c>
      <c r="C12" s="43" t="s">
        <v>27</v>
      </c>
      <c r="D12" s="43" t="s">
        <v>561</v>
      </c>
      <c r="E12" s="45" t="s">
        <v>28</v>
      </c>
      <c r="F12" s="46">
        <f>VLOOKUP(A12,'OBRA 01 - MEMÓRIA'!$A:$O,15,0)</f>
        <v>4.5</v>
      </c>
      <c r="G12" s="224">
        <f>'OBRA 01 - ANALÍTICA'!J61</f>
        <v>391.38085807040079</v>
      </c>
      <c r="H12" s="46">
        <f t="shared" si="0"/>
        <v>473.45342400776383</v>
      </c>
      <c r="I12" s="46">
        <f t="shared" si="2"/>
        <v>2130.54</v>
      </c>
      <c r="J12" s="537">
        <f t="shared" si="1"/>
        <v>1.5151708783039232E-3</v>
      </c>
      <c r="K12" s="52"/>
    </row>
    <row r="13" spans="1:11" ht="51">
      <c r="A13" s="536" t="s">
        <v>364</v>
      </c>
      <c r="B13" s="235" t="s">
        <v>42</v>
      </c>
      <c r="C13" s="235" t="s">
        <v>24</v>
      </c>
      <c r="D13" s="234" t="s">
        <v>669</v>
      </c>
      <c r="E13" s="45" t="s">
        <v>28</v>
      </c>
      <c r="F13" s="46">
        <f>VLOOKUP(A13,'OBRA 01 - MEMÓRIA'!$A:$O,15,0)</f>
        <v>262.02500000000003</v>
      </c>
      <c r="G13" s="224">
        <f>'OBRA 01 - ANALÍTICA'!J92</f>
        <v>7.8073019999999991</v>
      </c>
      <c r="H13" s="46">
        <f t="shared" si="0"/>
        <v>9.444493229399999</v>
      </c>
      <c r="I13" s="181">
        <f t="shared" si="2"/>
        <v>2474.69</v>
      </c>
      <c r="J13" s="537">
        <f t="shared" si="1"/>
        <v>1.7599191851971499E-3</v>
      </c>
      <c r="K13" s="52"/>
    </row>
    <row r="14" spans="1:11" ht="42" customHeight="1">
      <c r="A14" s="536" t="s">
        <v>365</v>
      </c>
      <c r="B14" s="44" t="s">
        <v>34</v>
      </c>
      <c r="C14" s="43" t="s">
        <v>24</v>
      </c>
      <c r="D14" s="253" t="s">
        <v>656</v>
      </c>
      <c r="E14" s="45" t="s">
        <v>36</v>
      </c>
      <c r="F14" s="46">
        <f>VLOOKUP(A14,'OBRA 01 - MEMÓRIA'!$A:$O,15,0)</f>
        <v>7860.7500000000009</v>
      </c>
      <c r="G14" s="224">
        <f>'OBRA 01 - ANALÍTICA'!J102</f>
        <v>2.9732859999999999</v>
      </c>
      <c r="H14" s="236">
        <f t="shared" si="0"/>
        <v>3.5967840741999999</v>
      </c>
      <c r="I14" s="46">
        <f>TRUNC((F14*H14),2)</f>
        <v>28273.42</v>
      </c>
      <c r="J14" s="537">
        <f t="shared" si="1"/>
        <v>2.0107138384661029E-2</v>
      </c>
      <c r="K14" s="52"/>
    </row>
    <row r="15" spans="1:11" ht="15" customHeight="1">
      <c r="A15" s="534" t="s">
        <v>37</v>
      </c>
      <c r="B15" s="40"/>
      <c r="C15" s="40"/>
      <c r="D15" s="40" t="s">
        <v>38</v>
      </c>
      <c r="E15" s="40"/>
      <c r="F15" s="41"/>
      <c r="G15" s="40"/>
      <c r="H15" s="40"/>
      <c r="I15" s="42">
        <f>SUM(I16:I18)</f>
        <v>124420.61</v>
      </c>
      <c r="J15" s="535">
        <f>SUM(J16:J18)</f>
        <v>8.8483898416744061E-2</v>
      </c>
      <c r="K15" s="52"/>
    </row>
    <row r="16" spans="1:11" ht="42" customHeight="1">
      <c r="A16" s="536" t="s">
        <v>39</v>
      </c>
      <c r="B16" s="44">
        <v>101124</v>
      </c>
      <c r="C16" s="43" t="s">
        <v>24</v>
      </c>
      <c r="D16" s="43" t="s">
        <v>397</v>
      </c>
      <c r="E16" s="45" t="s">
        <v>28</v>
      </c>
      <c r="F16" s="46">
        <f>VLOOKUP(A16,'OBRA 01 - MEMÓRIA'!$A:$O,15,0)</f>
        <v>780.80000000000007</v>
      </c>
      <c r="G16" s="224">
        <f>'OBRA 01 - ANALÍTICA'!J111</f>
        <v>15.327324999999998</v>
      </c>
      <c r="H16" s="46">
        <f>G16*(1+$G$2)</f>
        <v>18.541465052499998</v>
      </c>
      <c r="I16" s="46">
        <f t="shared" ref="I16:I17" si="3">TRUNC(F16*H16,2)</f>
        <v>14477.17</v>
      </c>
      <c r="J16" s="537">
        <f>I16/$H$50</f>
        <v>1.0295693291022562E-2</v>
      </c>
      <c r="K16" s="52"/>
    </row>
    <row r="17" spans="1:11" ht="15" customHeight="1">
      <c r="A17" s="536" t="s">
        <v>40</v>
      </c>
      <c r="B17" s="44" t="s">
        <v>41</v>
      </c>
      <c r="C17" s="43" t="s">
        <v>27</v>
      </c>
      <c r="D17" s="43" t="s">
        <v>562</v>
      </c>
      <c r="E17" s="45" t="s">
        <v>28</v>
      </c>
      <c r="F17" s="46">
        <f>VLOOKUP(A17,'OBRA 01 - MEMÓRIA'!$A:$O,15,0)</f>
        <v>780.80000000000007</v>
      </c>
      <c r="G17" s="224">
        <f>'OBRA 01 - ANALÍTICA'!J121</f>
        <v>4.9014837633769313</v>
      </c>
      <c r="H17" s="46">
        <f t="shared" ref="H17:H18" si="4">G17*(1+$G$2)</f>
        <v>5.9293249085570734</v>
      </c>
      <c r="I17" s="46">
        <f t="shared" si="3"/>
        <v>4629.6099999999997</v>
      </c>
      <c r="J17" s="537">
        <f>I17/$H$50</f>
        <v>3.2924283279847483E-3</v>
      </c>
      <c r="K17" s="52"/>
    </row>
    <row r="18" spans="1:11" ht="30" customHeight="1">
      <c r="A18" s="536" t="s">
        <v>396</v>
      </c>
      <c r="B18" s="44" t="s">
        <v>34</v>
      </c>
      <c r="C18" s="43" t="s">
        <v>24</v>
      </c>
      <c r="D18" s="253" t="s">
        <v>654</v>
      </c>
      <c r="E18" s="45" t="s">
        <v>36</v>
      </c>
      <c r="F18" s="46">
        <f>VLOOKUP(A18,'OBRA 01 - MEMÓRIA'!$A:$O,15,0)</f>
        <v>29280.000000000004</v>
      </c>
      <c r="G18" s="224">
        <f>'OBRA 01 - ANALÍTICA'!J144</f>
        <v>2.9732859999999999</v>
      </c>
      <c r="H18" s="46">
        <f t="shared" si="4"/>
        <v>3.5967840741999999</v>
      </c>
      <c r="I18" s="46">
        <f>TRUNC(F18*H18,2)</f>
        <v>105313.83</v>
      </c>
      <c r="J18" s="537">
        <f>I18/$H$50</f>
        <v>7.4895776797736749E-2</v>
      </c>
      <c r="K18" s="52"/>
    </row>
    <row r="19" spans="1:11" ht="15" customHeight="1">
      <c r="A19" s="534" t="s">
        <v>44</v>
      </c>
      <c r="B19" s="40"/>
      <c r="C19" s="40"/>
      <c r="D19" s="40" t="s">
        <v>45</v>
      </c>
      <c r="E19" s="40"/>
      <c r="F19" s="41"/>
      <c r="G19" s="40"/>
      <c r="H19" s="40"/>
      <c r="I19" s="42">
        <f>I20+I27</f>
        <v>735374.61</v>
      </c>
      <c r="J19" s="535">
        <f>J20+J27</f>
        <v>0.52297454810334709</v>
      </c>
      <c r="K19" s="52"/>
    </row>
    <row r="20" spans="1:11" ht="15" customHeight="1">
      <c r="A20" s="534" t="s">
        <v>46</v>
      </c>
      <c r="B20" s="40"/>
      <c r="C20" s="40"/>
      <c r="D20" s="40" t="s">
        <v>47</v>
      </c>
      <c r="E20" s="40"/>
      <c r="F20" s="41"/>
      <c r="G20" s="40"/>
      <c r="H20" s="40"/>
      <c r="I20" s="42">
        <f>SUM(I21:I26)</f>
        <v>443133.13</v>
      </c>
      <c r="J20" s="535">
        <f>SUM(J21:J26)</f>
        <v>0.31514189538223486</v>
      </c>
      <c r="K20" s="52"/>
    </row>
    <row r="21" spans="1:11" ht="30" customHeight="1">
      <c r="A21" s="536" t="s">
        <v>48</v>
      </c>
      <c r="B21" s="44" t="s">
        <v>49</v>
      </c>
      <c r="C21" s="43" t="s">
        <v>24</v>
      </c>
      <c r="D21" s="43" t="s">
        <v>50</v>
      </c>
      <c r="E21" s="45" t="s">
        <v>21</v>
      </c>
      <c r="F21" s="46">
        <f>'OBRA 01 - MEMÓRIA'!O34</f>
        <v>1952</v>
      </c>
      <c r="G21" s="224">
        <f>'OBRA 01 - ANALÍTICA'!J154</f>
        <v>1.98004779</v>
      </c>
      <c r="H21" s="46">
        <f>G21*(1+$G$2)</f>
        <v>2.3952638115629998</v>
      </c>
      <c r="I21" s="46">
        <f t="shared" ref="I21:I26" si="5">TRUNC(F21*H21,2)</f>
        <v>4675.55</v>
      </c>
      <c r="J21" s="537">
        <f t="shared" ref="J21:J26" si="6">I21/$H$50</f>
        <v>3.3250993645056693E-3</v>
      </c>
      <c r="K21" s="52"/>
    </row>
    <row r="22" spans="1:11" ht="54.6" customHeight="1">
      <c r="A22" s="536" t="s">
        <v>51</v>
      </c>
      <c r="B22" s="44" t="s">
        <v>52</v>
      </c>
      <c r="C22" s="43" t="s">
        <v>24</v>
      </c>
      <c r="D22" s="43" t="s">
        <v>53</v>
      </c>
      <c r="E22" s="45" t="s">
        <v>28</v>
      </c>
      <c r="F22" s="46">
        <f>VLOOKUP(A22,'OBRA 01 - MEMÓRIA'!$A:$O,15,0)</f>
        <v>390.40000000000003</v>
      </c>
      <c r="G22" s="224">
        <f>'OBRA 01 - ANALÍTICA'!J167</f>
        <v>93.440669999999997</v>
      </c>
      <c r="H22" s="46">
        <f t="shared" ref="H22:H34" si="7">G22*(1+$G$2)</f>
        <v>113.035178499</v>
      </c>
      <c r="I22" s="46">
        <f t="shared" si="5"/>
        <v>44128.93</v>
      </c>
      <c r="J22" s="537">
        <f t="shared" si="6"/>
        <v>3.1383062334765996E-2</v>
      </c>
      <c r="K22" s="52"/>
    </row>
    <row r="23" spans="1:11" ht="15" customHeight="1">
      <c r="A23" s="538" t="s">
        <v>368</v>
      </c>
      <c r="B23" s="56" t="s">
        <v>307</v>
      </c>
      <c r="C23" s="55" t="s">
        <v>24</v>
      </c>
      <c r="D23" s="55" t="s">
        <v>308</v>
      </c>
      <c r="E23" s="57" t="s">
        <v>28</v>
      </c>
      <c r="F23" s="58">
        <f>VLOOKUP(A23,'OBRA 01 - MEMÓRIA'!$A:$O,15,0)</f>
        <v>244.00000000000003</v>
      </c>
      <c r="G23" s="58">
        <f>'OBRA 01 - ANALÍTICA'!J187</f>
        <v>60.92</v>
      </c>
      <c r="H23" s="58">
        <f>G23*(1+$H$2)</f>
        <v>69.46098400000001</v>
      </c>
      <c r="I23" s="58">
        <f t="shared" si="5"/>
        <v>16948.48</v>
      </c>
      <c r="J23" s="539">
        <f t="shared" si="6"/>
        <v>1.2053208729954133E-2</v>
      </c>
      <c r="K23" s="52"/>
    </row>
    <row r="24" spans="1:11" ht="42" customHeight="1">
      <c r="A24" s="536" t="s">
        <v>309</v>
      </c>
      <c r="B24" s="44" t="s">
        <v>54</v>
      </c>
      <c r="C24" s="43" t="s">
        <v>24</v>
      </c>
      <c r="D24" s="43" t="s">
        <v>55</v>
      </c>
      <c r="E24" s="45" t="s">
        <v>28</v>
      </c>
      <c r="F24" s="46">
        <f>VLOOKUP(A24,'OBRA 01 - MEMÓRIA'!$A:$O,15,0)</f>
        <v>979.6</v>
      </c>
      <c r="G24" s="224">
        <f>'OBRA 01 - ANALÍTICA'!J193</f>
        <v>174.16018999999997</v>
      </c>
      <c r="H24" s="46">
        <f t="shared" si="7"/>
        <v>210.68158184299998</v>
      </c>
      <c r="I24" s="46">
        <f t="shared" si="5"/>
        <v>206383.67</v>
      </c>
      <c r="J24" s="537">
        <f t="shared" si="6"/>
        <v>0.14677336569202507</v>
      </c>
      <c r="K24" s="52"/>
    </row>
    <row r="25" spans="1:11" ht="54.6" customHeight="1">
      <c r="A25" s="536" t="s">
        <v>326</v>
      </c>
      <c r="B25" s="44" t="s">
        <v>42</v>
      </c>
      <c r="C25" s="43" t="s">
        <v>24</v>
      </c>
      <c r="D25" s="43" t="s">
        <v>659</v>
      </c>
      <c r="E25" s="45" t="s">
        <v>28</v>
      </c>
      <c r="F25" s="46">
        <f>VLOOKUP(A25,'OBRA 01 - MEMÓRIA'!$A:$O,15,0)</f>
        <v>1712.5</v>
      </c>
      <c r="G25" s="224">
        <f>'OBRA 01 - ANALÍTICA'!J209</f>
        <v>7.8073019999999991</v>
      </c>
      <c r="H25" s="46">
        <f t="shared" si="7"/>
        <v>9.444493229399999</v>
      </c>
      <c r="I25" s="46">
        <f t="shared" si="5"/>
        <v>16173.69</v>
      </c>
      <c r="J25" s="537">
        <f t="shared" si="6"/>
        <v>1.150220323613515E-2</v>
      </c>
      <c r="K25" s="52"/>
    </row>
    <row r="26" spans="1:11" ht="30" customHeight="1">
      <c r="A26" s="536" t="s">
        <v>327</v>
      </c>
      <c r="B26" s="44" t="s">
        <v>56</v>
      </c>
      <c r="C26" s="43" t="s">
        <v>24</v>
      </c>
      <c r="D26" s="43" t="s">
        <v>658</v>
      </c>
      <c r="E26" s="45" t="s">
        <v>36</v>
      </c>
      <c r="F26" s="46">
        <f>VLOOKUP(A26,'OBRA 01 - MEMÓRIA'!$A:$O,15,0)</f>
        <v>51375</v>
      </c>
      <c r="G26" s="224">
        <f>'OBRA 01 - ANALÍTICA'!J219</f>
        <v>2.4911820000000002</v>
      </c>
      <c r="H26" s="46">
        <f t="shared" si="7"/>
        <v>3.0135828654000001</v>
      </c>
      <c r="I26" s="46">
        <f t="shared" si="5"/>
        <v>154822.81</v>
      </c>
      <c r="J26" s="537">
        <f t="shared" si="6"/>
        <v>0.11010495602484884</v>
      </c>
      <c r="K26" s="52"/>
    </row>
    <row r="27" spans="1:11" ht="15" customHeight="1">
      <c r="A27" s="534" t="s">
        <v>58</v>
      </c>
      <c r="B27" s="40"/>
      <c r="C27" s="40"/>
      <c r="D27" s="40" t="s">
        <v>59</v>
      </c>
      <c r="E27" s="40"/>
      <c r="F27" s="41"/>
      <c r="G27" s="40"/>
      <c r="H27" s="217"/>
      <c r="I27" s="42">
        <f>SUM(I28:I37)</f>
        <v>292241.48</v>
      </c>
      <c r="J27" s="535">
        <f>SUM(J28:J37)</f>
        <v>0.20783265272111223</v>
      </c>
      <c r="K27" s="52"/>
    </row>
    <row r="28" spans="1:11" ht="15" customHeight="1">
      <c r="A28" s="536" t="s">
        <v>335</v>
      </c>
      <c r="B28" s="44" t="s">
        <v>62</v>
      </c>
      <c r="C28" s="43" t="s">
        <v>27</v>
      </c>
      <c r="D28" s="43" t="s">
        <v>563</v>
      </c>
      <c r="E28" s="45" t="s">
        <v>21</v>
      </c>
      <c r="F28" s="46">
        <f>VLOOKUP(A28,'OBRA 01 - MEMÓRIA'!$A:$O,15,0)</f>
        <v>3701.62</v>
      </c>
      <c r="G28" s="46">
        <f>'OBRA 01 - ANALÍTICA'!J228</f>
        <v>0.39891387824278257</v>
      </c>
      <c r="H28" s="248">
        <f t="shared" si="7"/>
        <v>0.48256611851029407</v>
      </c>
      <c r="I28" s="46">
        <f t="shared" ref="I28:I37" si="8">TRUNC(F28*H28,2)</f>
        <v>1786.27</v>
      </c>
      <c r="J28" s="537">
        <f t="shared" ref="J28:J37" si="9">I28/$H$50</f>
        <v>1.2703372313065931E-3</v>
      </c>
      <c r="K28" s="52"/>
    </row>
    <row r="29" spans="1:11" ht="15" customHeight="1">
      <c r="A29" s="536" t="s">
        <v>336</v>
      </c>
      <c r="B29" s="44" t="s">
        <v>63</v>
      </c>
      <c r="C29" s="43" t="s">
        <v>27</v>
      </c>
      <c r="D29" s="43" t="s">
        <v>564</v>
      </c>
      <c r="E29" s="45" t="s">
        <v>21</v>
      </c>
      <c r="F29" s="46">
        <f>VLOOKUP(A29,'OBRA 01 - MEMÓRIA'!$A:$O,15,0)</f>
        <v>3701.62</v>
      </c>
      <c r="G29" s="46">
        <f>'OBRA 01 - ANALÍTICA'!J251</f>
        <v>0.27620920000000004</v>
      </c>
      <c r="H29" s="248">
        <f t="shared" si="7"/>
        <v>0.33413026924000006</v>
      </c>
      <c r="I29" s="46">
        <f>TRUNC(F29*H29,2)</f>
        <v>1236.82</v>
      </c>
      <c r="J29" s="537">
        <f t="shared" si="9"/>
        <v>8.7958622964312257E-4</v>
      </c>
      <c r="K29" s="52"/>
    </row>
    <row r="30" spans="1:11" ht="15" customHeight="1">
      <c r="A30" s="536" t="s">
        <v>337</v>
      </c>
      <c r="B30" s="44" t="s">
        <v>60</v>
      </c>
      <c r="C30" s="43" t="s">
        <v>27</v>
      </c>
      <c r="D30" s="43" t="s">
        <v>565</v>
      </c>
      <c r="E30" s="45" t="s">
        <v>61</v>
      </c>
      <c r="F30" s="46">
        <f>VLOOKUP(A30,'OBRA 01 - MEMÓRIA'!$A:$O,15,0)</f>
        <v>444.19439999999997</v>
      </c>
      <c r="G30" s="224">
        <f>'OBRA 01 - ANALÍTICA'!J274</f>
        <v>196.22979753012049</v>
      </c>
      <c r="H30" s="46">
        <f t="shared" si="7"/>
        <v>237.37918607218677</v>
      </c>
      <c r="I30" s="46">
        <f t="shared" si="8"/>
        <v>105442.5</v>
      </c>
      <c r="J30" s="537">
        <f t="shared" si="9"/>
        <v>7.4987282724361629E-2</v>
      </c>
      <c r="K30" s="52"/>
    </row>
    <row r="31" spans="1:11" ht="30" customHeight="1">
      <c r="A31" s="536" t="s">
        <v>338</v>
      </c>
      <c r="B31" s="44" t="s">
        <v>56</v>
      </c>
      <c r="C31" s="43" t="s">
        <v>24</v>
      </c>
      <c r="D31" s="43" t="s">
        <v>418</v>
      </c>
      <c r="E31" s="45" t="s">
        <v>36</v>
      </c>
      <c r="F31" s="46">
        <f>VLOOKUP(A31,'OBRA 01 - MEMÓRIA'!$A:$O,15,0)</f>
        <v>5552.43</v>
      </c>
      <c r="G31" s="224">
        <f>'OBRA 01 - ANALÍTICA'!J305</f>
        <v>2.4911820000000002</v>
      </c>
      <c r="H31" s="46">
        <f t="shared" si="7"/>
        <v>3.0135828654000001</v>
      </c>
      <c r="I31" s="46">
        <f t="shared" si="8"/>
        <v>16732.7</v>
      </c>
      <c r="J31" s="537">
        <f t="shared" si="9"/>
        <v>1.1899752999425525E-2</v>
      </c>
      <c r="K31" s="52"/>
    </row>
    <row r="32" spans="1:11" ht="42" customHeight="1">
      <c r="A32" s="536" t="s">
        <v>339</v>
      </c>
      <c r="B32" s="44" t="s">
        <v>64</v>
      </c>
      <c r="C32" s="43" t="s">
        <v>24</v>
      </c>
      <c r="D32" s="43" t="s">
        <v>65</v>
      </c>
      <c r="E32" s="45" t="s">
        <v>66</v>
      </c>
      <c r="F32" s="46">
        <f>VLOOKUP(A32,'OBRA 01 - MEMÓRIA'!$A:$O,15,0)</f>
        <v>1053.7179556799999</v>
      </c>
      <c r="G32" s="46">
        <f>'OBRA 01 - ANALÍTICA'!J313</f>
        <v>1.425548</v>
      </c>
      <c r="H32" s="46">
        <f t="shared" si="7"/>
        <v>1.7244854156</v>
      </c>
      <c r="I32" s="46">
        <f t="shared" si="8"/>
        <v>1817.12</v>
      </c>
      <c r="J32" s="537">
        <f t="shared" si="9"/>
        <v>1.2922767497365105E-3</v>
      </c>
      <c r="K32" s="52"/>
    </row>
    <row r="33" spans="1:11" ht="42" customHeight="1">
      <c r="A33" s="536" t="s">
        <v>340</v>
      </c>
      <c r="B33" s="44" t="s">
        <v>67</v>
      </c>
      <c r="C33" s="43" t="s">
        <v>24</v>
      </c>
      <c r="D33" s="43" t="s">
        <v>68</v>
      </c>
      <c r="E33" s="45" t="s">
        <v>66</v>
      </c>
      <c r="F33" s="46">
        <f>VLOOKUP(A33,'OBRA 01 - MEMÓRIA'!$A:$O,15,0)</f>
        <v>16508.247972319998</v>
      </c>
      <c r="G33" s="46">
        <f>'OBRA 01 - ANALÍTICA'!J321</f>
        <v>0.56272500000000003</v>
      </c>
      <c r="H33" s="46">
        <f t="shared" si="7"/>
        <v>0.68072843250000004</v>
      </c>
      <c r="I33" s="46">
        <f t="shared" si="8"/>
        <v>11237.63</v>
      </c>
      <c r="J33" s="537">
        <f t="shared" si="9"/>
        <v>7.9918376172963268E-3</v>
      </c>
      <c r="K33" s="52"/>
    </row>
    <row r="34" spans="1:11" ht="15" customHeight="1">
      <c r="A34" s="536" t="s">
        <v>341</v>
      </c>
      <c r="B34" s="44" t="s">
        <v>69</v>
      </c>
      <c r="C34" s="43" t="s">
        <v>19</v>
      </c>
      <c r="D34" s="43" t="s">
        <v>70</v>
      </c>
      <c r="E34" s="45" t="s">
        <v>21</v>
      </c>
      <c r="F34" s="46">
        <f>VLOOKUP(A34,'OBRA 01 - MEMÓRIA'!$A:$O,15,0)</f>
        <v>3701.62</v>
      </c>
      <c r="G34" s="46">
        <f>'OBRA 01 - ANALÍTICA'!J329</f>
        <v>0.58518999999999999</v>
      </c>
      <c r="H34" s="46">
        <f t="shared" si="7"/>
        <v>0.70790434299999994</v>
      </c>
      <c r="I34" s="46">
        <f t="shared" si="8"/>
        <v>2620.39</v>
      </c>
      <c r="J34" s="537">
        <f t="shared" si="9"/>
        <v>1.8635362949293687E-3</v>
      </c>
      <c r="K34" s="52"/>
    </row>
    <row r="35" spans="1:11" ht="15" customHeight="1">
      <c r="A35" s="538" t="s">
        <v>342</v>
      </c>
      <c r="B35" s="56" t="s">
        <v>303</v>
      </c>
      <c r="C35" s="56" t="s">
        <v>303</v>
      </c>
      <c r="D35" s="55" t="s">
        <v>304</v>
      </c>
      <c r="E35" s="57" t="s">
        <v>306</v>
      </c>
      <c r="F35" s="58">
        <f>'OBRA 01 - ANALÍTICA'!H339</f>
        <v>1.665729</v>
      </c>
      <c r="G35" s="58">
        <f>'OBRA 01 - ANALÍTICA'!J336</f>
        <v>3037.47</v>
      </c>
      <c r="H35" s="58">
        <f>G35*(1+$H$2)</f>
        <v>3463.3232940000003</v>
      </c>
      <c r="I35" s="58">
        <f>TRUNC(F35*H35,2)</f>
        <v>5768.95</v>
      </c>
      <c r="J35" s="540">
        <f t="shared" si="9"/>
        <v>4.1026899463945379E-3</v>
      </c>
      <c r="K35" s="52"/>
    </row>
    <row r="36" spans="1:11" ht="15" customHeight="1">
      <c r="A36" s="538" t="s">
        <v>343</v>
      </c>
      <c r="B36" s="56" t="s">
        <v>303</v>
      </c>
      <c r="C36" s="56" t="s">
        <v>303</v>
      </c>
      <c r="D36" s="55" t="s">
        <v>305</v>
      </c>
      <c r="E36" s="57" t="s">
        <v>306</v>
      </c>
      <c r="F36" s="58">
        <f>VLOOKUP(A36,'OBRA 01 - MEMÓRIA'!$A:$O,15,0)</f>
        <v>4.812106</v>
      </c>
      <c r="G36" s="58">
        <f>'OBRA 01 - ANALÍTICA'!J342</f>
        <v>2554.84</v>
      </c>
      <c r="H36" s="58">
        <f t="shared" ref="H36:H37" si="10">G36*(1+$H$2)</f>
        <v>2913.0285680000006</v>
      </c>
      <c r="I36" s="58">
        <f t="shared" si="8"/>
        <v>14017.8</v>
      </c>
      <c r="J36" s="540">
        <f t="shared" si="9"/>
        <v>9.9690042608393814E-3</v>
      </c>
      <c r="K36" s="52"/>
    </row>
    <row r="37" spans="1:11" ht="15" customHeight="1">
      <c r="A37" s="538" t="s">
        <v>344</v>
      </c>
      <c r="B37" s="56" t="s">
        <v>303</v>
      </c>
      <c r="C37" s="56" t="s">
        <v>303</v>
      </c>
      <c r="D37" s="55" t="s">
        <v>310</v>
      </c>
      <c r="E37" s="57" t="s">
        <v>306</v>
      </c>
      <c r="F37" s="58">
        <f>VLOOKUP(A37,'OBRA 01 - MEMÓRIA'!$A:$O,15,0)</f>
        <v>28.646096856</v>
      </c>
      <c r="G37" s="58">
        <f>'OBRA 01 - ANALÍTICA'!J348</f>
        <v>4028.54</v>
      </c>
      <c r="H37" s="58">
        <f t="shared" si="10"/>
        <v>4593.341308</v>
      </c>
      <c r="I37" s="58">
        <f t="shared" si="8"/>
        <v>131581.29999999999</v>
      </c>
      <c r="J37" s="540">
        <f t="shared" si="9"/>
        <v>9.3576348667179218E-2</v>
      </c>
      <c r="K37" s="52"/>
    </row>
    <row r="38" spans="1:11" ht="15" customHeight="1">
      <c r="A38" s="534" t="s">
        <v>71</v>
      </c>
      <c r="B38" s="40"/>
      <c r="C38" s="40"/>
      <c r="D38" s="40" t="s">
        <v>72</v>
      </c>
      <c r="E38" s="40"/>
      <c r="F38" s="41"/>
      <c r="G38" s="40"/>
      <c r="H38" s="40"/>
      <c r="I38" s="42">
        <f>SUM(I39:I40)</f>
        <v>147103.51</v>
      </c>
      <c r="J38" s="535">
        <f>SUM(J39:J40)</f>
        <v>0.10461524047813697</v>
      </c>
      <c r="K38" s="52"/>
    </row>
    <row r="39" spans="1:11" ht="54.6" customHeight="1">
      <c r="A39" s="536" t="s">
        <v>73</v>
      </c>
      <c r="B39" s="44" t="s">
        <v>74</v>
      </c>
      <c r="C39" s="43" t="s">
        <v>24</v>
      </c>
      <c r="D39" s="43" t="s">
        <v>75</v>
      </c>
      <c r="E39" s="45" t="s">
        <v>76</v>
      </c>
      <c r="F39" s="46">
        <f>VLOOKUP(A39,'OBRA 01 - MEMÓRIA'!$A:$O,15,0)</f>
        <v>1392.43</v>
      </c>
      <c r="G39" s="46">
        <f>'OBRA 01 - ANALÍTICA'!J355</f>
        <v>50.003387999999994</v>
      </c>
      <c r="H39" s="46">
        <f>G39*(1+$G$2)</f>
        <v>60.489098463599994</v>
      </c>
      <c r="I39" s="46">
        <f t="shared" ref="I39:I40" si="11">TRUNC(F39*H39,2)</f>
        <v>84226.83</v>
      </c>
      <c r="J39" s="537">
        <f t="shared" ref="J39:J40" si="12">I39/$H$50</f>
        <v>5.9899387004165722E-2</v>
      </c>
      <c r="K39" s="52"/>
    </row>
    <row r="40" spans="1:11" ht="30" customHeight="1">
      <c r="A40" s="536" t="s">
        <v>77</v>
      </c>
      <c r="B40" s="44" t="s">
        <v>78</v>
      </c>
      <c r="C40" s="43" t="s">
        <v>24</v>
      </c>
      <c r="D40" s="43" t="s">
        <v>79</v>
      </c>
      <c r="E40" s="45" t="s">
        <v>76</v>
      </c>
      <c r="F40" s="46">
        <f>VLOOKUP(A40,'OBRA 01 - MEMÓRIA'!$A:$O,15,0)</f>
        <v>1247.9099999999999</v>
      </c>
      <c r="G40" s="46">
        <f>'OBRA 01 - ANALÍTICA'!J366</f>
        <v>41.651311</v>
      </c>
      <c r="H40" s="46">
        <f>G40*(1+$G$2)</f>
        <v>50.385590916699996</v>
      </c>
      <c r="I40" s="46">
        <f t="shared" si="11"/>
        <v>62876.68</v>
      </c>
      <c r="J40" s="537">
        <f t="shared" si="12"/>
        <v>4.4715853473971258E-2</v>
      </c>
      <c r="K40" s="52"/>
    </row>
    <row r="41" spans="1:11" ht="15" customHeight="1">
      <c r="A41" s="534" t="s">
        <v>80</v>
      </c>
      <c r="B41" s="40"/>
      <c r="C41" s="40"/>
      <c r="D41" s="40" t="s">
        <v>81</v>
      </c>
      <c r="E41" s="40"/>
      <c r="F41" s="41"/>
      <c r="G41" s="40"/>
      <c r="H41" s="40"/>
      <c r="I41" s="42">
        <f>SUM(I42:I44)</f>
        <v>160267.61000000002</v>
      </c>
      <c r="J41" s="535">
        <f>SUM(J42:J44)</f>
        <v>0.11397712101503404</v>
      </c>
      <c r="K41" s="52"/>
    </row>
    <row r="42" spans="1:11" ht="30" customHeight="1">
      <c r="A42" s="536" t="s">
        <v>372</v>
      </c>
      <c r="B42" s="44" t="s">
        <v>82</v>
      </c>
      <c r="C42" s="43" t="s">
        <v>24</v>
      </c>
      <c r="D42" s="43" t="s">
        <v>83</v>
      </c>
      <c r="E42" s="45" t="s">
        <v>21</v>
      </c>
      <c r="F42" s="46">
        <f>VLOOKUP(A42,'OBRA 01 - MEMÓRIA'!$A:$O,15,0)</f>
        <v>1522.08</v>
      </c>
      <c r="G42" s="46">
        <f>'OBRA 01 - ANALÍTICA'!J379</f>
        <v>81.545006000000001</v>
      </c>
      <c r="H42" s="46">
        <f>G42*(1+$G$2)</f>
        <v>98.644993758200002</v>
      </c>
      <c r="I42" s="46">
        <f t="shared" ref="I42:I44" si="13">TRUNC(F42*H42,2)</f>
        <v>150145.57</v>
      </c>
      <c r="J42" s="537">
        <f t="shared" ref="J42:J44" si="14">I42/$H$50</f>
        <v>0.10677865478721038</v>
      </c>
      <c r="K42" s="52"/>
    </row>
    <row r="43" spans="1:11" ht="54.6" customHeight="1">
      <c r="A43" s="536" t="s">
        <v>373</v>
      </c>
      <c r="B43" s="44" t="s">
        <v>42</v>
      </c>
      <c r="C43" s="43" t="s">
        <v>24</v>
      </c>
      <c r="D43" s="43" t="s">
        <v>667</v>
      </c>
      <c r="E43" s="45" t="s">
        <v>28</v>
      </c>
      <c r="F43" s="46">
        <f>VLOOKUP(A43,'OBRA 01 - MEMÓRIA'!$A:$O,15,0)</f>
        <v>101.37052799999999</v>
      </c>
      <c r="G43" s="46">
        <f>'OBRA 01 - ANALÍTICA'!J394</f>
        <v>7.8073019999999991</v>
      </c>
      <c r="H43" s="46">
        <f t="shared" ref="H43:H44" si="15">G43*(1+$G$2)</f>
        <v>9.444493229399999</v>
      </c>
      <c r="I43" s="46">
        <f t="shared" si="13"/>
        <v>957.39</v>
      </c>
      <c r="J43" s="537">
        <f t="shared" si="14"/>
        <v>6.8086468556299959E-4</v>
      </c>
      <c r="K43" s="52"/>
    </row>
    <row r="44" spans="1:11" ht="42" customHeight="1">
      <c r="A44" s="536" t="s">
        <v>374</v>
      </c>
      <c r="B44" s="44" t="s">
        <v>56</v>
      </c>
      <c r="C44" s="43" t="s">
        <v>24</v>
      </c>
      <c r="D44" s="43" t="s">
        <v>653</v>
      </c>
      <c r="E44" s="45" t="s">
        <v>36</v>
      </c>
      <c r="F44" s="46">
        <f>VLOOKUP(A44,'OBRA 01 - MEMÓRIA'!$A:$O,15,0)</f>
        <v>3041.1158399999999</v>
      </c>
      <c r="G44" s="46">
        <f>'OBRA 01 - ANALÍTICA'!J404</f>
        <v>2.4911820000000002</v>
      </c>
      <c r="H44" s="46">
        <f t="shared" si="15"/>
        <v>3.0135828654000001</v>
      </c>
      <c r="I44" s="46">
        <f t="shared" si="13"/>
        <v>9164.65</v>
      </c>
      <c r="J44" s="537">
        <f t="shared" si="14"/>
        <v>6.5176015422606709E-3</v>
      </c>
      <c r="K44" s="52"/>
    </row>
    <row r="45" spans="1:11" ht="15.6" customHeight="1">
      <c r="A45" s="534">
        <v>6</v>
      </c>
      <c r="B45" s="40"/>
      <c r="C45" s="40"/>
      <c r="D45" s="40" t="s">
        <v>329</v>
      </c>
      <c r="E45" s="40"/>
      <c r="F45" s="41"/>
      <c r="G45" s="40"/>
      <c r="H45" s="40"/>
      <c r="I45" s="42">
        <f>SUM(I46:I46)</f>
        <v>28359.13</v>
      </c>
      <c r="J45" s="535">
        <f>SUM(J46:J46)</f>
        <v>2.016809255401689E-2</v>
      </c>
      <c r="K45" s="52"/>
    </row>
    <row r="46" spans="1:11" ht="42" customHeight="1">
      <c r="A46" s="536" t="s">
        <v>375</v>
      </c>
      <c r="B46" s="44" t="s">
        <v>330</v>
      </c>
      <c r="C46" s="43" t="s">
        <v>24</v>
      </c>
      <c r="D46" s="43" t="s">
        <v>331</v>
      </c>
      <c r="E46" s="45" t="s">
        <v>76</v>
      </c>
      <c r="F46" s="46">
        <f>VLOOKUP(A46,'OBRA 01 - MEMÓRIA'!$A:$O,15,0)</f>
        <v>3670.0439999999999</v>
      </c>
      <c r="G46" s="46">
        <f>'OBRA 01 - ANALÍTICA'!J413</f>
        <v>6.3876930000000005</v>
      </c>
      <c r="H46" s="46">
        <f>G46*(1+G2)</f>
        <v>7.7271922221000002</v>
      </c>
      <c r="I46" s="46">
        <f>TRUNC(F46*H46,2)</f>
        <v>28359.13</v>
      </c>
      <c r="J46" s="537">
        <f t="shared" ref="J46" si="16">I46/$H$50</f>
        <v>2.016809255401689E-2</v>
      </c>
      <c r="K46" s="52"/>
    </row>
    <row r="47" spans="1:11" ht="15" customHeight="1">
      <c r="A47" s="534">
        <v>7</v>
      </c>
      <c r="B47" s="40"/>
      <c r="C47" s="40"/>
      <c r="D47" s="40" t="s">
        <v>87</v>
      </c>
      <c r="E47" s="40"/>
      <c r="F47" s="41"/>
      <c r="G47" s="40"/>
      <c r="H47" s="40"/>
      <c r="I47" s="42">
        <f>SUM(I48:I48)</f>
        <v>83805.91</v>
      </c>
      <c r="J47" s="535">
        <f>SUM(J48:J48)</f>
        <v>5.9600042365672345E-2</v>
      </c>
      <c r="K47" s="52"/>
    </row>
    <row r="48" spans="1:11" ht="15" customHeight="1">
      <c r="A48" s="536" t="s">
        <v>376</v>
      </c>
      <c r="B48" s="44" t="s">
        <v>88</v>
      </c>
      <c r="C48" s="43" t="s">
        <v>19</v>
      </c>
      <c r="D48" s="43" t="s">
        <v>89</v>
      </c>
      <c r="E48" s="45" t="s">
        <v>90</v>
      </c>
      <c r="F48" s="181">
        <v>1.36</v>
      </c>
      <c r="G48" s="46">
        <f>'OBRA 01 - ANALÍTICA'!J428</f>
        <v>50939.899999999994</v>
      </c>
      <c r="H48" s="46">
        <f>'OBRA 01 - ANALÍTICA'!J436</f>
        <v>61621.997029999991</v>
      </c>
      <c r="I48" s="46">
        <f>TRUNC(F48*H48,2)</f>
        <v>83805.91</v>
      </c>
      <c r="J48" s="537">
        <f>I48/$H$50</f>
        <v>5.9600042365672345E-2</v>
      </c>
      <c r="K48" s="52"/>
    </row>
    <row r="49" spans="1:10" ht="15" customHeight="1">
      <c r="A49" s="541"/>
      <c r="B49" s="542"/>
      <c r="C49" s="542"/>
      <c r="D49" s="542"/>
      <c r="E49" s="542"/>
      <c r="F49" s="542"/>
      <c r="G49" s="542"/>
      <c r="H49" s="542"/>
      <c r="I49" s="542"/>
      <c r="J49" s="543"/>
    </row>
    <row r="50" spans="1:10" ht="15" customHeight="1">
      <c r="A50" s="998"/>
      <c r="B50" s="999"/>
      <c r="C50" s="999"/>
      <c r="D50" s="545"/>
      <c r="E50" s="544"/>
      <c r="F50" s="999" t="s">
        <v>328</v>
      </c>
      <c r="G50" s="999"/>
      <c r="H50" s="1000">
        <f>I47+I41+I38+I19+I15+I7+I45</f>
        <v>1406138.4300000002</v>
      </c>
      <c r="I50" s="999"/>
      <c r="J50" s="1001"/>
    </row>
    <row r="51" spans="1:10" ht="13.15" customHeight="1">
      <c r="A51" s="1002" t="s">
        <v>793</v>
      </c>
      <c r="B51" s="1002"/>
      <c r="C51" s="1002"/>
      <c r="D51" s="48"/>
      <c r="E51" s="47"/>
      <c r="F51" s="992"/>
      <c r="G51" s="993"/>
      <c r="H51" s="994"/>
      <c r="I51" s="993"/>
      <c r="J51" s="993"/>
    </row>
    <row r="52" spans="1:10">
      <c r="A52" s="1003"/>
      <c r="B52" s="1003"/>
      <c r="C52" s="1003"/>
      <c r="D52" s="48"/>
      <c r="E52" s="47"/>
      <c r="F52" s="992"/>
      <c r="G52" s="993"/>
      <c r="H52" s="994"/>
      <c r="I52" s="993"/>
      <c r="J52" s="993"/>
    </row>
    <row r="53" spans="1:10">
      <c r="A53" s="812"/>
      <c r="B53" s="50" t="s">
        <v>794</v>
      </c>
    </row>
    <row r="54" spans="1:10">
      <c r="A54" s="813"/>
      <c r="B54" s="50" t="s">
        <v>795</v>
      </c>
    </row>
  </sheetData>
  <mergeCells count="17">
    <mergeCell ref="F52:G52"/>
    <mergeCell ref="H52:J52"/>
    <mergeCell ref="A5:J5"/>
    <mergeCell ref="A50:C50"/>
    <mergeCell ref="F50:G50"/>
    <mergeCell ref="H50:J50"/>
    <mergeCell ref="F51:G51"/>
    <mergeCell ref="H51:J51"/>
    <mergeCell ref="A51:C52"/>
    <mergeCell ref="A4:D4"/>
    <mergeCell ref="A3:D3"/>
    <mergeCell ref="E3:J3"/>
    <mergeCell ref="I1:J2"/>
    <mergeCell ref="A1:C2"/>
    <mergeCell ref="D2:F2"/>
    <mergeCell ref="D1:F1"/>
    <mergeCell ref="E4:J4"/>
  </mergeCells>
  <phoneticPr fontId="18" type="noConversion"/>
  <conditionalFormatting sqref="D13">
    <cfRule type="duplicateValues" dxfId="57" priority="1"/>
  </conditionalFormatting>
  <pageMargins left="0.5" right="0.5" top="1" bottom="1" header="0.5" footer="0.5"/>
  <pageSetup paperSize="9" scale="81" fitToHeight="0" orientation="landscape" r:id="rId1"/>
  <headerFooter>
    <oddHeader>&amp;L &amp;CMinha Empresa
CNPJ:  &amp;R</oddHeader>
    <oddFooter>&amp;L &amp;C  -  -  / PE
87996446437 / gs_anacaroline@hotmail.com &amp;R</oddFooter>
  </headerFooter>
  <ignoredErrors>
    <ignoredError sqref="B9:B12 B18:B48 B17 B14:B15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O101"/>
  <sheetViews>
    <sheetView showOutlineSymbols="0" showWhiteSpace="0" zoomScale="80" zoomScaleNormal="80" workbookViewId="0">
      <pane ySplit="6" topLeftCell="A7" activePane="bottomLeft" state="frozen"/>
      <selection pane="bottomLeft" activeCell="O100" sqref="A1:O100"/>
    </sheetView>
  </sheetViews>
  <sheetFormatPr defaultColWidth="9" defaultRowHeight="14.25"/>
  <cols>
    <col min="1" max="1" width="6" style="74" customWidth="1"/>
    <col min="2" max="2" width="8.625" style="74" customWidth="1"/>
    <col min="3" max="3" width="7" style="74" customWidth="1"/>
    <col min="4" max="4" width="60" style="74" bestFit="1" customWidth="1"/>
    <col min="5" max="5" width="8.625" style="74" customWidth="1"/>
    <col min="6" max="6" width="10.75" style="213" customWidth="1"/>
    <col min="7" max="7" width="10.75" style="74" customWidth="1"/>
    <col min="8" max="8" width="13.125" style="74" customWidth="1"/>
    <col min="9" max="12" width="10.75" style="74" customWidth="1"/>
    <col min="13" max="13" width="10.5" style="74" customWidth="1"/>
    <col min="14" max="14" width="10.75" style="74" customWidth="1"/>
    <col min="15" max="15" width="13" style="74" customWidth="1"/>
    <col min="16" max="16384" width="9" style="74"/>
  </cols>
  <sheetData>
    <row r="1" spans="1:15" ht="25.5">
      <c r="A1" s="1005"/>
      <c r="B1" s="1006"/>
      <c r="C1" s="1006"/>
      <c r="D1" s="1007" t="s">
        <v>786</v>
      </c>
      <c r="E1" s="1008"/>
      <c r="F1" s="1008"/>
      <c r="G1" s="803" t="s">
        <v>774</v>
      </c>
      <c r="H1" s="803" t="s">
        <v>775</v>
      </c>
      <c r="I1" s="1011"/>
      <c r="J1" s="1012"/>
      <c r="K1" s="1012"/>
      <c r="L1" s="1012"/>
      <c r="M1" s="1012"/>
      <c r="N1" s="1012"/>
      <c r="O1" s="1013"/>
    </row>
    <row r="2" spans="1:15" ht="54.6" customHeight="1">
      <c r="A2" s="1006"/>
      <c r="B2" s="1006"/>
      <c r="C2" s="1006"/>
      <c r="D2" s="1009" t="s">
        <v>3</v>
      </c>
      <c r="E2" s="1010"/>
      <c r="F2" s="1010"/>
      <c r="G2" s="817">
        <v>0.2097</v>
      </c>
      <c r="H2" s="816">
        <v>0.14019999999999999</v>
      </c>
      <c r="I2" s="1014"/>
      <c r="J2" s="1015"/>
      <c r="K2" s="1015"/>
      <c r="L2" s="1015"/>
      <c r="M2" s="1015"/>
      <c r="N2" s="1015"/>
      <c r="O2" s="1016"/>
    </row>
    <row r="3" spans="1:15" ht="15" customHeight="1">
      <c r="A3" s="979" t="s">
        <v>732</v>
      </c>
      <c r="B3" s="1018"/>
      <c r="C3" s="1018"/>
      <c r="D3" s="1018"/>
      <c r="E3" s="1019" t="s">
        <v>738</v>
      </c>
      <c r="F3" s="991"/>
      <c r="G3" s="991"/>
      <c r="H3" s="991"/>
      <c r="I3" s="991"/>
      <c r="J3" s="991"/>
      <c r="K3" s="991"/>
      <c r="L3" s="991"/>
      <c r="M3" s="991"/>
      <c r="N3" s="991"/>
      <c r="O3" s="991"/>
    </row>
    <row r="4" spans="1:15" ht="15" customHeight="1">
      <c r="A4" s="977" t="s">
        <v>733</v>
      </c>
      <c r="B4" s="978"/>
      <c r="C4" s="978"/>
      <c r="D4" s="978"/>
      <c r="E4" s="1017" t="s">
        <v>5</v>
      </c>
      <c r="F4" s="991"/>
      <c r="G4" s="991"/>
      <c r="H4" s="991"/>
      <c r="I4" s="991"/>
      <c r="J4" s="991"/>
      <c r="K4" s="991"/>
      <c r="L4" s="991"/>
      <c r="M4" s="991"/>
      <c r="N4" s="991"/>
      <c r="O4" s="991"/>
    </row>
    <row r="5" spans="1:15" ht="20.45" customHeight="1">
      <c r="A5" s="1004" t="s">
        <v>345</v>
      </c>
      <c r="B5" s="1004"/>
      <c r="C5" s="1004"/>
      <c r="D5" s="1004"/>
      <c r="E5" s="1004"/>
      <c r="F5" s="1004"/>
      <c r="G5" s="1004"/>
      <c r="H5" s="1004"/>
      <c r="I5" s="1004"/>
      <c r="J5" s="1004"/>
      <c r="K5" s="1004"/>
      <c r="L5" s="1004"/>
      <c r="M5" s="1004"/>
      <c r="N5" s="1004"/>
      <c r="O5" s="1004"/>
    </row>
    <row r="6" spans="1:15" ht="30" customHeight="1">
      <c r="A6" s="627" t="s">
        <v>6</v>
      </c>
      <c r="B6" s="628" t="s">
        <v>7</v>
      </c>
      <c r="C6" s="628" t="s">
        <v>8</v>
      </c>
      <c r="D6" s="628" t="s">
        <v>9</v>
      </c>
      <c r="E6" s="628" t="s">
        <v>10</v>
      </c>
      <c r="F6" s="629" t="s">
        <v>312</v>
      </c>
      <c r="G6" s="628" t="s">
        <v>313</v>
      </c>
      <c r="H6" s="628" t="s">
        <v>314</v>
      </c>
      <c r="I6" s="628" t="s">
        <v>315</v>
      </c>
      <c r="J6" s="628" t="s">
        <v>316</v>
      </c>
      <c r="K6" s="628" t="s">
        <v>325</v>
      </c>
      <c r="L6" s="628" t="s">
        <v>317</v>
      </c>
      <c r="M6" s="628" t="s">
        <v>318</v>
      </c>
      <c r="N6" s="628" t="s">
        <v>319</v>
      </c>
      <c r="O6" s="630" t="s">
        <v>14</v>
      </c>
    </row>
    <row r="7" spans="1:15" ht="15.6" customHeight="1">
      <c r="A7" s="581" t="s">
        <v>16</v>
      </c>
      <c r="B7" s="582"/>
      <c r="C7" s="582"/>
      <c r="D7" s="582" t="s">
        <v>17</v>
      </c>
      <c r="E7" s="582"/>
      <c r="F7" s="583"/>
      <c r="G7" s="582"/>
      <c r="H7" s="582"/>
      <c r="I7" s="182"/>
      <c r="J7" s="182"/>
      <c r="K7" s="182"/>
      <c r="L7" s="182"/>
      <c r="M7" s="182"/>
      <c r="N7" s="182"/>
      <c r="O7" s="584">
        <f>SUM(O18+O16+O14+O12+O10+O8+O23)</f>
        <v>12192.075000000001</v>
      </c>
    </row>
    <row r="8" spans="1:15" ht="15.6" customHeight="1">
      <c r="A8" s="585" t="s">
        <v>18</v>
      </c>
      <c r="B8" s="201" t="s">
        <v>302</v>
      </c>
      <c r="C8" s="202" t="s">
        <v>19</v>
      </c>
      <c r="D8" s="202" t="s">
        <v>20</v>
      </c>
      <c r="E8" s="586" t="s">
        <v>21</v>
      </c>
      <c r="F8" s="204"/>
      <c r="G8" s="183"/>
      <c r="H8" s="183"/>
      <c r="I8" s="183"/>
      <c r="J8" s="183"/>
      <c r="K8" s="183"/>
      <c r="L8" s="183"/>
      <c r="M8" s="183"/>
      <c r="N8" s="183"/>
      <c r="O8" s="587">
        <f>O9</f>
        <v>6</v>
      </c>
    </row>
    <row r="9" spans="1:15" ht="15.6" customHeight="1">
      <c r="A9" s="588"/>
      <c r="B9" s="185"/>
      <c r="C9" s="184"/>
      <c r="D9" s="184"/>
      <c r="E9" s="186"/>
      <c r="F9" s="187">
        <v>3</v>
      </c>
      <c r="G9" s="188">
        <v>2</v>
      </c>
      <c r="H9" s="188"/>
      <c r="I9" s="188"/>
      <c r="J9" s="188"/>
      <c r="K9" s="188"/>
      <c r="L9" s="188"/>
      <c r="M9" s="188">
        <v>1</v>
      </c>
      <c r="N9" s="188"/>
      <c r="O9" s="589">
        <f>F9*G9*M9</f>
        <v>6</v>
      </c>
    </row>
    <row r="10" spans="1:15" ht="30" customHeight="1">
      <c r="A10" s="585" t="s">
        <v>22</v>
      </c>
      <c r="B10" s="590" t="s">
        <v>23</v>
      </c>
      <c r="C10" s="202" t="s">
        <v>24</v>
      </c>
      <c r="D10" s="202" t="s">
        <v>25</v>
      </c>
      <c r="E10" s="586" t="s">
        <v>21</v>
      </c>
      <c r="F10" s="204"/>
      <c r="G10" s="183"/>
      <c r="H10" s="183"/>
      <c r="I10" s="183"/>
      <c r="J10" s="183"/>
      <c r="K10" s="183"/>
      <c r="L10" s="183"/>
      <c r="M10" s="183"/>
      <c r="N10" s="183"/>
      <c r="O10" s="587">
        <f>O11</f>
        <v>2946</v>
      </c>
    </row>
    <row r="11" spans="1:15" ht="15" customHeight="1">
      <c r="A11" s="588"/>
      <c r="B11" s="189"/>
      <c r="C11" s="184"/>
      <c r="D11" s="184"/>
      <c r="E11" s="186"/>
      <c r="F11" s="187"/>
      <c r="G11" s="188"/>
      <c r="H11" s="188"/>
      <c r="I11" s="188">
        <v>2946</v>
      </c>
      <c r="J11" s="188"/>
      <c r="K11" s="188"/>
      <c r="L11" s="188"/>
      <c r="M11" s="188"/>
      <c r="N11" s="188"/>
      <c r="O11" s="589">
        <f>I11</f>
        <v>2946</v>
      </c>
    </row>
    <row r="12" spans="1:15" ht="15.6" customHeight="1">
      <c r="A12" s="585" t="s">
        <v>332</v>
      </c>
      <c r="B12" s="190" t="s">
        <v>361</v>
      </c>
      <c r="C12" s="191" t="s">
        <v>27</v>
      </c>
      <c r="D12" s="191" t="s">
        <v>559</v>
      </c>
      <c r="E12" s="192" t="s">
        <v>21</v>
      </c>
      <c r="F12" s="204"/>
      <c r="G12" s="183"/>
      <c r="H12" s="183"/>
      <c r="I12" s="183"/>
      <c r="J12" s="183"/>
      <c r="K12" s="183"/>
      <c r="L12" s="183"/>
      <c r="M12" s="183"/>
      <c r="N12" s="183"/>
      <c r="O12" s="587">
        <f>O13</f>
        <v>380.8</v>
      </c>
    </row>
    <row r="13" spans="1:15" ht="15.6" customHeight="1">
      <c r="A13" s="588"/>
      <c r="B13" s="189"/>
      <c r="C13" s="184"/>
      <c r="D13" s="184"/>
      <c r="E13" s="186"/>
      <c r="F13" s="187"/>
      <c r="G13" s="188"/>
      <c r="H13" s="188"/>
      <c r="I13" s="188">
        <v>380.8</v>
      </c>
      <c r="J13" s="188"/>
      <c r="K13" s="188"/>
      <c r="L13" s="188"/>
      <c r="M13" s="188"/>
      <c r="N13" s="188"/>
      <c r="O13" s="589">
        <f>I13</f>
        <v>380.8</v>
      </c>
    </row>
    <row r="14" spans="1:15" ht="15.6" customHeight="1">
      <c r="A14" s="585" t="s">
        <v>333</v>
      </c>
      <c r="B14" s="590" t="s">
        <v>29</v>
      </c>
      <c r="C14" s="202" t="s">
        <v>30</v>
      </c>
      <c r="D14" s="202" t="s">
        <v>642</v>
      </c>
      <c r="E14" s="586" t="s">
        <v>31</v>
      </c>
      <c r="F14" s="204"/>
      <c r="G14" s="183"/>
      <c r="H14" s="183"/>
      <c r="I14" s="183"/>
      <c r="J14" s="183"/>
      <c r="K14" s="183"/>
      <c r="L14" s="183"/>
      <c r="M14" s="183"/>
      <c r="N14" s="183"/>
      <c r="O14" s="587">
        <f>O15</f>
        <v>732</v>
      </c>
    </row>
    <row r="15" spans="1:15" ht="15.6" customHeight="1">
      <c r="A15" s="588"/>
      <c r="B15" s="189"/>
      <c r="C15" s="184"/>
      <c r="D15" s="184"/>
      <c r="E15" s="186"/>
      <c r="F15" s="187">
        <v>732</v>
      </c>
      <c r="G15" s="188"/>
      <c r="H15" s="188"/>
      <c r="I15" s="188"/>
      <c r="J15" s="188"/>
      <c r="K15" s="188"/>
      <c r="L15" s="188"/>
      <c r="M15" s="188"/>
      <c r="N15" s="188"/>
      <c r="O15" s="589">
        <f>F15</f>
        <v>732</v>
      </c>
    </row>
    <row r="16" spans="1:15" ht="15.6" customHeight="1">
      <c r="A16" s="585" t="s">
        <v>334</v>
      </c>
      <c r="B16" s="590" t="s">
        <v>362</v>
      </c>
      <c r="C16" s="202" t="s">
        <v>27</v>
      </c>
      <c r="D16" s="202" t="s">
        <v>561</v>
      </c>
      <c r="E16" s="586" t="s">
        <v>28</v>
      </c>
      <c r="F16" s="204"/>
      <c r="G16" s="183"/>
      <c r="H16" s="183"/>
      <c r="I16" s="183"/>
      <c r="J16" s="183"/>
      <c r="K16" s="183"/>
      <c r="L16" s="183"/>
      <c r="M16" s="183"/>
      <c r="N16" s="183"/>
      <c r="O16" s="587">
        <f>O17</f>
        <v>4.5</v>
      </c>
    </row>
    <row r="17" spans="1:15" ht="15.6" customHeight="1">
      <c r="A17" s="588"/>
      <c r="B17" s="189"/>
      <c r="C17" s="184"/>
      <c r="D17" s="184"/>
      <c r="E17" s="186"/>
      <c r="F17" s="187">
        <v>75</v>
      </c>
      <c r="G17" s="188">
        <v>0.3</v>
      </c>
      <c r="H17" s="188">
        <v>0.2</v>
      </c>
      <c r="I17" s="188"/>
      <c r="J17" s="188"/>
      <c r="K17" s="188"/>
      <c r="L17" s="188"/>
      <c r="M17" s="188"/>
      <c r="N17" s="188"/>
      <c r="O17" s="589">
        <f>F17*G17*H17</f>
        <v>4.5</v>
      </c>
    </row>
    <row r="18" spans="1:15" ht="54.6" customHeight="1">
      <c r="A18" s="585" t="s">
        <v>364</v>
      </c>
      <c r="B18" s="235" t="s">
        <v>42</v>
      </c>
      <c r="C18" s="235" t="s">
        <v>24</v>
      </c>
      <c r="D18" s="234" t="s">
        <v>669</v>
      </c>
      <c r="E18" s="586" t="s">
        <v>28</v>
      </c>
      <c r="F18" s="204"/>
      <c r="G18" s="183"/>
      <c r="H18" s="183"/>
      <c r="I18" s="183"/>
      <c r="J18" s="183"/>
      <c r="K18" s="183"/>
      <c r="L18" s="183"/>
      <c r="M18" s="183"/>
      <c r="N18" s="183"/>
      <c r="O18" s="587">
        <f>SUM(O19:O22)</f>
        <v>262.02500000000003</v>
      </c>
    </row>
    <row r="19" spans="1:15" ht="15.6" customHeight="1">
      <c r="A19" s="588"/>
      <c r="B19" s="189"/>
      <c r="C19" s="184"/>
      <c r="D19" s="185" t="s">
        <v>323</v>
      </c>
      <c r="E19" s="186"/>
      <c r="F19" s="187"/>
      <c r="G19" s="188"/>
      <c r="H19" s="188">
        <v>0.05</v>
      </c>
      <c r="I19" s="188">
        <f>I11</f>
        <v>2946</v>
      </c>
      <c r="J19" s="188"/>
      <c r="K19" s="188"/>
      <c r="L19" s="188"/>
      <c r="M19" s="188"/>
      <c r="N19" s="188"/>
      <c r="O19" s="589">
        <f>H19*I19</f>
        <v>147.30000000000001</v>
      </c>
    </row>
    <row r="20" spans="1:15" ht="15.6" customHeight="1">
      <c r="A20" s="588"/>
      <c r="B20" s="189"/>
      <c r="C20" s="184"/>
      <c r="D20" s="185" t="s">
        <v>366</v>
      </c>
      <c r="E20" s="186"/>
      <c r="F20" s="187"/>
      <c r="G20" s="188"/>
      <c r="H20" s="188">
        <v>0.2</v>
      </c>
      <c r="I20" s="188">
        <f>I13</f>
        <v>380.8</v>
      </c>
      <c r="J20" s="188"/>
      <c r="K20" s="188"/>
      <c r="L20" s="188"/>
      <c r="M20" s="188"/>
      <c r="N20" s="188"/>
      <c r="O20" s="589">
        <f>H20*I20</f>
        <v>76.160000000000011</v>
      </c>
    </row>
    <row r="21" spans="1:15" ht="15.6" customHeight="1">
      <c r="A21" s="588"/>
      <c r="B21" s="189"/>
      <c r="C21" s="184"/>
      <c r="D21" s="185" t="s">
        <v>324</v>
      </c>
      <c r="E21" s="186"/>
      <c r="F21" s="187">
        <f>F15</f>
        <v>732</v>
      </c>
      <c r="G21" s="188">
        <v>0.15</v>
      </c>
      <c r="H21" s="188">
        <v>0.3</v>
      </c>
      <c r="I21" s="188"/>
      <c r="J21" s="188"/>
      <c r="K21" s="188"/>
      <c r="L21" s="188"/>
      <c r="M21" s="188"/>
      <c r="N21" s="188"/>
      <c r="O21" s="589">
        <f>F21*G21*H21</f>
        <v>32.94</v>
      </c>
    </row>
    <row r="22" spans="1:15" ht="15.6" customHeight="1">
      <c r="A22" s="588"/>
      <c r="B22" s="189"/>
      <c r="C22" s="184"/>
      <c r="D22" s="185" t="s">
        <v>635</v>
      </c>
      <c r="E22" s="186"/>
      <c r="F22" s="187">
        <f>F17</f>
        <v>75</v>
      </c>
      <c r="G22" s="188">
        <v>1.5</v>
      </c>
      <c r="H22" s="188">
        <v>0.05</v>
      </c>
      <c r="I22" s="188"/>
      <c r="J22" s="188"/>
      <c r="K22" s="188"/>
      <c r="L22" s="188"/>
      <c r="M22" s="188"/>
      <c r="N22" s="188"/>
      <c r="O22" s="589">
        <f>F22*G22*H22</f>
        <v>5.625</v>
      </c>
    </row>
    <row r="23" spans="1:15" ht="42" customHeight="1">
      <c r="A23" s="585" t="s">
        <v>365</v>
      </c>
      <c r="B23" s="590" t="s">
        <v>34</v>
      </c>
      <c r="C23" s="202" t="s">
        <v>24</v>
      </c>
      <c r="D23" s="202" t="s">
        <v>656</v>
      </c>
      <c r="E23" s="586" t="s">
        <v>36</v>
      </c>
      <c r="F23" s="204"/>
      <c r="G23" s="183"/>
      <c r="H23" s="183"/>
      <c r="I23" s="183"/>
      <c r="J23" s="183"/>
      <c r="K23" s="183"/>
      <c r="L23" s="183"/>
      <c r="M23" s="183"/>
      <c r="N23" s="183"/>
      <c r="O23" s="587">
        <f>O24</f>
        <v>7860.7500000000009</v>
      </c>
    </row>
    <row r="24" spans="1:15" ht="15.6" customHeight="1">
      <c r="A24" s="588"/>
      <c r="B24" s="189"/>
      <c r="C24" s="184"/>
      <c r="D24" s="184"/>
      <c r="E24" s="186"/>
      <c r="F24" s="187"/>
      <c r="G24" s="188"/>
      <c r="H24" s="188"/>
      <c r="I24" s="188"/>
      <c r="J24" s="188">
        <f>O18</f>
        <v>262.02500000000003</v>
      </c>
      <c r="K24" s="188"/>
      <c r="L24" s="188"/>
      <c r="M24" s="188"/>
      <c r="N24" s="188">
        <v>30</v>
      </c>
      <c r="O24" s="589">
        <f>J24*N24</f>
        <v>7860.7500000000009</v>
      </c>
    </row>
    <row r="25" spans="1:15" ht="15.6" customHeight="1">
      <c r="A25" s="581" t="s">
        <v>37</v>
      </c>
      <c r="B25" s="582"/>
      <c r="C25" s="582"/>
      <c r="D25" s="582" t="s">
        <v>38</v>
      </c>
      <c r="E25" s="582"/>
      <c r="F25" s="583"/>
      <c r="G25" s="582"/>
      <c r="H25" s="582"/>
      <c r="I25" s="182"/>
      <c r="J25" s="182"/>
      <c r="K25" s="182"/>
      <c r="L25" s="182"/>
      <c r="M25" s="182"/>
      <c r="N25" s="182"/>
      <c r="O25" s="591">
        <f>O26+O28+O30</f>
        <v>30841.600000000002</v>
      </c>
    </row>
    <row r="26" spans="1:15" ht="42" customHeight="1">
      <c r="A26" s="585" t="s">
        <v>39</v>
      </c>
      <c r="B26" s="590">
        <v>101124</v>
      </c>
      <c r="C26" s="202" t="s">
        <v>24</v>
      </c>
      <c r="D26" s="202" t="s">
        <v>397</v>
      </c>
      <c r="E26" s="586" t="s">
        <v>28</v>
      </c>
      <c r="F26" s="204"/>
      <c r="G26" s="183"/>
      <c r="H26" s="183"/>
      <c r="I26" s="183"/>
      <c r="J26" s="183"/>
      <c r="K26" s="183"/>
      <c r="L26" s="183"/>
      <c r="M26" s="183"/>
      <c r="N26" s="183"/>
      <c r="O26" s="587">
        <f>O27</f>
        <v>780.80000000000007</v>
      </c>
    </row>
    <row r="27" spans="1:15" ht="15" customHeight="1">
      <c r="A27" s="588"/>
      <c r="B27" s="189"/>
      <c r="C27" s="184"/>
      <c r="D27" s="184"/>
      <c r="E27" s="186"/>
      <c r="F27" s="187"/>
      <c r="G27" s="188"/>
      <c r="H27" s="188">
        <v>0.4</v>
      </c>
      <c r="I27" s="188">
        <v>1952</v>
      </c>
      <c r="J27" s="188"/>
      <c r="K27" s="188"/>
      <c r="L27" s="188">
        <v>1</v>
      </c>
      <c r="M27" s="188"/>
      <c r="N27" s="188"/>
      <c r="O27" s="589">
        <f>H27*I27*L27</f>
        <v>780.80000000000007</v>
      </c>
    </row>
    <row r="28" spans="1:15" ht="15.6" customHeight="1">
      <c r="A28" s="585" t="s">
        <v>40</v>
      </c>
      <c r="B28" s="590" t="s">
        <v>41</v>
      </c>
      <c r="C28" s="202" t="s">
        <v>27</v>
      </c>
      <c r="D28" s="202" t="s">
        <v>643</v>
      </c>
      <c r="E28" s="586" t="s">
        <v>28</v>
      </c>
      <c r="F28" s="204"/>
      <c r="G28" s="183"/>
      <c r="H28" s="183"/>
      <c r="I28" s="183"/>
      <c r="J28" s="183"/>
      <c r="K28" s="183"/>
      <c r="L28" s="183"/>
      <c r="M28" s="183"/>
      <c r="N28" s="183"/>
      <c r="O28" s="587">
        <f>O29</f>
        <v>780.80000000000007</v>
      </c>
    </row>
    <row r="29" spans="1:15" ht="15" customHeight="1">
      <c r="A29" s="588"/>
      <c r="B29" s="189"/>
      <c r="C29" s="184"/>
      <c r="D29" s="184"/>
      <c r="E29" s="186"/>
      <c r="F29" s="187"/>
      <c r="G29" s="188"/>
      <c r="H29" s="188">
        <v>0.4</v>
      </c>
      <c r="I29" s="188">
        <v>1952</v>
      </c>
      <c r="J29" s="188"/>
      <c r="K29" s="188"/>
      <c r="L29" s="188">
        <v>1</v>
      </c>
      <c r="M29" s="188"/>
      <c r="N29" s="188"/>
      <c r="O29" s="589">
        <f>H29*I29*L29</f>
        <v>780.80000000000007</v>
      </c>
    </row>
    <row r="30" spans="1:15" ht="29.45" customHeight="1">
      <c r="A30" s="585" t="s">
        <v>396</v>
      </c>
      <c r="B30" s="590" t="s">
        <v>34</v>
      </c>
      <c r="C30" s="202" t="s">
        <v>24</v>
      </c>
      <c r="D30" s="202" t="s">
        <v>654</v>
      </c>
      <c r="E30" s="586" t="s">
        <v>36</v>
      </c>
      <c r="F30" s="204"/>
      <c r="G30" s="183"/>
      <c r="H30" s="183"/>
      <c r="I30" s="183"/>
      <c r="J30" s="183"/>
      <c r="K30" s="183"/>
      <c r="L30" s="183"/>
      <c r="M30" s="183"/>
      <c r="N30" s="183"/>
      <c r="O30" s="587">
        <f>O31</f>
        <v>29280.000000000004</v>
      </c>
    </row>
    <row r="31" spans="1:15" ht="15.6" customHeight="1">
      <c r="A31" s="588"/>
      <c r="B31" s="189"/>
      <c r="C31" s="184"/>
      <c r="D31" s="184"/>
      <c r="E31" s="186"/>
      <c r="F31" s="187"/>
      <c r="G31" s="188"/>
      <c r="H31" s="188"/>
      <c r="I31" s="188"/>
      <c r="J31" s="188">
        <f>O26</f>
        <v>780.80000000000007</v>
      </c>
      <c r="K31" s="188"/>
      <c r="L31" s="188"/>
      <c r="M31" s="188">
        <v>1.25</v>
      </c>
      <c r="N31" s="188">
        <v>30</v>
      </c>
      <c r="O31" s="589">
        <f>J31*N31*M31</f>
        <v>29280.000000000004</v>
      </c>
    </row>
    <row r="32" spans="1:15" ht="15.6" customHeight="1">
      <c r="A32" s="581" t="s">
        <v>44</v>
      </c>
      <c r="B32" s="582"/>
      <c r="C32" s="582"/>
      <c r="D32" s="582" t="s">
        <v>45</v>
      </c>
      <c r="E32" s="582"/>
      <c r="F32" s="583"/>
      <c r="G32" s="582"/>
      <c r="H32" s="582"/>
      <c r="I32" s="182"/>
      <c r="J32" s="182"/>
      <c r="K32" s="182"/>
      <c r="L32" s="182"/>
      <c r="M32" s="182"/>
      <c r="N32" s="182"/>
      <c r="O32" s="591"/>
    </row>
    <row r="33" spans="1:15" ht="15.6" customHeight="1">
      <c r="A33" s="581" t="s">
        <v>46</v>
      </c>
      <c r="B33" s="582"/>
      <c r="C33" s="582"/>
      <c r="D33" s="582" t="s">
        <v>47</v>
      </c>
      <c r="E33" s="582"/>
      <c r="F33" s="583"/>
      <c r="G33" s="582"/>
      <c r="H33" s="582"/>
      <c r="I33" s="182"/>
      <c r="J33" s="182"/>
      <c r="K33" s="182"/>
      <c r="L33" s="182"/>
      <c r="M33" s="182"/>
      <c r="N33" s="182"/>
      <c r="O33" s="591">
        <f>O34+O36+O38+O40+O42+O44</f>
        <v>56653.5</v>
      </c>
    </row>
    <row r="34" spans="1:15" ht="30" customHeight="1">
      <c r="A34" s="585" t="s">
        <v>48</v>
      </c>
      <c r="B34" s="590" t="s">
        <v>49</v>
      </c>
      <c r="C34" s="202" t="s">
        <v>24</v>
      </c>
      <c r="D34" s="202" t="s">
        <v>50</v>
      </c>
      <c r="E34" s="586" t="s">
        <v>21</v>
      </c>
      <c r="F34" s="204"/>
      <c r="G34" s="183"/>
      <c r="H34" s="183"/>
      <c r="I34" s="183"/>
      <c r="J34" s="183"/>
      <c r="K34" s="183"/>
      <c r="L34" s="183"/>
      <c r="M34" s="183"/>
      <c r="N34" s="183"/>
      <c r="O34" s="587">
        <f>SUM(O35:O35)</f>
        <v>1952</v>
      </c>
    </row>
    <row r="35" spans="1:15" ht="15.6" customHeight="1">
      <c r="A35" s="588"/>
      <c r="B35" s="189"/>
      <c r="C35" s="184"/>
      <c r="D35" s="185"/>
      <c r="E35" s="186"/>
      <c r="F35" s="187"/>
      <c r="G35" s="188"/>
      <c r="H35" s="188"/>
      <c r="I35" s="188">
        <f>I27</f>
        <v>1952</v>
      </c>
      <c r="J35" s="188"/>
      <c r="K35" s="188"/>
      <c r="L35" s="188"/>
      <c r="M35" s="188">
        <v>1</v>
      </c>
      <c r="N35" s="188"/>
      <c r="O35" s="589">
        <f>I35*M35</f>
        <v>1952</v>
      </c>
    </row>
    <row r="36" spans="1:15" ht="56.45" customHeight="1">
      <c r="A36" s="585" t="s">
        <v>51</v>
      </c>
      <c r="B36" s="590">
        <v>100565</v>
      </c>
      <c r="C36" s="202" t="s">
        <v>24</v>
      </c>
      <c r="D36" s="592" t="s">
        <v>53</v>
      </c>
      <c r="E36" s="586" t="s">
        <v>28</v>
      </c>
      <c r="F36" s="204"/>
      <c r="G36" s="183"/>
      <c r="H36" s="183"/>
      <c r="I36" s="183"/>
      <c r="J36" s="183"/>
      <c r="K36" s="183"/>
      <c r="L36" s="183"/>
      <c r="M36" s="183"/>
      <c r="N36" s="183"/>
      <c r="O36" s="587">
        <f>SUM(O37:O37)</f>
        <v>390.40000000000003</v>
      </c>
    </row>
    <row r="37" spans="1:15" ht="15.6" customHeight="1">
      <c r="A37" s="588"/>
      <c r="B37" s="189"/>
      <c r="C37" s="184"/>
      <c r="D37" s="185"/>
      <c r="E37" s="186"/>
      <c r="F37" s="187"/>
      <c r="G37" s="188"/>
      <c r="H37" s="188">
        <v>0.2</v>
      </c>
      <c r="I37" s="188">
        <f>I35</f>
        <v>1952</v>
      </c>
      <c r="J37" s="188"/>
      <c r="K37" s="188"/>
      <c r="L37" s="188"/>
      <c r="M37" s="188"/>
      <c r="N37" s="188"/>
      <c r="O37" s="589">
        <f t="shared" ref="O37" si="0">I37*H37</f>
        <v>390.40000000000003</v>
      </c>
    </row>
    <row r="38" spans="1:15" ht="15.6" customHeight="1">
      <c r="A38" s="593" t="s">
        <v>368</v>
      </c>
      <c r="B38" s="484">
        <v>4743</v>
      </c>
      <c r="C38" s="193" t="s">
        <v>24</v>
      </c>
      <c r="D38" s="193" t="s">
        <v>308</v>
      </c>
      <c r="E38" s="194" t="s">
        <v>28</v>
      </c>
      <c r="F38" s="195"/>
      <c r="G38" s="196"/>
      <c r="H38" s="196"/>
      <c r="I38" s="196"/>
      <c r="J38" s="196"/>
      <c r="K38" s="196"/>
      <c r="L38" s="196"/>
      <c r="M38" s="196"/>
      <c r="N38" s="196"/>
      <c r="O38" s="594">
        <f>O39</f>
        <v>244.00000000000003</v>
      </c>
    </row>
    <row r="39" spans="1:15" ht="15.6" customHeight="1">
      <c r="A39" s="588"/>
      <c r="B39" s="185"/>
      <c r="C39" s="184"/>
      <c r="D39" s="184"/>
      <c r="E39" s="197"/>
      <c r="F39" s="198"/>
      <c r="G39" s="199"/>
      <c r="H39" s="199"/>
      <c r="I39" s="199">
        <f>O36*0.5</f>
        <v>195.20000000000002</v>
      </c>
      <c r="J39" s="199"/>
      <c r="K39" s="199"/>
      <c r="L39" s="199">
        <v>1.25</v>
      </c>
      <c r="M39" s="199"/>
      <c r="N39" s="199"/>
      <c r="O39" s="595">
        <f>I39*L39</f>
        <v>244.00000000000003</v>
      </c>
    </row>
    <row r="40" spans="1:15" ht="41.45" customHeight="1">
      <c r="A40" s="585" t="s">
        <v>309</v>
      </c>
      <c r="B40" s="590">
        <v>96396</v>
      </c>
      <c r="C40" s="202" t="s">
        <v>24</v>
      </c>
      <c r="D40" s="592" t="s">
        <v>55</v>
      </c>
      <c r="E40" s="586" t="s">
        <v>28</v>
      </c>
      <c r="F40" s="204"/>
      <c r="G40" s="183"/>
      <c r="H40" s="183"/>
      <c r="I40" s="183"/>
      <c r="J40" s="183"/>
      <c r="K40" s="183"/>
      <c r="L40" s="183"/>
      <c r="M40" s="183"/>
      <c r="N40" s="183"/>
      <c r="O40" s="587">
        <f>SUM(O41:O41)</f>
        <v>979.6</v>
      </c>
    </row>
    <row r="41" spans="1:15" ht="15.6" customHeight="1">
      <c r="A41" s="588"/>
      <c r="B41" s="189"/>
      <c r="C41" s="184"/>
      <c r="D41" s="185"/>
      <c r="E41" s="186"/>
      <c r="F41" s="187"/>
      <c r="G41" s="188"/>
      <c r="H41" s="188">
        <v>0.2</v>
      </c>
      <c r="I41" s="188">
        <v>4898</v>
      </c>
      <c r="J41" s="188"/>
      <c r="K41" s="188"/>
      <c r="L41" s="188">
        <v>1</v>
      </c>
      <c r="M41" s="188"/>
      <c r="N41" s="188"/>
      <c r="O41" s="589">
        <f>I41*H41*L41</f>
        <v>979.6</v>
      </c>
    </row>
    <row r="42" spans="1:15" ht="57" customHeight="1">
      <c r="A42" s="596" t="s">
        <v>326</v>
      </c>
      <c r="B42" s="590" t="s">
        <v>42</v>
      </c>
      <c r="C42" s="202" t="s">
        <v>24</v>
      </c>
      <c r="D42" s="592" t="s">
        <v>660</v>
      </c>
      <c r="E42" s="586" t="s">
        <v>28</v>
      </c>
      <c r="F42" s="204"/>
      <c r="G42" s="183"/>
      <c r="H42" s="183"/>
      <c r="I42" s="183"/>
      <c r="J42" s="183"/>
      <c r="K42" s="183"/>
      <c r="L42" s="183"/>
      <c r="M42" s="183"/>
      <c r="N42" s="183"/>
      <c r="O42" s="587">
        <f>O43</f>
        <v>1712.5</v>
      </c>
    </row>
    <row r="43" spans="1:15" ht="15.6" customHeight="1">
      <c r="A43" s="588"/>
      <c r="B43" s="189"/>
      <c r="C43" s="184"/>
      <c r="D43" s="185"/>
      <c r="E43" s="186"/>
      <c r="F43" s="187"/>
      <c r="G43" s="188"/>
      <c r="H43" s="188"/>
      <c r="I43" s="188"/>
      <c r="J43" s="188">
        <f>O36+O40</f>
        <v>1370</v>
      </c>
      <c r="K43" s="188"/>
      <c r="L43" s="188">
        <v>1.25</v>
      </c>
      <c r="M43" s="188"/>
      <c r="N43" s="188"/>
      <c r="O43" s="589">
        <f>J43*L43</f>
        <v>1712.5</v>
      </c>
    </row>
    <row r="44" spans="1:15" ht="29.45" customHeight="1">
      <c r="A44" s="596" t="s">
        <v>327</v>
      </c>
      <c r="B44" s="590" t="s">
        <v>56</v>
      </c>
      <c r="C44" s="202" t="s">
        <v>24</v>
      </c>
      <c r="D44" s="202" t="s">
        <v>658</v>
      </c>
      <c r="E44" s="586" t="s">
        <v>36</v>
      </c>
      <c r="F44" s="204"/>
      <c r="G44" s="183"/>
      <c r="H44" s="183"/>
      <c r="I44" s="183"/>
      <c r="J44" s="183"/>
      <c r="K44" s="183"/>
      <c r="L44" s="183"/>
      <c r="M44" s="183"/>
      <c r="N44" s="183"/>
      <c r="O44" s="587">
        <f>O45</f>
        <v>51375</v>
      </c>
    </row>
    <row r="45" spans="1:15" ht="15.6" customHeight="1">
      <c r="A45" s="588"/>
      <c r="B45" s="189"/>
      <c r="C45" s="184"/>
      <c r="D45" s="184"/>
      <c r="E45" s="186"/>
      <c r="F45" s="187"/>
      <c r="G45" s="188"/>
      <c r="H45" s="188"/>
      <c r="I45" s="188"/>
      <c r="J45" s="188">
        <f>O43</f>
        <v>1712.5</v>
      </c>
      <c r="K45" s="188"/>
      <c r="L45" s="188"/>
      <c r="M45" s="188"/>
      <c r="N45" s="188">
        <v>30</v>
      </c>
      <c r="O45" s="589">
        <f>J45*N45</f>
        <v>51375</v>
      </c>
    </row>
    <row r="46" spans="1:15" ht="15.6" customHeight="1">
      <c r="A46" s="581" t="s">
        <v>58</v>
      </c>
      <c r="B46" s="582"/>
      <c r="C46" s="582"/>
      <c r="D46" s="582" t="s">
        <v>59</v>
      </c>
      <c r="E46" s="582"/>
      <c r="F46" s="583"/>
      <c r="G46" s="582"/>
      <c r="H46" s="582"/>
      <c r="I46" s="182"/>
      <c r="J46" s="182"/>
      <c r="K46" s="182"/>
      <c r="L46" s="182"/>
      <c r="M46" s="182"/>
      <c r="N46" s="182"/>
      <c r="O46" s="591"/>
    </row>
    <row r="47" spans="1:15" ht="15.6" customHeight="1">
      <c r="A47" s="585" t="s">
        <v>335</v>
      </c>
      <c r="B47" s="590" t="s">
        <v>62</v>
      </c>
      <c r="C47" s="202" t="s">
        <v>27</v>
      </c>
      <c r="D47" s="202" t="s">
        <v>563</v>
      </c>
      <c r="E47" s="586" t="s">
        <v>21</v>
      </c>
      <c r="F47" s="204"/>
      <c r="G47" s="183"/>
      <c r="H47" s="183"/>
      <c r="I47" s="183"/>
      <c r="J47" s="183"/>
      <c r="K47" s="183"/>
      <c r="L47" s="183"/>
      <c r="M47" s="183"/>
      <c r="N47" s="183"/>
      <c r="O47" s="587">
        <f>SUM(O48:O49)</f>
        <v>3701.62</v>
      </c>
    </row>
    <row r="48" spans="1:15" ht="15" customHeight="1">
      <c r="A48" s="588"/>
      <c r="B48" s="189"/>
      <c r="C48" s="184"/>
      <c r="D48" s="185" t="s">
        <v>320</v>
      </c>
      <c r="E48" s="186"/>
      <c r="F48" s="187"/>
      <c r="G48" s="188"/>
      <c r="H48" s="188"/>
      <c r="I48" s="188">
        <v>1464.96</v>
      </c>
      <c r="J48" s="188"/>
      <c r="K48" s="188"/>
      <c r="L48" s="188"/>
      <c r="M48" s="188"/>
      <c r="N48" s="188"/>
      <c r="O48" s="589">
        <f>I48</f>
        <v>1464.96</v>
      </c>
    </row>
    <row r="49" spans="1:15" ht="15" customHeight="1">
      <c r="A49" s="588"/>
      <c r="B49" s="189"/>
      <c r="C49" s="184"/>
      <c r="D49" s="185" t="s">
        <v>311</v>
      </c>
      <c r="E49" s="186"/>
      <c r="F49" s="187"/>
      <c r="G49" s="188"/>
      <c r="H49" s="188"/>
      <c r="I49" s="188">
        <v>2236.66</v>
      </c>
      <c r="J49" s="188"/>
      <c r="K49" s="188"/>
      <c r="L49" s="188"/>
      <c r="M49" s="188"/>
      <c r="N49" s="188"/>
      <c r="O49" s="589">
        <f>I49</f>
        <v>2236.66</v>
      </c>
    </row>
    <row r="50" spans="1:15" ht="15.6" customHeight="1">
      <c r="A50" s="585" t="s">
        <v>336</v>
      </c>
      <c r="B50" s="590" t="s">
        <v>63</v>
      </c>
      <c r="C50" s="202" t="s">
        <v>27</v>
      </c>
      <c r="D50" s="202" t="s">
        <v>564</v>
      </c>
      <c r="E50" s="586" t="s">
        <v>21</v>
      </c>
      <c r="F50" s="204"/>
      <c r="G50" s="183"/>
      <c r="H50" s="183"/>
      <c r="I50" s="183"/>
      <c r="J50" s="183"/>
      <c r="K50" s="183"/>
      <c r="L50" s="183"/>
      <c r="M50" s="183"/>
      <c r="N50" s="183"/>
      <c r="O50" s="587">
        <f>SUM(O51:O52)</f>
        <v>3701.62</v>
      </c>
    </row>
    <row r="51" spans="1:15" ht="15.6" customHeight="1">
      <c r="A51" s="588"/>
      <c r="B51" s="189"/>
      <c r="C51" s="184"/>
      <c r="D51" s="185" t="s">
        <v>320</v>
      </c>
      <c r="E51" s="186"/>
      <c r="F51" s="187"/>
      <c r="G51" s="188"/>
      <c r="H51" s="188"/>
      <c r="I51" s="188">
        <f>I48</f>
        <v>1464.96</v>
      </c>
      <c r="J51" s="188"/>
      <c r="K51" s="188"/>
      <c r="L51" s="188"/>
      <c r="M51" s="188"/>
      <c r="N51" s="188"/>
      <c r="O51" s="589">
        <f>I51</f>
        <v>1464.96</v>
      </c>
    </row>
    <row r="52" spans="1:15" ht="15.6" customHeight="1">
      <c r="A52" s="588"/>
      <c r="B52" s="189"/>
      <c r="C52" s="184"/>
      <c r="D52" s="185" t="s">
        <v>311</v>
      </c>
      <c r="E52" s="186"/>
      <c r="F52" s="187"/>
      <c r="G52" s="188"/>
      <c r="H52" s="188"/>
      <c r="I52" s="188">
        <f>I49</f>
        <v>2236.66</v>
      </c>
      <c r="J52" s="188"/>
      <c r="K52" s="188"/>
      <c r="L52" s="188"/>
      <c r="M52" s="188"/>
      <c r="N52" s="188"/>
      <c r="O52" s="589">
        <f>I52</f>
        <v>2236.66</v>
      </c>
    </row>
    <row r="53" spans="1:15" ht="15.6" customHeight="1">
      <c r="A53" s="585" t="s">
        <v>337</v>
      </c>
      <c r="B53" s="590" t="s">
        <v>60</v>
      </c>
      <c r="C53" s="202" t="s">
        <v>27</v>
      </c>
      <c r="D53" s="202" t="s">
        <v>565</v>
      </c>
      <c r="E53" s="586" t="s">
        <v>61</v>
      </c>
      <c r="F53" s="204"/>
      <c r="G53" s="183"/>
      <c r="H53" s="183"/>
      <c r="I53" s="183"/>
      <c r="J53" s="183"/>
      <c r="K53" s="183"/>
      <c r="L53" s="183"/>
      <c r="M53" s="183"/>
      <c r="N53" s="183"/>
      <c r="O53" s="587">
        <f>SUM(O54:O55)</f>
        <v>444.19439999999997</v>
      </c>
    </row>
    <row r="54" spans="1:15" ht="15" customHeight="1">
      <c r="A54" s="588"/>
      <c r="B54" s="189"/>
      <c r="C54" s="184"/>
      <c r="D54" s="185" t="s">
        <v>320</v>
      </c>
      <c r="E54" s="186"/>
      <c r="F54" s="187"/>
      <c r="G54" s="188"/>
      <c r="H54" s="188">
        <v>0.05</v>
      </c>
      <c r="I54" s="188">
        <f>I48</f>
        <v>1464.96</v>
      </c>
      <c r="J54" s="188"/>
      <c r="K54" s="188"/>
      <c r="L54" s="188">
        <v>2.4</v>
      </c>
      <c r="M54" s="188"/>
      <c r="N54" s="188"/>
      <c r="O54" s="589">
        <f>H54*I54*L54</f>
        <v>175.79519999999999</v>
      </c>
    </row>
    <row r="55" spans="1:15" ht="15.6" customHeight="1">
      <c r="A55" s="588"/>
      <c r="B55" s="189"/>
      <c r="C55" s="184"/>
      <c r="D55" s="185" t="s">
        <v>311</v>
      </c>
      <c r="E55" s="186"/>
      <c r="F55" s="187"/>
      <c r="G55" s="188"/>
      <c r="H55" s="188">
        <v>0.05</v>
      </c>
      <c r="I55" s="188">
        <f>I49</f>
        <v>2236.66</v>
      </c>
      <c r="J55" s="188"/>
      <c r="K55" s="188"/>
      <c r="L55" s="188">
        <v>2.4</v>
      </c>
      <c r="M55" s="188"/>
      <c r="N55" s="188"/>
      <c r="O55" s="589">
        <f>H55*I55*L55</f>
        <v>268.39920000000001</v>
      </c>
    </row>
    <row r="56" spans="1:15" ht="29.45" customHeight="1">
      <c r="A56" s="585" t="s">
        <v>338</v>
      </c>
      <c r="B56" s="590" t="s">
        <v>56</v>
      </c>
      <c r="C56" s="202" t="s">
        <v>24</v>
      </c>
      <c r="D56" s="202" t="s">
        <v>418</v>
      </c>
      <c r="E56" s="586" t="s">
        <v>36</v>
      </c>
      <c r="F56" s="204"/>
      <c r="G56" s="183"/>
      <c r="H56" s="183"/>
      <c r="I56" s="183"/>
      <c r="J56" s="183"/>
      <c r="K56" s="183"/>
      <c r="L56" s="183"/>
      <c r="M56" s="183"/>
      <c r="N56" s="183"/>
      <c r="O56" s="587">
        <f>O57</f>
        <v>5552.43</v>
      </c>
    </row>
    <row r="57" spans="1:15" ht="15.6" customHeight="1">
      <c r="A57" s="588"/>
      <c r="B57" s="189"/>
      <c r="C57" s="184"/>
      <c r="D57" s="185"/>
      <c r="E57" s="186"/>
      <c r="F57" s="187"/>
      <c r="G57" s="188"/>
      <c r="H57" s="188">
        <v>0.05</v>
      </c>
      <c r="I57" s="188">
        <f>SUM(I54:I55)</f>
        <v>3701.62</v>
      </c>
      <c r="J57" s="188"/>
      <c r="K57" s="188"/>
      <c r="L57" s="188"/>
      <c r="M57" s="188"/>
      <c r="N57" s="188">
        <v>30</v>
      </c>
      <c r="O57" s="589">
        <f>H57*I57*N57</f>
        <v>5552.43</v>
      </c>
    </row>
    <row r="58" spans="1:15" ht="42" customHeight="1">
      <c r="A58" s="585" t="s">
        <v>339</v>
      </c>
      <c r="B58" s="590" t="s">
        <v>64</v>
      </c>
      <c r="C58" s="202" t="s">
        <v>24</v>
      </c>
      <c r="D58" s="202" t="s">
        <v>65</v>
      </c>
      <c r="E58" s="586" t="s">
        <v>66</v>
      </c>
      <c r="F58" s="204"/>
      <c r="G58" s="183"/>
      <c r="H58" s="183"/>
      <c r="I58" s="183"/>
      <c r="J58" s="183"/>
      <c r="K58" s="183"/>
      <c r="L58" s="183"/>
      <c r="M58" s="183"/>
      <c r="N58" s="183"/>
      <c r="O58" s="587">
        <f>O59</f>
        <v>1053.7179556799999</v>
      </c>
    </row>
    <row r="59" spans="1:15" ht="15.6" customHeight="1">
      <c r="A59" s="588"/>
      <c r="B59" s="189"/>
      <c r="C59" s="184"/>
      <c r="D59" s="184"/>
      <c r="E59" s="186"/>
      <c r="F59" s="187"/>
      <c r="G59" s="188"/>
      <c r="H59" s="188"/>
      <c r="I59" s="188"/>
      <c r="J59" s="188"/>
      <c r="K59" s="188">
        <f>O65+O67+O69</f>
        <v>35.123931855999999</v>
      </c>
      <c r="L59" s="188"/>
      <c r="M59" s="188"/>
      <c r="N59" s="188">
        <v>30</v>
      </c>
      <c r="O59" s="589">
        <f>K59*N59</f>
        <v>1053.7179556799999</v>
      </c>
    </row>
    <row r="60" spans="1:15" ht="42" customHeight="1">
      <c r="A60" s="585" t="s">
        <v>340</v>
      </c>
      <c r="B60" s="590" t="s">
        <v>67</v>
      </c>
      <c r="C60" s="202" t="s">
        <v>24</v>
      </c>
      <c r="D60" s="202" t="s">
        <v>68</v>
      </c>
      <c r="E60" s="586" t="s">
        <v>66</v>
      </c>
      <c r="F60" s="204"/>
      <c r="G60" s="183"/>
      <c r="H60" s="183"/>
      <c r="I60" s="183"/>
      <c r="J60" s="183"/>
      <c r="K60" s="183"/>
      <c r="L60" s="183"/>
      <c r="M60" s="183"/>
      <c r="N60" s="183"/>
      <c r="O60" s="587">
        <f>O61</f>
        <v>16508.247972319998</v>
      </c>
    </row>
    <row r="61" spans="1:15" ht="15.6" customHeight="1">
      <c r="A61" s="588"/>
      <c r="B61" s="189"/>
      <c r="C61" s="184"/>
      <c r="D61" s="184"/>
      <c r="E61" s="186"/>
      <c r="F61" s="187"/>
      <c r="G61" s="188"/>
      <c r="H61" s="188"/>
      <c r="I61" s="188"/>
      <c r="J61" s="188"/>
      <c r="K61" s="188">
        <f>K59</f>
        <v>35.123931855999999</v>
      </c>
      <c r="L61" s="188"/>
      <c r="M61" s="188"/>
      <c r="N61" s="188">
        <f>500-N59</f>
        <v>470</v>
      </c>
      <c r="O61" s="589">
        <f>K61*N61</f>
        <v>16508.247972319998</v>
      </c>
    </row>
    <row r="62" spans="1:15" ht="15" customHeight="1">
      <c r="A62" s="585" t="s">
        <v>341</v>
      </c>
      <c r="B62" s="590" t="s">
        <v>69</v>
      </c>
      <c r="C62" s="202" t="s">
        <v>19</v>
      </c>
      <c r="D62" s="202" t="s">
        <v>70</v>
      </c>
      <c r="E62" s="586" t="s">
        <v>21</v>
      </c>
      <c r="F62" s="204"/>
      <c r="G62" s="183"/>
      <c r="H62" s="183"/>
      <c r="I62" s="183"/>
      <c r="J62" s="183"/>
      <c r="K62" s="183"/>
      <c r="L62" s="183"/>
      <c r="M62" s="183"/>
      <c r="N62" s="183"/>
      <c r="O62" s="587">
        <f>O63</f>
        <v>3701.62</v>
      </c>
    </row>
    <row r="63" spans="1:15" ht="15.6" customHeight="1">
      <c r="A63" s="588"/>
      <c r="B63" s="189"/>
      <c r="C63" s="184"/>
      <c r="D63" s="184"/>
      <c r="E63" s="186"/>
      <c r="F63" s="187"/>
      <c r="G63" s="188"/>
      <c r="H63" s="188"/>
      <c r="I63" s="188">
        <f>O50</f>
        <v>3701.62</v>
      </c>
      <c r="J63" s="188"/>
      <c r="K63" s="188"/>
      <c r="L63" s="188"/>
      <c r="M63" s="188"/>
      <c r="N63" s="188"/>
      <c r="O63" s="589">
        <f>I63</f>
        <v>3701.62</v>
      </c>
    </row>
    <row r="64" spans="1:15" ht="15.6" customHeight="1">
      <c r="A64" s="585" t="s">
        <v>342</v>
      </c>
      <c r="B64" s="201" t="s">
        <v>303</v>
      </c>
      <c r="C64" s="201" t="s">
        <v>303</v>
      </c>
      <c r="D64" s="202" t="s">
        <v>304</v>
      </c>
      <c r="E64" s="203" t="s">
        <v>306</v>
      </c>
      <c r="F64" s="204"/>
      <c r="G64" s="183"/>
      <c r="H64" s="183"/>
      <c r="I64" s="183"/>
      <c r="J64" s="183"/>
      <c r="K64" s="183"/>
      <c r="L64" s="183"/>
      <c r="M64" s="183"/>
      <c r="N64" s="183"/>
      <c r="O64" s="587">
        <f>O65</f>
        <v>1.665729</v>
      </c>
    </row>
    <row r="65" spans="1:15" ht="15" customHeight="1">
      <c r="A65" s="588"/>
      <c r="B65" s="185"/>
      <c r="C65" s="185"/>
      <c r="D65" s="184"/>
      <c r="E65" s="197"/>
      <c r="F65" s="187"/>
      <c r="G65" s="188"/>
      <c r="H65" s="188"/>
      <c r="I65" s="188">
        <f>I63</f>
        <v>3701.62</v>
      </c>
      <c r="J65" s="188"/>
      <c r="K65" s="188"/>
      <c r="L65" s="205">
        <f>0.45/1000</f>
        <v>4.4999999999999999E-4</v>
      </c>
      <c r="M65" s="188"/>
      <c r="N65" s="188"/>
      <c r="O65" s="589">
        <f>I65*L65</f>
        <v>1.665729</v>
      </c>
    </row>
    <row r="66" spans="1:15" ht="15.6" customHeight="1">
      <c r="A66" s="585" t="s">
        <v>343</v>
      </c>
      <c r="B66" s="201" t="s">
        <v>303</v>
      </c>
      <c r="C66" s="201" t="s">
        <v>303</v>
      </c>
      <c r="D66" s="202" t="s">
        <v>305</v>
      </c>
      <c r="E66" s="203" t="s">
        <v>306</v>
      </c>
      <c r="F66" s="204"/>
      <c r="G66" s="183"/>
      <c r="H66" s="183"/>
      <c r="I66" s="183"/>
      <c r="J66" s="183"/>
      <c r="K66" s="183"/>
      <c r="L66" s="183"/>
      <c r="M66" s="183"/>
      <c r="N66" s="183"/>
      <c r="O66" s="587">
        <f>O67</f>
        <v>4.812106</v>
      </c>
    </row>
    <row r="67" spans="1:15" ht="15.6" customHeight="1">
      <c r="A67" s="588"/>
      <c r="B67" s="185"/>
      <c r="C67" s="185"/>
      <c r="D67" s="184"/>
      <c r="E67" s="197"/>
      <c r="F67" s="187"/>
      <c r="G67" s="188"/>
      <c r="H67" s="188"/>
      <c r="I67" s="188">
        <f>I63</f>
        <v>3701.62</v>
      </c>
      <c r="J67" s="188"/>
      <c r="K67" s="188"/>
      <c r="L67" s="206">
        <v>1.2999999999999999E-3</v>
      </c>
      <c r="M67" s="188"/>
      <c r="N67" s="188"/>
      <c r="O67" s="589">
        <f>I67*L67</f>
        <v>4.812106</v>
      </c>
    </row>
    <row r="68" spans="1:15" ht="15.6" customHeight="1">
      <c r="A68" s="585" t="s">
        <v>344</v>
      </c>
      <c r="B68" s="201" t="s">
        <v>303</v>
      </c>
      <c r="C68" s="201" t="s">
        <v>303</v>
      </c>
      <c r="D68" s="202" t="s">
        <v>310</v>
      </c>
      <c r="E68" s="203" t="s">
        <v>306</v>
      </c>
      <c r="F68" s="204"/>
      <c r="G68" s="183"/>
      <c r="H68" s="183"/>
      <c r="I68" s="183"/>
      <c r="J68" s="183"/>
      <c r="K68" s="183"/>
      <c r="L68" s="183"/>
      <c r="M68" s="183"/>
      <c r="N68" s="183"/>
      <c r="O68" s="587">
        <f>O69</f>
        <v>28.646096856</v>
      </c>
    </row>
    <row r="69" spans="1:15" ht="15.6" customHeight="1">
      <c r="A69" s="588"/>
      <c r="B69" s="185"/>
      <c r="C69" s="185"/>
      <c r="D69" s="184"/>
      <c r="E69" s="197"/>
      <c r="F69" s="187"/>
      <c r="G69" s="188"/>
      <c r="H69" s="188"/>
      <c r="I69" s="188">
        <f>O53</f>
        <v>444.19439999999997</v>
      </c>
      <c r="J69" s="188"/>
      <c r="K69" s="188"/>
      <c r="L69" s="206">
        <v>6.4490000000000006E-2</v>
      </c>
      <c r="M69" s="188"/>
      <c r="N69" s="188"/>
      <c r="O69" s="589">
        <f>I69*L69</f>
        <v>28.646096856</v>
      </c>
    </row>
    <row r="70" spans="1:15" ht="15.6" customHeight="1">
      <c r="A70" s="581" t="s">
        <v>71</v>
      </c>
      <c r="B70" s="582"/>
      <c r="C70" s="582"/>
      <c r="D70" s="582" t="s">
        <v>72</v>
      </c>
      <c r="E70" s="582"/>
      <c r="F70" s="583"/>
      <c r="G70" s="582"/>
      <c r="H70" s="582"/>
      <c r="I70" s="182"/>
      <c r="J70" s="182"/>
      <c r="K70" s="182"/>
      <c r="L70" s="182"/>
      <c r="M70" s="182"/>
      <c r="N70" s="182"/>
      <c r="O70" s="591"/>
    </row>
    <row r="71" spans="1:15" ht="57" customHeight="1">
      <c r="A71" s="585" t="s">
        <v>73</v>
      </c>
      <c r="B71" s="590" t="s">
        <v>74</v>
      </c>
      <c r="C71" s="202" t="s">
        <v>24</v>
      </c>
      <c r="D71" s="202" t="s">
        <v>75</v>
      </c>
      <c r="E71" s="586" t="s">
        <v>76</v>
      </c>
      <c r="F71" s="204"/>
      <c r="G71" s="183"/>
      <c r="H71" s="183"/>
      <c r="I71" s="183"/>
      <c r="J71" s="183"/>
      <c r="K71" s="183"/>
      <c r="L71" s="183"/>
      <c r="M71" s="183"/>
      <c r="N71" s="183"/>
      <c r="O71" s="587">
        <f>SUM(O72:O76)</f>
        <v>1392.43</v>
      </c>
    </row>
    <row r="72" spans="1:15" ht="15.6" customHeight="1">
      <c r="A72" s="588"/>
      <c r="B72" s="189"/>
      <c r="C72" s="184"/>
      <c r="D72" s="185" t="s">
        <v>369</v>
      </c>
      <c r="E72" s="186"/>
      <c r="F72" s="187">
        <v>615</v>
      </c>
      <c r="G72" s="188"/>
      <c r="H72" s="188"/>
      <c r="I72" s="188"/>
      <c r="J72" s="188"/>
      <c r="K72" s="188"/>
      <c r="L72" s="188"/>
      <c r="M72" s="188"/>
      <c r="N72" s="188"/>
      <c r="O72" s="589">
        <f>F72</f>
        <v>615</v>
      </c>
    </row>
    <row r="73" spans="1:15" ht="15.6" customHeight="1">
      <c r="A73" s="588"/>
      <c r="B73" s="189"/>
      <c r="C73" s="184"/>
      <c r="D73" s="185" t="s">
        <v>320</v>
      </c>
      <c r="E73" s="186"/>
      <c r="F73" s="187">
        <v>157.08000000000001</v>
      </c>
      <c r="G73" s="188"/>
      <c r="H73" s="188"/>
      <c r="I73" s="188"/>
      <c r="J73" s="188"/>
      <c r="K73" s="188"/>
      <c r="L73" s="188"/>
      <c r="M73" s="188"/>
      <c r="N73" s="188"/>
      <c r="O73" s="589">
        <f t="shared" ref="O73:O74" si="1">F73</f>
        <v>157.08000000000001</v>
      </c>
    </row>
    <row r="74" spans="1:15" ht="15.6" customHeight="1">
      <c r="A74" s="588"/>
      <c r="B74" s="189"/>
      <c r="C74" s="184"/>
      <c r="D74" s="185" t="s">
        <v>311</v>
      </c>
      <c r="E74" s="186"/>
      <c r="F74" s="187">
        <v>157.08000000000001</v>
      </c>
      <c r="G74" s="188"/>
      <c r="H74" s="188"/>
      <c r="I74" s="188"/>
      <c r="J74" s="188"/>
      <c r="K74" s="188"/>
      <c r="L74" s="188"/>
      <c r="M74" s="188"/>
      <c r="N74" s="188"/>
      <c r="O74" s="589">
        <f t="shared" si="1"/>
        <v>157.08000000000001</v>
      </c>
    </row>
    <row r="75" spans="1:15" ht="15.6" customHeight="1">
      <c r="A75" s="588"/>
      <c r="B75" s="189"/>
      <c r="C75" s="184"/>
      <c r="D75" s="185" t="s">
        <v>370</v>
      </c>
      <c r="E75" s="186"/>
      <c r="F75" s="187">
        <v>132.82</v>
      </c>
      <c r="G75" s="188"/>
      <c r="H75" s="188"/>
      <c r="I75" s="188"/>
      <c r="J75" s="188"/>
      <c r="K75" s="188"/>
      <c r="L75" s="188"/>
      <c r="M75" s="188"/>
      <c r="N75" s="188"/>
      <c r="O75" s="589">
        <f>F75</f>
        <v>132.82</v>
      </c>
    </row>
    <row r="76" spans="1:15" ht="15.6" customHeight="1">
      <c r="A76" s="588"/>
      <c r="B76" s="189"/>
      <c r="C76" s="184"/>
      <c r="D76" s="185" t="s">
        <v>371</v>
      </c>
      <c r="E76" s="186"/>
      <c r="F76" s="187">
        <v>330.45</v>
      </c>
      <c r="G76" s="188"/>
      <c r="H76" s="188"/>
      <c r="I76" s="188"/>
      <c r="J76" s="188"/>
      <c r="K76" s="188"/>
      <c r="L76" s="188"/>
      <c r="M76" s="188"/>
      <c r="N76" s="188"/>
      <c r="O76" s="589">
        <f t="shared" ref="O76" si="2">F76</f>
        <v>330.45</v>
      </c>
    </row>
    <row r="77" spans="1:15" ht="30" customHeight="1">
      <c r="A77" s="596" t="s">
        <v>77</v>
      </c>
      <c r="B77" s="590" t="s">
        <v>78</v>
      </c>
      <c r="C77" s="202" t="s">
        <v>24</v>
      </c>
      <c r="D77" s="202" t="s">
        <v>79</v>
      </c>
      <c r="E77" s="586" t="s">
        <v>76</v>
      </c>
      <c r="F77" s="204"/>
      <c r="G77" s="183"/>
      <c r="H77" s="183"/>
      <c r="I77" s="183"/>
      <c r="J77" s="183"/>
      <c r="K77" s="183"/>
      <c r="L77" s="183"/>
      <c r="M77" s="183"/>
      <c r="N77" s="183"/>
      <c r="O77" s="587">
        <f>SUM(O78:O82)</f>
        <v>1247.9099999999999</v>
      </c>
    </row>
    <row r="78" spans="1:15" ht="15.6" customHeight="1">
      <c r="A78" s="588"/>
      <c r="B78" s="189"/>
      <c r="C78" s="184"/>
      <c r="D78" s="185" t="s">
        <v>369</v>
      </c>
      <c r="E78" s="186"/>
      <c r="F78" s="187">
        <v>615</v>
      </c>
      <c r="G78" s="188"/>
      <c r="H78" s="188"/>
      <c r="I78" s="188"/>
      <c r="J78" s="188"/>
      <c r="K78" s="188"/>
      <c r="L78" s="188"/>
      <c r="M78" s="188"/>
      <c r="N78" s="188"/>
      <c r="O78" s="589">
        <f>F78</f>
        <v>615</v>
      </c>
    </row>
    <row r="79" spans="1:15" ht="15.6" customHeight="1">
      <c r="A79" s="588"/>
      <c r="B79" s="189"/>
      <c r="C79" s="184"/>
      <c r="D79" s="185" t="s">
        <v>320</v>
      </c>
      <c r="E79" s="186"/>
      <c r="F79" s="187">
        <v>84.82</v>
      </c>
      <c r="G79" s="188"/>
      <c r="H79" s="188"/>
      <c r="I79" s="188"/>
      <c r="J79" s="188"/>
      <c r="K79" s="188"/>
      <c r="L79" s="188"/>
      <c r="M79" s="188"/>
      <c r="N79" s="188"/>
      <c r="O79" s="589">
        <f t="shared" ref="O79:O82" si="3">F79</f>
        <v>84.82</v>
      </c>
    </row>
    <row r="80" spans="1:15" ht="15.6" customHeight="1">
      <c r="A80" s="588"/>
      <c r="B80" s="189"/>
      <c r="C80" s="184"/>
      <c r="D80" s="185" t="s">
        <v>311</v>
      </c>
      <c r="E80" s="186"/>
      <c r="F80" s="187">
        <v>84.82</v>
      </c>
      <c r="G80" s="188"/>
      <c r="H80" s="188"/>
      <c r="I80" s="188"/>
      <c r="J80" s="188"/>
      <c r="K80" s="188"/>
      <c r="L80" s="188"/>
      <c r="M80" s="188"/>
      <c r="N80" s="188"/>
      <c r="O80" s="589">
        <f>F80</f>
        <v>84.82</v>
      </c>
    </row>
    <row r="81" spans="1:15" ht="15.6" customHeight="1">
      <c r="A81" s="588"/>
      <c r="B81" s="189"/>
      <c r="C81" s="184"/>
      <c r="D81" s="185" t="s">
        <v>370</v>
      </c>
      <c r="E81" s="186"/>
      <c r="F81" s="187">
        <v>132.82</v>
      </c>
      <c r="G81" s="188"/>
      <c r="H81" s="188"/>
      <c r="I81" s="188"/>
      <c r="J81" s="188"/>
      <c r="K81" s="188"/>
      <c r="L81" s="188"/>
      <c r="M81" s="188"/>
      <c r="N81" s="188"/>
      <c r="O81" s="589">
        <f t="shared" ref="O81" si="4">F81</f>
        <v>132.82</v>
      </c>
    </row>
    <row r="82" spans="1:15" ht="15.6" customHeight="1">
      <c r="A82" s="588"/>
      <c r="B82" s="189"/>
      <c r="C82" s="184"/>
      <c r="D82" s="185" t="s">
        <v>371</v>
      </c>
      <c r="E82" s="186"/>
      <c r="F82" s="187">
        <v>330.45</v>
      </c>
      <c r="G82" s="188"/>
      <c r="H82" s="188"/>
      <c r="I82" s="188"/>
      <c r="J82" s="188"/>
      <c r="K82" s="188"/>
      <c r="L82" s="188"/>
      <c r="M82" s="188"/>
      <c r="N82" s="188"/>
      <c r="O82" s="589">
        <f t="shared" si="3"/>
        <v>330.45</v>
      </c>
    </row>
    <row r="83" spans="1:15" ht="15.6" customHeight="1">
      <c r="A83" s="581" t="s">
        <v>80</v>
      </c>
      <c r="B83" s="582"/>
      <c r="C83" s="582"/>
      <c r="D83" s="582" t="s">
        <v>81</v>
      </c>
      <c r="E83" s="582"/>
      <c r="F83" s="583"/>
      <c r="G83" s="582"/>
      <c r="H83" s="582"/>
      <c r="I83" s="182"/>
      <c r="J83" s="182"/>
      <c r="K83" s="182"/>
      <c r="L83" s="182"/>
      <c r="M83" s="182"/>
      <c r="N83" s="182"/>
      <c r="O83" s="591"/>
    </row>
    <row r="84" spans="1:15" ht="29.45" customHeight="1">
      <c r="A84" s="585" t="s">
        <v>372</v>
      </c>
      <c r="B84" s="590" t="s">
        <v>82</v>
      </c>
      <c r="C84" s="202" t="s">
        <v>24</v>
      </c>
      <c r="D84" s="202" t="s">
        <v>83</v>
      </c>
      <c r="E84" s="586" t="s">
        <v>21</v>
      </c>
      <c r="F84" s="204"/>
      <c r="G84" s="183"/>
      <c r="H84" s="183"/>
      <c r="I84" s="183"/>
      <c r="J84" s="183"/>
      <c r="K84" s="183"/>
      <c r="L84" s="183"/>
      <c r="M84" s="183"/>
      <c r="N84" s="183"/>
      <c r="O84" s="587">
        <f>SUM(O85:O87)</f>
        <v>1522.08</v>
      </c>
    </row>
    <row r="85" spans="1:15" ht="15.6" customHeight="1">
      <c r="A85" s="588"/>
      <c r="B85" s="189"/>
      <c r="C85" s="184"/>
      <c r="D85" s="185" t="s">
        <v>369</v>
      </c>
      <c r="E85" s="186"/>
      <c r="F85" s="187"/>
      <c r="G85" s="188"/>
      <c r="H85" s="188"/>
      <c r="I85" s="188">
        <v>1207.92</v>
      </c>
      <c r="J85" s="188"/>
      <c r="K85" s="188"/>
      <c r="L85" s="188"/>
      <c r="M85" s="188"/>
      <c r="N85" s="188"/>
      <c r="O85" s="589">
        <f>I85</f>
        <v>1207.92</v>
      </c>
    </row>
    <row r="86" spans="1:15" ht="15.6" customHeight="1">
      <c r="A86" s="588"/>
      <c r="B86" s="189"/>
      <c r="C86" s="184"/>
      <c r="D86" s="185" t="s">
        <v>320</v>
      </c>
      <c r="E86" s="186"/>
      <c r="F86" s="187"/>
      <c r="G86" s="188"/>
      <c r="H86" s="188"/>
      <c r="I86" s="188">
        <v>157.08000000000001</v>
      </c>
      <c r="J86" s="188"/>
      <c r="K86" s="188"/>
      <c r="L86" s="188"/>
      <c r="M86" s="188"/>
      <c r="N86" s="188"/>
      <c r="O86" s="589">
        <f>I86</f>
        <v>157.08000000000001</v>
      </c>
    </row>
    <row r="87" spans="1:15" ht="15.6" customHeight="1">
      <c r="A87" s="588"/>
      <c r="B87" s="189"/>
      <c r="C87" s="184"/>
      <c r="D87" s="185" t="s">
        <v>311</v>
      </c>
      <c r="E87" s="186"/>
      <c r="F87" s="187"/>
      <c r="G87" s="188"/>
      <c r="H87" s="188"/>
      <c r="I87" s="188">
        <v>157.08000000000001</v>
      </c>
      <c r="J87" s="188"/>
      <c r="K87" s="188"/>
      <c r="L87" s="188"/>
      <c r="M87" s="188"/>
      <c r="N87" s="188"/>
      <c r="O87" s="589">
        <f>I87</f>
        <v>157.08000000000001</v>
      </c>
    </row>
    <row r="88" spans="1:15" ht="57" customHeight="1">
      <c r="A88" s="585" t="s">
        <v>373</v>
      </c>
      <c r="B88" s="590" t="s">
        <v>42</v>
      </c>
      <c r="C88" s="202" t="s">
        <v>24</v>
      </c>
      <c r="D88" s="202" t="s">
        <v>667</v>
      </c>
      <c r="E88" s="586" t="s">
        <v>28</v>
      </c>
      <c r="F88" s="204"/>
      <c r="G88" s="183"/>
      <c r="H88" s="183"/>
      <c r="I88" s="183"/>
      <c r="J88" s="183"/>
      <c r="K88" s="183"/>
      <c r="L88" s="183"/>
      <c r="M88" s="183"/>
      <c r="N88" s="183"/>
      <c r="O88" s="587">
        <f>SUM(O89:O90)</f>
        <v>101.37052799999999</v>
      </c>
    </row>
    <row r="89" spans="1:15" ht="15.6" customHeight="1">
      <c r="A89" s="588"/>
      <c r="B89" s="189"/>
      <c r="C89" s="184"/>
      <c r="D89" s="185" t="s">
        <v>321</v>
      </c>
      <c r="E89" s="186"/>
      <c r="F89" s="187"/>
      <c r="G89" s="188"/>
      <c r="H89" s="188"/>
      <c r="I89" s="188">
        <f>I85+I86+I87</f>
        <v>1522.08</v>
      </c>
      <c r="J89" s="188"/>
      <c r="K89" s="188"/>
      <c r="L89" s="206">
        <v>5.6800000000000003E-2</v>
      </c>
      <c r="M89" s="188"/>
      <c r="N89" s="188"/>
      <c r="O89" s="589">
        <f>I89*L89</f>
        <v>86.454143999999999</v>
      </c>
    </row>
    <row r="90" spans="1:15" ht="15.6" customHeight="1">
      <c r="A90" s="588"/>
      <c r="B90" s="189"/>
      <c r="C90" s="184"/>
      <c r="D90" s="185" t="s">
        <v>322</v>
      </c>
      <c r="E90" s="186"/>
      <c r="F90" s="187"/>
      <c r="G90" s="188"/>
      <c r="H90" s="188"/>
      <c r="I90" s="188">
        <f>I89</f>
        <v>1522.08</v>
      </c>
      <c r="J90" s="188"/>
      <c r="K90" s="188"/>
      <c r="L90" s="206">
        <v>9.7999999999999997E-3</v>
      </c>
      <c r="M90" s="188"/>
      <c r="N90" s="188"/>
      <c r="O90" s="589">
        <f>I90*L90</f>
        <v>14.916383999999999</v>
      </c>
    </row>
    <row r="91" spans="1:15" ht="42" customHeight="1">
      <c r="A91" s="585" t="s">
        <v>374</v>
      </c>
      <c r="B91" s="590" t="s">
        <v>56</v>
      </c>
      <c r="C91" s="202" t="s">
        <v>24</v>
      </c>
      <c r="D91" s="202" t="s">
        <v>653</v>
      </c>
      <c r="E91" s="586" t="s">
        <v>36</v>
      </c>
      <c r="F91" s="204"/>
      <c r="G91" s="183"/>
      <c r="H91" s="183"/>
      <c r="I91" s="183"/>
      <c r="J91" s="183"/>
      <c r="K91" s="183"/>
      <c r="L91" s="183"/>
      <c r="M91" s="183"/>
      <c r="N91" s="183"/>
      <c r="O91" s="587">
        <f>O92</f>
        <v>3041.1158399999999</v>
      </c>
    </row>
    <row r="92" spans="1:15" ht="15.6" customHeight="1">
      <c r="A92" s="588"/>
      <c r="B92" s="189"/>
      <c r="C92" s="184"/>
      <c r="D92" s="184"/>
      <c r="E92" s="186"/>
      <c r="F92" s="187"/>
      <c r="G92" s="188"/>
      <c r="H92" s="188"/>
      <c r="I92" s="188"/>
      <c r="J92" s="188">
        <f>O88</f>
        <v>101.37052799999999</v>
      </c>
      <c r="K92" s="188"/>
      <c r="L92" s="188"/>
      <c r="M92" s="188"/>
      <c r="N92" s="188">
        <v>30</v>
      </c>
      <c r="O92" s="589">
        <f>J92*N92</f>
        <v>3041.1158399999999</v>
      </c>
    </row>
    <row r="93" spans="1:15" ht="15.6" customHeight="1">
      <c r="A93" s="597">
        <v>6</v>
      </c>
      <c r="B93" s="82"/>
      <c r="C93" s="82"/>
      <c r="D93" s="82" t="s">
        <v>329</v>
      </c>
      <c r="E93" s="82"/>
      <c r="F93" s="207"/>
      <c r="G93" s="82"/>
      <c r="H93" s="82"/>
      <c r="I93" s="208"/>
      <c r="J93" s="208"/>
      <c r="K93" s="208"/>
      <c r="L93" s="208"/>
      <c r="M93" s="208"/>
      <c r="N93" s="208"/>
      <c r="O93" s="598"/>
    </row>
    <row r="94" spans="1:15" ht="56.45" customHeight="1">
      <c r="A94" s="599" t="s">
        <v>375</v>
      </c>
      <c r="B94" s="190" t="s">
        <v>330</v>
      </c>
      <c r="C94" s="191" t="s">
        <v>24</v>
      </c>
      <c r="D94" s="191" t="s">
        <v>331</v>
      </c>
      <c r="E94" s="192" t="s">
        <v>76</v>
      </c>
      <c r="F94" s="209"/>
      <c r="G94" s="210"/>
      <c r="H94" s="210"/>
      <c r="I94" s="210"/>
      <c r="J94" s="210"/>
      <c r="K94" s="210"/>
      <c r="L94" s="210"/>
      <c r="M94" s="210"/>
      <c r="N94" s="210"/>
      <c r="O94" s="600">
        <f>SUM(O95:O98)</f>
        <v>3670.0439999999999</v>
      </c>
    </row>
    <row r="95" spans="1:15" ht="15.6" customHeight="1">
      <c r="A95" s="588"/>
      <c r="B95" s="185"/>
      <c r="C95" s="184"/>
      <c r="D95" s="185" t="s">
        <v>391</v>
      </c>
      <c r="E95" s="197"/>
      <c r="F95" s="198">
        <f>289.103*4</f>
        <v>1156.412</v>
      </c>
      <c r="G95" s="199"/>
      <c r="H95" s="199"/>
      <c r="I95" s="199"/>
      <c r="J95" s="199"/>
      <c r="K95" s="199"/>
      <c r="L95" s="199"/>
      <c r="M95" s="199"/>
      <c r="N95" s="199"/>
      <c r="O95" s="595">
        <f>F95</f>
        <v>1156.412</v>
      </c>
    </row>
    <row r="96" spans="1:15" ht="15.6" customHeight="1">
      <c r="A96" s="588"/>
      <c r="B96" s="185"/>
      <c r="C96" s="184"/>
      <c r="D96" s="185" t="s">
        <v>392</v>
      </c>
      <c r="E96" s="197"/>
      <c r="F96" s="198">
        <f>289.103*2</f>
        <v>578.20600000000002</v>
      </c>
      <c r="G96" s="199"/>
      <c r="H96" s="199"/>
      <c r="I96" s="199"/>
      <c r="J96" s="199"/>
      <c r="K96" s="199"/>
      <c r="L96" s="199"/>
      <c r="M96" s="199"/>
      <c r="N96" s="199"/>
      <c r="O96" s="595">
        <f>F96</f>
        <v>578.20600000000002</v>
      </c>
    </row>
    <row r="97" spans="1:15" ht="15.6" customHeight="1">
      <c r="A97" s="588"/>
      <c r="B97" s="185"/>
      <c r="C97" s="184"/>
      <c r="D97" s="185" t="s">
        <v>393</v>
      </c>
      <c r="E97" s="197"/>
      <c r="F97" s="198">
        <f>278.198*2+86.602*2+280.342*2</f>
        <v>1290.2839999999999</v>
      </c>
      <c r="G97" s="199"/>
      <c r="H97" s="199"/>
      <c r="I97" s="199"/>
      <c r="J97" s="199"/>
      <c r="K97" s="199"/>
      <c r="L97" s="199"/>
      <c r="M97" s="199"/>
      <c r="N97" s="199"/>
      <c r="O97" s="595">
        <f>F97</f>
        <v>1290.2839999999999</v>
      </c>
    </row>
    <row r="98" spans="1:15" ht="15.6" customHeight="1">
      <c r="A98" s="588"/>
      <c r="B98" s="185"/>
      <c r="C98" s="184"/>
      <c r="D98" s="185" t="s">
        <v>394</v>
      </c>
      <c r="E98" s="197"/>
      <c r="F98" s="198">
        <f>278.198+86.602+280.342</f>
        <v>645.14199999999994</v>
      </c>
      <c r="G98" s="199"/>
      <c r="H98" s="199"/>
      <c r="I98" s="199"/>
      <c r="J98" s="199"/>
      <c r="K98" s="199"/>
      <c r="L98" s="199"/>
      <c r="M98" s="199"/>
      <c r="N98" s="199"/>
      <c r="O98" s="595">
        <f>F98</f>
        <v>645.14199999999994</v>
      </c>
    </row>
    <row r="99" spans="1:15" ht="15.6" customHeight="1">
      <c r="A99" s="581">
        <v>7</v>
      </c>
      <c r="B99" s="582"/>
      <c r="C99" s="582"/>
      <c r="D99" s="582" t="s">
        <v>87</v>
      </c>
      <c r="E99" s="582"/>
      <c r="F99" s="583"/>
      <c r="G99" s="582"/>
      <c r="H99" s="582"/>
      <c r="I99" s="182"/>
      <c r="J99" s="182"/>
      <c r="K99" s="182"/>
      <c r="L99" s="182"/>
      <c r="M99" s="182"/>
      <c r="N99" s="182"/>
      <c r="O99" s="591">
        <f>O100</f>
        <v>1.37</v>
      </c>
    </row>
    <row r="100" spans="1:15" ht="15.6" customHeight="1">
      <c r="A100" s="601" t="s">
        <v>376</v>
      </c>
      <c r="B100" s="602" t="s">
        <v>88</v>
      </c>
      <c r="C100" s="603" t="s">
        <v>19</v>
      </c>
      <c r="D100" s="603" t="s">
        <v>89</v>
      </c>
      <c r="E100" s="604" t="s">
        <v>90</v>
      </c>
      <c r="F100" s="605"/>
      <c r="G100" s="606"/>
      <c r="H100" s="606"/>
      <c r="I100" s="606"/>
      <c r="J100" s="606"/>
      <c r="K100" s="606"/>
      <c r="L100" s="606"/>
      <c r="M100" s="607">
        <v>1.37</v>
      </c>
      <c r="N100" s="606"/>
      <c r="O100" s="608">
        <f>M100</f>
        <v>1.37</v>
      </c>
    </row>
    <row r="101" spans="1:15">
      <c r="A101" s="211"/>
      <c r="B101" s="211"/>
      <c r="C101" s="211"/>
      <c r="D101" s="211"/>
      <c r="E101" s="211"/>
      <c r="F101" s="212"/>
      <c r="G101" s="211"/>
      <c r="H101" s="211"/>
      <c r="I101" s="211"/>
      <c r="J101" s="211"/>
      <c r="K101" s="211"/>
      <c r="L101" s="211"/>
      <c r="M101" s="211"/>
      <c r="N101" s="211"/>
      <c r="O101" s="211"/>
    </row>
  </sheetData>
  <mergeCells count="9">
    <mergeCell ref="A5:O5"/>
    <mergeCell ref="A1:C2"/>
    <mergeCell ref="D1:F1"/>
    <mergeCell ref="D2:F2"/>
    <mergeCell ref="I1:O2"/>
    <mergeCell ref="A4:D4"/>
    <mergeCell ref="E4:O4"/>
    <mergeCell ref="A3:D3"/>
    <mergeCell ref="E3:O3"/>
  </mergeCells>
  <phoneticPr fontId="18" type="noConversion"/>
  <conditionalFormatting sqref="D18">
    <cfRule type="duplicateValues" dxfId="56" priority="1"/>
  </conditionalFormatting>
  <pageMargins left="0.5" right="0.5" top="1" bottom="1" header="0.5" footer="0.5"/>
  <pageSetup paperSize="9" scale="62" fitToHeight="0" orientation="landscape" r:id="rId1"/>
  <headerFooter>
    <oddHeader>&amp;L &amp;CMinha Empresa
CNPJ:  &amp;R</oddHeader>
    <oddFooter>&amp;L &amp;C  -  -  / PE
87996446437 / gs_anacaroline@hotmail.com &amp;R</oddFooter>
  </headerFooter>
  <ignoredErrors>
    <ignoredError sqref="O11 O13 O15 O57" 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AD36"/>
  <sheetViews>
    <sheetView zoomScale="70" zoomScaleNormal="70" workbookViewId="0">
      <selection activeCell="J32" sqref="A1:M32"/>
    </sheetView>
  </sheetViews>
  <sheetFormatPr defaultRowHeight="14.25"/>
  <cols>
    <col min="2" max="2" width="37.375" customWidth="1"/>
    <col min="3" max="3" width="21.375" customWidth="1"/>
    <col min="4" max="4" width="16.25" bestFit="1" customWidth="1"/>
    <col min="5" max="5" width="16.25" customWidth="1"/>
    <col min="6" max="13" width="7.25" bestFit="1" customWidth="1"/>
    <col min="14" max="14" width="0" hidden="1" customWidth="1"/>
    <col min="15" max="18" width="0" style="332" hidden="1" customWidth="1"/>
    <col min="19" max="22" width="0" hidden="1" customWidth="1"/>
    <col min="23" max="26" width="0" style="332" hidden="1" customWidth="1"/>
    <col min="27" max="30" width="0" hidden="1" customWidth="1"/>
  </cols>
  <sheetData>
    <row r="1" spans="1:30" ht="114" customHeight="1" thickBot="1">
      <c r="A1" s="804"/>
      <c r="B1" s="805"/>
      <c r="C1" s="1034" t="s">
        <v>787</v>
      </c>
      <c r="D1" s="1034"/>
      <c r="E1" s="1034"/>
      <c r="F1" s="1034"/>
      <c r="G1" s="1034"/>
      <c r="H1" s="1034"/>
      <c r="I1" s="1034"/>
      <c r="J1" s="805"/>
      <c r="K1" s="805"/>
      <c r="L1" s="805"/>
      <c r="M1" s="806"/>
    </row>
    <row r="2" spans="1:30" ht="15" thickBot="1">
      <c r="A2" s="1028" t="s">
        <v>689</v>
      </c>
      <c r="B2" s="1029"/>
      <c r="C2" s="1029"/>
      <c r="D2" s="1029"/>
      <c r="E2" s="1029"/>
      <c r="F2" s="1029"/>
      <c r="G2" s="1029"/>
      <c r="H2" s="1029"/>
      <c r="I2" s="1029"/>
      <c r="J2" s="1029"/>
      <c r="K2" s="1029"/>
      <c r="L2" s="1029"/>
      <c r="M2" s="1030"/>
    </row>
    <row r="3" spans="1:30" ht="15" thickBot="1">
      <c r="A3" s="1028"/>
      <c r="B3" s="1029"/>
      <c r="C3" s="1029"/>
      <c r="D3" s="1029"/>
      <c r="E3" s="1029"/>
      <c r="F3" s="1029"/>
      <c r="G3" s="1029"/>
      <c r="H3" s="1029"/>
      <c r="I3" s="1029"/>
      <c r="J3" s="1029"/>
      <c r="K3" s="1029"/>
      <c r="L3" s="1029"/>
      <c r="M3" s="1030"/>
    </row>
    <row r="4" spans="1:30" ht="17.25" thickBot="1">
      <c r="A4" s="1031" t="s">
        <v>547</v>
      </c>
      <c r="B4" s="1032" t="s">
        <v>690</v>
      </c>
      <c r="C4" s="323" t="s">
        <v>686</v>
      </c>
      <c r="D4" s="323" t="s">
        <v>697</v>
      </c>
      <c r="E4" s="323"/>
      <c r="F4" s="1032" t="s">
        <v>698</v>
      </c>
      <c r="G4" s="1032"/>
      <c r="H4" s="1032"/>
      <c r="I4" s="1032"/>
      <c r="J4" s="1032"/>
      <c r="K4" s="1032"/>
      <c r="L4" s="1032"/>
      <c r="M4" s="1033"/>
    </row>
    <row r="5" spans="1:30" ht="17.25" thickBot="1">
      <c r="A5" s="1031"/>
      <c r="B5" s="1032"/>
      <c r="C5" s="323"/>
      <c r="D5" s="323"/>
      <c r="E5" s="323"/>
      <c r="F5" s="1020" t="s">
        <v>703</v>
      </c>
      <c r="G5" s="1021"/>
      <c r="H5" s="1021"/>
      <c r="I5" s="1022"/>
      <c r="J5" s="1020" t="s">
        <v>704</v>
      </c>
      <c r="K5" s="1021"/>
      <c r="L5" s="1021"/>
      <c r="M5" s="1023"/>
    </row>
    <row r="6" spans="1:30" ht="17.25" thickBot="1">
      <c r="A6" s="1031"/>
      <c r="B6" s="1032"/>
      <c r="C6" s="323" t="s">
        <v>687</v>
      </c>
      <c r="D6" s="323" t="s">
        <v>681</v>
      </c>
      <c r="E6" s="323"/>
      <c r="F6" s="334" t="s">
        <v>699</v>
      </c>
      <c r="G6" s="334" t="s">
        <v>700</v>
      </c>
      <c r="H6" s="334" t="s">
        <v>701</v>
      </c>
      <c r="I6" s="334" t="s">
        <v>702</v>
      </c>
      <c r="J6" s="334" t="s">
        <v>699</v>
      </c>
      <c r="K6" s="334" t="s">
        <v>700</v>
      </c>
      <c r="L6" s="334" t="s">
        <v>701</v>
      </c>
      <c r="M6" s="546" t="s">
        <v>702</v>
      </c>
      <c r="O6" s="332">
        <v>1</v>
      </c>
      <c r="P6" s="332">
        <v>2</v>
      </c>
      <c r="Q6" s="332">
        <v>3</v>
      </c>
      <c r="R6" s="332">
        <v>4</v>
      </c>
      <c r="S6">
        <v>5</v>
      </c>
      <c r="T6">
        <v>6</v>
      </c>
      <c r="U6">
        <v>7</v>
      </c>
      <c r="V6">
        <v>8</v>
      </c>
      <c r="W6" s="332">
        <v>9</v>
      </c>
      <c r="X6" s="332">
        <v>10</v>
      </c>
      <c r="Y6" s="332">
        <v>11</v>
      </c>
      <c r="Z6" s="332">
        <v>12</v>
      </c>
      <c r="AA6">
        <v>13</v>
      </c>
      <c r="AB6">
        <v>14</v>
      </c>
      <c r="AC6">
        <v>15</v>
      </c>
      <c r="AD6">
        <v>16</v>
      </c>
    </row>
    <row r="7" spans="1:30" ht="15.75" thickBot="1">
      <c r="A7" s="1035">
        <v>1</v>
      </c>
      <c r="B7" s="1036" t="s">
        <v>17</v>
      </c>
      <c r="C7" s="1039">
        <f>'OBRA 01 - SINTÉTICA'!I7</f>
        <v>126807.04999999999</v>
      </c>
      <c r="D7" s="1041">
        <f>'OBRA 01 - SINTÉTICA'!J7</f>
        <v>9.0181057067048487E-2</v>
      </c>
      <c r="E7" s="1045">
        <f>D7</f>
        <v>9.0181057067048487E-2</v>
      </c>
      <c r="F7" s="333">
        <f>O7</f>
        <v>4</v>
      </c>
      <c r="G7" s="333">
        <f t="shared" ref="G7:J7" si="0">P7</f>
        <v>0</v>
      </c>
      <c r="H7" s="333">
        <f t="shared" si="0"/>
        <v>0</v>
      </c>
      <c r="I7" s="333">
        <f t="shared" si="0"/>
        <v>0</v>
      </c>
      <c r="J7" s="333">
        <f t="shared" si="0"/>
        <v>0</v>
      </c>
      <c r="K7" s="333">
        <f t="shared" ref="K7" si="1">T7</f>
        <v>0</v>
      </c>
      <c r="L7" s="333">
        <f t="shared" ref="L7" si="2">U7</f>
        <v>0</v>
      </c>
      <c r="M7" s="547">
        <f t="shared" ref="M7" si="3">V7</f>
        <v>0</v>
      </c>
      <c r="N7">
        <f>SUM(O7:AD7)</f>
        <v>4</v>
      </c>
      <c r="O7" s="332">
        <v>4</v>
      </c>
      <c r="P7" s="332">
        <v>0</v>
      </c>
      <c r="Q7" s="332">
        <v>0</v>
      </c>
      <c r="R7" s="332">
        <v>0</v>
      </c>
      <c r="S7">
        <v>0</v>
      </c>
      <c r="T7">
        <v>0</v>
      </c>
      <c r="U7">
        <v>0</v>
      </c>
      <c r="V7">
        <v>0</v>
      </c>
      <c r="W7" s="332">
        <v>0</v>
      </c>
      <c r="X7" s="332">
        <v>0</v>
      </c>
      <c r="Y7" s="332">
        <v>0</v>
      </c>
      <c r="Z7" s="332">
        <v>0</v>
      </c>
      <c r="AA7">
        <v>0</v>
      </c>
      <c r="AB7">
        <v>0</v>
      </c>
      <c r="AC7">
        <v>0</v>
      </c>
      <c r="AD7">
        <v>0</v>
      </c>
    </row>
    <row r="8" spans="1:30" ht="15.75" thickBot="1">
      <c r="A8" s="1035"/>
      <c r="B8" s="1036"/>
      <c r="C8" s="1040"/>
      <c r="D8" s="1042"/>
      <c r="E8" s="1046"/>
      <c r="F8" s="1043">
        <f>SUM(F7:I7)/N7</f>
        <v>1</v>
      </c>
      <c r="G8" s="1044"/>
      <c r="H8" s="1044"/>
      <c r="I8" s="1044"/>
      <c r="J8" s="1027"/>
      <c r="K8" s="1025"/>
      <c r="L8" s="1025"/>
      <c r="M8" s="1026"/>
    </row>
    <row r="9" spans="1:30" ht="15.75" thickBot="1">
      <c r="A9" s="1035"/>
      <c r="B9" s="1036"/>
      <c r="C9" s="1040"/>
      <c r="D9" s="1042"/>
      <c r="E9" s="1047"/>
      <c r="F9" s="1048">
        <f>F8*C7/C28</f>
        <v>9.0181057067048515E-2</v>
      </c>
      <c r="G9" s="1048"/>
      <c r="H9" s="1048"/>
      <c r="I9" s="1048"/>
      <c r="J9" s="1024"/>
      <c r="K9" s="1025"/>
      <c r="L9" s="1025"/>
      <c r="M9" s="1026"/>
    </row>
    <row r="10" spans="1:30" ht="15.75" thickBot="1">
      <c r="A10" s="1035">
        <v>2</v>
      </c>
      <c r="B10" s="1036" t="s">
        <v>38</v>
      </c>
      <c r="C10" s="1039">
        <f>'OBRA 01 - SINTÉTICA'!I15</f>
        <v>124420.61</v>
      </c>
      <c r="D10" s="1041">
        <f>'OBRA 01 - SINTÉTICA'!J15</f>
        <v>8.8483898416744061E-2</v>
      </c>
      <c r="E10" s="1045">
        <f>D10+E7</f>
        <v>0.17866495548379255</v>
      </c>
      <c r="F10" s="280">
        <f>O10</f>
        <v>0</v>
      </c>
      <c r="G10" s="280">
        <f t="shared" ref="G10:I10" si="4">P10</f>
        <v>4</v>
      </c>
      <c r="H10" s="280">
        <f t="shared" si="4"/>
        <v>0</v>
      </c>
      <c r="I10" s="280">
        <f t="shared" si="4"/>
        <v>0</v>
      </c>
      <c r="J10" s="324"/>
      <c r="K10" s="324"/>
      <c r="L10" s="324"/>
      <c r="M10" s="548"/>
      <c r="N10">
        <f>SUM(O10:AD10)</f>
        <v>4</v>
      </c>
      <c r="O10" s="332">
        <v>0</v>
      </c>
      <c r="P10" s="332">
        <v>4</v>
      </c>
      <c r="Q10" s="332">
        <v>0</v>
      </c>
      <c r="R10" s="332">
        <v>0</v>
      </c>
      <c r="S10">
        <v>0</v>
      </c>
      <c r="T10">
        <v>0</v>
      </c>
      <c r="U10">
        <v>0</v>
      </c>
      <c r="V10">
        <v>0</v>
      </c>
      <c r="W10" s="332">
        <v>0</v>
      </c>
      <c r="X10" s="332">
        <v>0</v>
      </c>
      <c r="Y10" s="332">
        <v>0</v>
      </c>
      <c r="Z10" s="332">
        <v>0</v>
      </c>
      <c r="AA10">
        <v>0</v>
      </c>
      <c r="AB10">
        <v>0</v>
      </c>
      <c r="AC10">
        <v>0</v>
      </c>
      <c r="AD10">
        <v>0</v>
      </c>
    </row>
    <row r="11" spans="1:30" ht="15.75" thickBot="1">
      <c r="A11" s="1035"/>
      <c r="B11" s="1036"/>
      <c r="C11" s="1040"/>
      <c r="D11" s="1042"/>
      <c r="E11" s="1046"/>
      <c r="F11" s="1043">
        <f>SUM(F10:I10)/N10</f>
        <v>1</v>
      </c>
      <c r="G11" s="1044"/>
      <c r="H11" s="1044"/>
      <c r="I11" s="1044"/>
      <c r="J11" s="1027"/>
      <c r="K11" s="1025"/>
      <c r="L11" s="1025"/>
      <c r="M11" s="1026"/>
    </row>
    <row r="12" spans="1:30" ht="15.75" thickBot="1">
      <c r="A12" s="1035"/>
      <c r="B12" s="1036"/>
      <c r="C12" s="1040"/>
      <c r="D12" s="1042"/>
      <c r="E12" s="1047"/>
      <c r="F12" s="1037">
        <f>F9+(F11*C10/C28)</f>
        <v>0.17866495548379258</v>
      </c>
      <c r="G12" s="1038"/>
      <c r="H12" s="1038"/>
      <c r="I12" s="1038"/>
      <c r="J12" s="1024"/>
      <c r="K12" s="1025"/>
      <c r="L12" s="1025"/>
      <c r="M12" s="1026"/>
    </row>
    <row r="13" spans="1:30" ht="15.75" thickBot="1">
      <c r="A13" s="1035">
        <v>3</v>
      </c>
      <c r="B13" s="1036" t="s">
        <v>59</v>
      </c>
      <c r="C13" s="1039">
        <f>'OBRA 01 - SINTÉTICA'!I19</f>
        <v>735374.61</v>
      </c>
      <c r="D13" s="1041">
        <f>'OBRA 01 - SINTÉTICA'!J19</f>
        <v>0.52297454810334709</v>
      </c>
      <c r="E13" s="1045">
        <f t="shared" ref="E13" si="5">D13+E10</f>
        <v>0.70163950358713967</v>
      </c>
      <c r="F13" s="280">
        <f>O13</f>
        <v>0</v>
      </c>
      <c r="G13" s="280">
        <f t="shared" ref="G13:I13" si="6">P13</f>
        <v>0</v>
      </c>
      <c r="H13" s="280">
        <f t="shared" si="6"/>
        <v>0</v>
      </c>
      <c r="I13" s="280">
        <f t="shared" si="6"/>
        <v>0</v>
      </c>
      <c r="J13" s="280">
        <f>S13</f>
        <v>4</v>
      </c>
      <c r="K13" s="280">
        <f t="shared" ref="K13" si="7">T13</f>
        <v>0</v>
      </c>
      <c r="L13" s="280">
        <f t="shared" ref="L13" si="8">U13</f>
        <v>0</v>
      </c>
      <c r="M13" s="549">
        <f t="shared" ref="M13" si="9">V13</f>
        <v>0</v>
      </c>
      <c r="N13">
        <f>SUM(O13:AD13)</f>
        <v>4</v>
      </c>
      <c r="O13" s="332">
        <v>0</v>
      </c>
      <c r="P13" s="332">
        <v>0</v>
      </c>
      <c r="Q13" s="332">
        <v>0</v>
      </c>
      <c r="R13" s="332">
        <v>0</v>
      </c>
      <c r="S13">
        <v>4</v>
      </c>
      <c r="T13">
        <v>0</v>
      </c>
      <c r="U13">
        <v>0</v>
      </c>
      <c r="V13">
        <v>0</v>
      </c>
      <c r="W13" s="332">
        <v>0</v>
      </c>
      <c r="X13" s="332">
        <v>0</v>
      </c>
      <c r="Y13" s="332">
        <v>0</v>
      </c>
      <c r="Z13" s="332">
        <v>0</v>
      </c>
      <c r="AA13">
        <v>0</v>
      </c>
      <c r="AB13">
        <v>0</v>
      </c>
      <c r="AC13">
        <v>0</v>
      </c>
      <c r="AD13">
        <v>0</v>
      </c>
    </row>
    <row r="14" spans="1:30" ht="15.75" thickBot="1">
      <c r="A14" s="1035"/>
      <c r="B14" s="1036"/>
      <c r="C14" s="1040"/>
      <c r="D14" s="1042"/>
      <c r="E14" s="1046"/>
      <c r="F14" s="1043">
        <f>SUM(F13:I13)/4</f>
        <v>0</v>
      </c>
      <c r="G14" s="1044"/>
      <c r="H14" s="1044"/>
      <c r="I14" s="1044"/>
      <c r="J14" s="1027">
        <f>SUM(J13:M13/N13)</f>
        <v>1</v>
      </c>
      <c r="K14" s="1025"/>
      <c r="L14" s="1025"/>
      <c r="M14" s="1026"/>
    </row>
    <row r="15" spans="1:30" ht="15.75" thickBot="1">
      <c r="A15" s="1035"/>
      <c r="B15" s="1036"/>
      <c r="C15" s="1040"/>
      <c r="D15" s="1042"/>
      <c r="E15" s="1047"/>
      <c r="F15" s="1037">
        <f>F12+(F14*C13/C28)</f>
        <v>0.17866495548379258</v>
      </c>
      <c r="G15" s="1038"/>
      <c r="H15" s="1038"/>
      <c r="I15" s="1038"/>
      <c r="J15" s="1048">
        <f>F27+J14*C13/C28</f>
        <v>0.8407357055165614</v>
      </c>
      <c r="K15" s="1048"/>
      <c r="L15" s="1048"/>
      <c r="M15" s="1049"/>
      <c r="N15">
        <f>SUM(O15:AD15)</f>
        <v>8</v>
      </c>
      <c r="O15" s="332">
        <v>0</v>
      </c>
      <c r="P15" s="332">
        <v>0</v>
      </c>
      <c r="Q15" s="332">
        <v>0</v>
      </c>
      <c r="R15" s="332">
        <v>4</v>
      </c>
      <c r="S15">
        <v>4</v>
      </c>
    </row>
    <row r="16" spans="1:30" ht="15.75" thickBot="1">
      <c r="A16" s="1035">
        <v>4</v>
      </c>
      <c r="B16" s="1036" t="s">
        <v>695</v>
      </c>
      <c r="C16" s="1039">
        <f>'OBRA 01 - SINTÉTICA'!I38</f>
        <v>147103.51</v>
      </c>
      <c r="D16" s="1041">
        <f>'OBRA 01 - SINTÉTICA'!J38</f>
        <v>0.10461524047813697</v>
      </c>
      <c r="E16" s="1045">
        <f t="shared" ref="E16" si="10">D16+E13</f>
        <v>0.80625474406527664</v>
      </c>
      <c r="F16" s="280">
        <f>O15</f>
        <v>0</v>
      </c>
      <c r="G16" s="280">
        <f t="shared" ref="G16:M16" si="11">P15</f>
        <v>0</v>
      </c>
      <c r="H16" s="280">
        <f t="shared" si="11"/>
        <v>0</v>
      </c>
      <c r="I16" s="280">
        <f t="shared" si="11"/>
        <v>4</v>
      </c>
      <c r="J16" s="280">
        <f t="shared" si="11"/>
        <v>4</v>
      </c>
      <c r="K16" s="280">
        <f t="shared" si="11"/>
        <v>0</v>
      </c>
      <c r="L16" s="280">
        <f t="shared" si="11"/>
        <v>0</v>
      </c>
      <c r="M16" s="549">
        <f t="shared" si="11"/>
        <v>0</v>
      </c>
    </row>
    <row r="17" spans="1:30" ht="15.75" thickBot="1">
      <c r="A17" s="1035"/>
      <c r="B17" s="1036"/>
      <c r="C17" s="1040"/>
      <c r="D17" s="1042"/>
      <c r="E17" s="1046"/>
      <c r="F17" s="1043">
        <f>SUM(F16:I16)/N15</f>
        <v>0.5</v>
      </c>
      <c r="G17" s="1044"/>
      <c r="H17" s="1044"/>
      <c r="I17" s="1044"/>
      <c r="J17" s="1043">
        <f>SUM(J16:M16/N15)</f>
        <v>0.5</v>
      </c>
      <c r="K17" s="1044"/>
      <c r="L17" s="1044"/>
      <c r="M17" s="1050"/>
    </row>
    <row r="18" spans="1:30" ht="15.75" thickBot="1">
      <c r="A18" s="1035"/>
      <c r="B18" s="1036"/>
      <c r="C18" s="1040"/>
      <c r="D18" s="1042"/>
      <c r="E18" s="1047"/>
      <c r="F18" s="1054">
        <f>F15+(F17*C16/C28)</f>
        <v>0.23097257572286106</v>
      </c>
      <c r="G18" s="1025"/>
      <c r="H18" s="1025"/>
      <c r="I18" s="1025"/>
      <c r="J18" s="1048">
        <f>J15+J17*C16/C28</f>
        <v>0.89304332575562995</v>
      </c>
      <c r="K18" s="1048"/>
      <c r="L18" s="1048"/>
      <c r="M18" s="1049"/>
    </row>
    <row r="19" spans="1:30" ht="15.75" thickBot="1">
      <c r="A19" s="1035">
        <v>5</v>
      </c>
      <c r="B19" s="1036" t="s">
        <v>81</v>
      </c>
      <c r="C19" s="1039">
        <f>'OBRA 01 - SINTÉTICA'!I41</f>
        <v>160267.61000000002</v>
      </c>
      <c r="D19" s="1041">
        <f>'OBRA 01 - SINTÉTICA'!J41</f>
        <v>0.11397712101503404</v>
      </c>
      <c r="E19" s="1045">
        <f t="shared" ref="E19" si="12">D19+E16</f>
        <v>0.92023186508031074</v>
      </c>
      <c r="F19" s="333">
        <f>O19</f>
        <v>1</v>
      </c>
      <c r="G19" s="333">
        <f t="shared" ref="G19:M19" si="13">P19</f>
        <v>1</v>
      </c>
      <c r="H19" s="333">
        <f t="shared" si="13"/>
        <v>1</v>
      </c>
      <c r="I19" s="333">
        <f t="shared" si="13"/>
        <v>1</v>
      </c>
      <c r="J19" s="333">
        <f t="shared" si="13"/>
        <v>4</v>
      </c>
      <c r="K19" s="333">
        <f t="shared" si="13"/>
        <v>0</v>
      </c>
      <c r="L19" s="333">
        <f t="shared" si="13"/>
        <v>0</v>
      </c>
      <c r="M19" s="547">
        <f t="shared" si="13"/>
        <v>0</v>
      </c>
      <c r="N19">
        <f>SUM(O19:AD19)</f>
        <v>8</v>
      </c>
      <c r="O19" s="332">
        <v>1</v>
      </c>
      <c r="P19" s="332">
        <v>1</v>
      </c>
      <c r="Q19" s="332">
        <v>1</v>
      </c>
      <c r="R19" s="332">
        <v>1</v>
      </c>
      <c r="S19">
        <v>4</v>
      </c>
      <c r="T19">
        <v>0</v>
      </c>
      <c r="U19">
        <v>0</v>
      </c>
      <c r="V19">
        <v>0</v>
      </c>
      <c r="W19" s="332">
        <v>0</v>
      </c>
      <c r="X19" s="332">
        <v>0</v>
      </c>
      <c r="Y19" s="332">
        <v>0</v>
      </c>
      <c r="Z19" s="332">
        <v>0</v>
      </c>
      <c r="AA19">
        <v>0</v>
      </c>
      <c r="AB19">
        <v>0</v>
      </c>
      <c r="AC19">
        <v>0</v>
      </c>
      <c r="AD19">
        <v>0</v>
      </c>
    </row>
    <row r="20" spans="1:30" ht="15.75" thickBot="1">
      <c r="A20" s="1035"/>
      <c r="B20" s="1036"/>
      <c r="C20" s="1040"/>
      <c r="D20" s="1042"/>
      <c r="E20" s="1046"/>
      <c r="F20" s="1043">
        <f>SUM(F19:I19)/N19</f>
        <v>0.5</v>
      </c>
      <c r="G20" s="1044"/>
      <c r="H20" s="1044"/>
      <c r="I20" s="1044"/>
      <c r="J20" s="1052">
        <f>SUM(J19:M19)/N19</f>
        <v>0.5</v>
      </c>
      <c r="K20" s="1044"/>
      <c r="L20" s="1044"/>
      <c r="M20" s="1050"/>
    </row>
    <row r="21" spans="1:30" ht="15.75" thickBot="1">
      <c r="A21" s="1035"/>
      <c r="B21" s="1036"/>
      <c r="C21" s="1040"/>
      <c r="D21" s="1042"/>
      <c r="E21" s="1047"/>
      <c r="F21" s="1054">
        <f>F18+F20*C19/C28</f>
        <v>0.28796113623037811</v>
      </c>
      <c r="G21" s="1025"/>
      <c r="H21" s="1025"/>
      <c r="I21" s="1025"/>
      <c r="J21" s="1048">
        <f>J18+J20*C19/C28</f>
        <v>0.95003188626314694</v>
      </c>
      <c r="K21" s="1048"/>
      <c r="L21" s="1048"/>
      <c r="M21" s="1049"/>
    </row>
    <row r="22" spans="1:30" ht="15.75" thickBot="1">
      <c r="A22" s="1035">
        <v>6</v>
      </c>
      <c r="B22" s="1036" t="s">
        <v>329</v>
      </c>
      <c r="C22" s="1039">
        <f>'OBRA 01 - SINTÉTICA'!I45</f>
        <v>28359.13</v>
      </c>
      <c r="D22" s="1041">
        <f>'OBRA 01 - SINTÉTICA'!J45</f>
        <v>2.016809255401689E-2</v>
      </c>
      <c r="E22" s="1045">
        <f t="shared" ref="E22" si="14">D22+E19</f>
        <v>0.9403999576343276</v>
      </c>
      <c r="F22" s="280">
        <f>O22</f>
        <v>0</v>
      </c>
      <c r="G22" s="280">
        <f t="shared" ref="G22:M22" si="15">P22</f>
        <v>0</v>
      </c>
      <c r="H22" s="280">
        <f t="shared" si="15"/>
        <v>0</v>
      </c>
      <c r="I22" s="280">
        <f t="shared" si="15"/>
        <v>0</v>
      </c>
      <c r="J22" s="280">
        <f t="shared" si="15"/>
        <v>0</v>
      </c>
      <c r="K22" s="280">
        <f t="shared" si="15"/>
        <v>4</v>
      </c>
      <c r="L22" s="280">
        <f t="shared" si="15"/>
        <v>0</v>
      </c>
      <c r="M22" s="549">
        <f t="shared" si="15"/>
        <v>0</v>
      </c>
      <c r="N22">
        <f>SUM(O22:AD22)</f>
        <v>4</v>
      </c>
      <c r="O22" s="332">
        <v>0</v>
      </c>
      <c r="P22" s="332">
        <v>0</v>
      </c>
      <c r="Q22" s="332">
        <v>0</v>
      </c>
      <c r="R22" s="332">
        <v>0</v>
      </c>
      <c r="S22" s="332">
        <v>0</v>
      </c>
      <c r="T22" s="332">
        <v>4</v>
      </c>
      <c r="U22" s="332">
        <v>0</v>
      </c>
      <c r="V22" s="332">
        <v>0</v>
      </c>
      <c r="W22" s="332">
        <v>0</v>
      </c>
      <c r="X22" s="332">
        <v>0</v>
      </c>
      <c r="Y22" s="332">
        <v>0</v>
      </c>
      <c r="Z22" s="332">
        <v>0</v>
      </c>
      <c r="AA22" s="332">
        <v>0</v>
      </c>
      <c r="AB22" s="332">
        <v>0</v>
      </c>
      <c r="AC22" s="332">
        <v>0</v>
      </c>
      <c r="AD22" s="332">
        <v>0</v>
      </c>
    </row>
    <row r="23" spans="1:30" ht="15.75" thickBot="1">
      <c r="A23" s="1035"/>
      <c r="B23" s="1036"/>
      <c r="C23" s="1040"/>
      <c r="D23" s="1042"/>
      <c r="E23" s="1046"/>
      <c r="F23" s="1053">
        <f>SUM(F22:I22)/N22</f>
        <v>0</v>
      </c>
      <c r="G23" s="1025"/>
      <c r="H23" s="1025"/>
      <c r="I23" s="1025"/>
      <c r="J23" s="1052">
        <f>SUM(J22:M22)/N22</f>
        <v>1</v>
      </c>
      <c r="K23" s="1044"/>
      <c r="L23" s="1044"/>
      <c r="M23" s="1050"/>
    </row>
    <row r="24" spans="1:30" ht="15.75" thickBot="1">
      <c r="A24" s="1035"/>
      <c r="B24" s="1036"/>
      <c r="C24" s="1040"/>
      <c r="D24" s="1042"/>
      <c r="E24" s="1047"/>
      <c r="F24" s="1054">
        <f>F21+F23*C22/C28</f>
        <v>0.28796113623037811</v>
      </c>
      <c r="G24" s="1025"/>
      <c r="H24" s="1025"/>
      <c r="I24" s="1025"/>
      <c r="J24" s="1048">
        <f>J21+J23*C22/C28</f>
        <v>0.9701999788171638</v>
      </c>
      <c r="K24" s="1048"/>
      <c r="L24" s="1048"/>
      <c r="M24" s="1049"/>
    </row>
    <row r="25" spans="1:30" ht="15.75" thickBot="1">
      <c r="A25" s="1035">
        <v>7</v>
      </c>
      <c r="B25" s="1061" t="s">
        <v>696</v>
      </c>
      <c r="C25" s="1039">
        <f>'OBRA 01 - SINTÉTICA'!I47</f>
        <v>83805.91</v>
      </c>
      <c r="D25" s="1041">
        <f>'OBRA 01 - SINTÉTICA'!J47</f>
        <v>5.9600042365672345E-2</v>
      </c>
      <c r="E25" s="1045">
        <f t="shared" ref="E25" si="16">D25+E22</f>
        <v>1</v>
      </c>
      <c r="F25" s="333">
        <f>O26</f>
        <v>1</v>
      </c>
      <c r="G25" s="333">
        <f t="shared" ref="G25:K25" si="17">P26</f>
        <v>1</v>
      </c>
      <c r="H25" s="333">
        <f t="shared" si="17"/>
        <v>1</v>
      </c>
      <c r="I25" s="333">
        <f t="shared" si="17"/>
        <v>1</v>
      </c>
      <c r="J25" s="333">
        <f t="shared" si="17"/>
        <v>2</v>
      </c>
      <c r="K25" s="333">
        <f t="shared" si="17"/>
        <v>2</v>
      </c>
      <c r="L25" s="325"/>
      <c r="M25" s="550"/>
    </row>
    <row r="26" spans="1:30" ht="15.75" thickBot="1">
      <c r="A26" s="1060"/>
      <c r="B26" s="1061"/>
      <c r="C26" s="1040"/>
      <c r="D26" s="1042"/>
      <c r="E26" s="1046"/>
      <c r="F26" s="1043">
        <f>SUM(F25:I25)/N26</f>
        <v>0.5</v>
      </c>
      <c r="G26" s="1044"/>
      <c r="H26" s="1044"/>
      <c r="I26" s="1044"/>
      <c r="J26" s="1052">
        <f>SUM(J25:K25)/N26</f>
        <v>0.5</v>
      </c>
      <c r="K26" s="1044"/>
      <c r="L26" s="1044"/>
      <c r="M26" s="1050"/>
      <c r="N26">
        <f>SUM(O26:T26)</f>
        <v>8</v>
      </c>
      <c r="O26" s="332">
        <v>1</v>
      </c>
      <c r="P26" s="332">
        <v>1</v>
      </c>
      <c r="Q26" s="332">
        <v>1</v>
      </c>
      <c r="R26" s="332">
        <v>1</v>
      </c>
      <c r="S26" s="332">
        <v>2</v>
      </c>
      <c r="T26" s="332">
        <v>2</v>
      </c>
    </row>
    <row r="27" spans="1:30" ht="15.75" thickBot="1">
      <c r="A27" s="1060"/>
      <c r="B27" s="1061"/>
      <c r="C27" s="1040"/>
      <c r="D27" s="1042"/>
      <c r="E27" s="1047"/>
      <c r="F27" s="1054">
        <f>F24+F26*C25/C28</f>
        <v>0.31776115741321431</v>
      </c>
      <c r="G27" s="1025"/>
      <c r="H27" s="1025"/>
      <c r="I27" s="1025"/>
      <c r="J27" s="1043">
        <f>J24+J26*(C25+F26)/C28</f>
        <v>1.0000001777918834</v>
      </c>
      <c r="K27" s="1043"/>
      <c r="L27" s="1043"/>
      <c r="M27" s="1051"/>
    </row>
    <row r="28" spans="1:30" ht="15.75" thickBot="1">
      <c r="A28" s="551"/>
      <c r="B28" s="327" t="s">
        <v>688</v>
      </c>
      <c r="C28" s="328">
        <f>SUM(C7:C27)</f>
        <v>1406138.43</v>
      </c>
      <c r="D28" s="329">
        <f>SUM(D7:D27)</f>
        <v>1</v>
      </c>
      <c r="E28" s="329"/>
      <c r="F28" s="330"/>
      <c r="G28" s="330"/>
      <c r="H28" s="330"/>
      <c r="I28" s="330"/>
      <c r="J28" s="317"/>
      <c r="K28" s="317"/>
      <c r="L28" s="317"/>
      <c r="M28" s="552"/>
    </row>
    <row r="29" spans="1:30" ht="18.75" thickBot="1">
      <c r="A29" s="1062" t="s">
        <v>691</v>
      </c>
      <c r="B29" s="939"/>
      <c r="C29" s="331"/>
      <c r="D29" s="331"/>
      <c r="E29" s="331"/>
      <c r="F29" s="1065">
        <f>F27*C28</f>
        <v>446816.17499999999</v>
      </c>
      <c r="G29" s="1065"/>
      <c r="H29" s="1065"/>
      <c r="I29" s="1065"/>
      <c r="J29" s="1065">
        <f>(C28-F29)</f>
        <v>959322.25499999989</v>
      </c>
      <c r="K29" s="1065"/>
      <c r="L29" s="1065"/>
      <c r="M29" s="1066"/>
    </row>
    <row r="30" spans="1:30" ht="18.75" thickBot="1">
      <c r="A30" s="1062" t="s">
        <v>692</v>
      </c>
      <c r="B30" s="939"/>
      <c r="C30" s="331"/>
      <c r="D30" s="331"/>
      <c r="E30" s="331"/>
      <c r="F30" s="1063">
        <f>F29/C28</f>
        <v>0.31776115741321431</v>
      </c>
      <c r="G30" s="1063"/>
      <c r="H30" s="1063"/>
      <c r="I30" s="1063"/>
      <c r="J30" s="1063">
        <f>J29/C28</f>
        <v>0.68223884258678569</v>
      </c>
      <c r="K30" s="1063"/>
      <c r="L30" s="1063"/>
      <c r="M30" s="1064"/>
    </row>
    <row r="31" spans="1:30" ht="18.75" thickBot="1">
      <c r="A31" s="1062" t="s">
        <v>693</v>
      </c>
      <c r="B31" s="939"/>
      <c r="C31" s="331"/>
      <c r="D31" s="331"/>
      <c r="E31" s="331"/>
      <c r="F31" s="1065">
        <f>F29</f>
        <v>446816.17499999999</v>
      </c>
      <c r="G31" s="1065"/>
      <c r="H31" s="1065"/>
      <c r="I31" s="1065"/>
      <c r="J31" s="1065">
        <f>F31+J29</f>
        <v>1406138.43</v>
      </c>
      <c r="K31" s="1065"/>
      <c r="L31" s="1065"/>
      <c r="M31" s="1066"/>
    </row>
    <row r="32" spans="1:30" ht="18.75" thickBot="1">
      <c r="A32" s="1055" t="s">
        <v>694</v>
      </c>
      <c r="B32" s="1056"/>
      <c r="C32" s="553"/>
      <c r="D32" s="553"/>
      <c r="E32" s="553"/>
      <c r="F32" s="1057">
        <f>F30</f>
        <v>0.31776115741321431</v>
      </c>
      <c r="G32" s="1057"/>
      <c r="H32" s="1057"/>
      <c r="I32" s="1057"/>
      <c r="J32" s="1058">
        <f>F32+J30</f>
        <v>1</v>
      </c>
      <c r="K32" s="1058"/>
      <c r="L32" s="1058"/>
      <c r="M32" s="1059"/>
    </row>
    <row r="33" spans="14:14">
      <c r="N33">
        <v>1</v>
      </c>
    </row>
    <row r="34" spans="14:14">
      <c r="N34">
        <v>2</v>
      </c>
    </row>
    <row r="35" spans="14:14">
      <c r="N35">
        <v>4</v>
      </c>
    </row>
    <row r="36" spans="14:14">
      <c r="N36">
        <v>0</v>
      </c>
    </row>
  </sheetData>
  <mergeCells count="82">
    <mergeCell ref="J11:M11"/>
    <mergeCell ref="J12:M12"/>
    <mergeCell ref="D19:D21"/>
    <mergeCell ref="E22:E24"/>
    <mergeCell ref="E25:E27"/>
    <mergeCell ref="F18:I18"/>
    <mergeCell ref="F20:I20"/>
    <mergeCell ref="F21:I21"/>
    <mergeCell ref="E10:E12"/>
    <mergeCell ref="E13:E15"/>
    <mergeCell ref="E16:E18"/>
    <mergeCell ref="E19:E21"/>
    <mergeCell ref="J23:M23"/>
    <mergeCell ref="J20:M20"/>
    <mergeCell ref="A32:B32"/>
    <mergeCell ref="F32:I32"/>
    <mergeCell ref="J32:M32"/>
    <mergeCell ref="A25:A27"/>
    <mergeCell ref="B25:B27"/>
    <mergeCell ref="C25:C27"/>
    <mergeCell ref="F27:I27"/>
    <mergeCell ref="A30:B30"/>
    <mergeCell ref="F30:I30"/>
    <mergeCell ref="J30:M30"/>
    <mergeCell ref="A31:B31"/>
    <mergeCell ref="F31:I31"/>
    <mergeCell ref="J31:M31"/>
    <mergeCell ref="A29:B29"/>
    <mergeCell ref="F29:I29"/>
    <mergeCell ref="J29:M29"/>
    <mergeCell ref="A22:A24"/>
    <mergeCell ref="B22:B24"/>
    <mergeCell ref="J24:M24"/>
    <mergeCell ref="J27:M27"/>
    <mergeCell ref="C22:C24"/>
    <mergeCell ref="J26:M26"/>
    <mergeCell ref="D22:D24"/>
    <mergeCell ref="D25:D27"/>
    <mergeCell ref="F23:I23"/>
    <mergeCell ref="F24:I24"/>
    <mergeCell ref="F26:I26"/>
    <mergeCell ref="A19:A21"/>
    <mergeCell ref="B19:B21"/>
    <mergeCell ref="J21:M21"/>
    <mergeCell ref="C16:C18"/>
    <mergeCell ref="C19:C21"/>
    <mergeCell ref="D16:D18"/>
    <mergeCell ref="F17:I17"/>
    <mergeCell ref="J17:M17"/>
    <mergeCell ref="A13:A15"/>
    <mergeCell ref="B13:B15"/>
    <mergeCell ref="F15:I15"/>
    <mergeCell ref="J15:M15"/>
    <mergeCell ref="A16:A18"/>
    <mergeCell ref="B16:B18"/>
    <mergeCell ref="J18:M18"/>
    <mergeCell ref="C13:C15"/>
    <mergeCell ref="D13:D15"/>
    <mergeCell ref="F14:I14"/>
    <mergeCell ref="J14:M14"/>
    <mergeCell ref="C1:I1"/>
    <mergeCell ref="A10:A12"/>
    <mergeCell ref="B10:B12"/>
    <mergeCell ref="F12:I12"/>
    <mergeCell ref="C7:C9"/>
    <mergeCell ref="C10:C12"/>
    <mergeCell ref="D7:D9"/>
    <mergeCell ref="D10:D12"/>
    <mergeCell ref="F11:I11"/>
    <mergeCell ref="F8:I8"/>
    <mergeCell ref="E7:E9"/>
    <mergeCell ref="A7:A9"/>
    <mergeCell ref="B7:B9"/>
    <mergeCell ref="F9:I9"/>
    <mergeCell ref="F5:I5"/>
    <mergeCell ref="J5:M5"/>
    <mergeCell ref="J9:M9"/>
    <mergeCell ref="J8:M8"/>
    <mergeCell ref="A2:M3"/>
    <mergeCell ref="A4:A6"/>
    <mergeCell ref="B4:B6"/>
    <mergeCell ref="F4:M4"/>
  </mergeCells>
  <phoneticPr fontId="18" type="noConversion"/>
  <conditionalFormatting sqref="F7:M7 F10:M10 F13:M13 F16:M16 F19:M19 F22:M22 F25:M25">
    <cfRule type="cellIs" dxfId="55" priority="9" operator="equal">
      <formula>0</formula>
    </cfRule>
  </conditionalFormatting>
  <conditionalFormatting sqref="F7:M7">
    <cfRule type="cellIs" dxfId="54" priority="3" operator="equal">
      <formula>$N$36</formula>
    </cfRule>
    <cfRule type="cellIs" dxfId="53" priority="4" operator="equal">
      <formula>$N$35</formula>
    </cfRule>
    <cfRule type="cellIs" dxfId="52" priority="11" operator="greaterThan">
      <formula>0</formula>
    </cfRule>
    <cfRule type="cellIs" dxfId="51" priority="12" operator="lessThan">
      <formula>1</formula>
    </cfRule>
    <cfRule type="cellIs" dxfId="50" priority="13" operator="greaterThan">
      <formula>0</formula>
    </cfRule>
  </conditionalFormatting>
  <conditionalFormatting sqref="F10:M10 F13:M13 F16:M16 F19:M19 F22:M22 F25:M25">
    <cfRule type="cellIs" dxfId="49" priority="1" operator="equal">
      <formula>0</formula>
    </cfRule>
    <cfRule type="cellIs" dxfId="48" priority="2" operator="greaterThan">
      <formula>0</formula>
    </cfRule>
    <cfRule type="cellIs" dxfId="47" priority="10" operator="greaterThan">
      <formula>0</formula>
    </cfRule>
  </conditionalFormatting>
  <pageMargins left="0.511811024" right="0.511811024" top="0.78740157499999996" bottom="0.78740157499999996" header="0.31496062000000002" footer="0.31496062000000002"/>
  <pageSetup paperSize="9" scale="79" fitToHeight="0" orientation="landscape" horizontalDpi="4294967295" verticalDpi="4294967295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62618BBF-DB65-4D11-95B8-902BE60E70FF}">
            <xm:f>NOT(ISERROR(SEARCH($N$34,F7)))</xm:f>
            <xm:f>$N$34</xm:f>
            <x14:dxf>
              <font>
                <color rgb="FFFF0000"/>
              </font>
            </x14:dxf>
          </x14:cfRule>
          <x14:cfRule type="containsText" priority="6" operator="containsText" id="{E83C5870-FF95-4117-A491-3472C85FE451}">
            <xm:f>NOT(ISERROR(SEARCH($N$33,F7)))</xm:f>
            <xm:f>$N$33</xm:f>
            <x14:dxf>
              <font>
                <color rgb="FFFF0000"/>
              </font>
            </x14:dxf>
          </x14:cfRule>
          <x14:cfRule type="containsText" priority="7" operator="containsText" id="{978979AA-7104-4A3C-BF93-C559BA4859BC}">
            <xm:f>NOT(ISERROR(SEARCH($N$33,F7)))</xm:f>
            <xm:f>$N$33</xm:f>
            <x14:dxf>
              <font>
                <color rgb="FFFF0000"/>
              </font>
              <numFmt numFmtId="0" formatCode="General"/>
              <fill>
                <patternFill>
                  <bgColor rgb="FFFF0000"/>
                </patternFill>
              </fill>
            </x14:dxf>
          </x14:cfRule>
          <xm:sqref>F7:M7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92"/>
  <sheetViews>
    <sheetView topLeftCell="A276" workbookViewId="0">
      <selection activeCell="J291" sqref="J291"/>
    </sheetView>
  </sheetViews>
  <sheetFormatPr defaultRowHeight="14.25" outlineLevelRow="1"/>
  <cols>
    <col min="2" max="4" width="7.75" style="87" customWidth="1"/>
    <col min="5" max="5" width="47.625" customWidth="1"/>
    <col min="6" max="8" width="8.75" style="87"/>
    <col min="9" max="9" width="11.5" style="87" customWidth="1"/>
    <col min="10" max="10" width="11.875" style="87" customWidth="1"/>
    <col min="11" max="11" width="8.125" style="87" bestFit="1" customWidth="1"/>
  </cols>
  <sheetData>
    <row r="1" spans="2:13" s="50" customFormat="1" ht="13.15" customHeight="1">
      <c r="B1" s="85"/>
      <c r="C1" s="85"/>
      <c r="D1" s="85"/>
      <c r="E1" s="49" t="s">
        <v>538</v>
      </c>
      <c r="F1" s="85"/>
      <c r="G1" s="85"/>
      <c r="H1" s="85" t="s">
        <v>1</v>
      </c>
      <c r="I1" s="1067" t="s">
        <v>2</v>
      </c>
      <c r="J1" s="1067"/>
      <c r="K1" s="1067"/>
    </row>
    <row r="2" spans="2:13" s="50" customFormat="1" ht="52.15" customHeight="1">
      <c r="B2" s="86"/>
      <c r="C2" s="86"/>
      <c r="D2" s="86"/>
      <c r="E2" s="83" t="s">
        <v>3</v>
      </c>
      <c r="F2" s="86"/>
      <c r="G2" s="86"/>
      <c r="H2" s="88" t="s">
        <v>4</v>
      </c>
      <c r="I2" s="1068" t="s">
        <v>5</v>
      </c>
      <c r="J2" s="1068"/>
      <c r="K2" s="1068"/>
    </row>
    <row r="3" spans="2:13" ht="15" thickBot="1"/>
    <row r="4" spans="2:13" ht="15" thickTop="1">
      <c r="B4" s="1069" t="s">
        <v>537</v>
      </c>
      <c r="C4" s="1070"/>
      <c r="D4" s="1070"/>
      <c r="E4" s="1070"/>
      <c r="F4" s="1070"/>
      <c r="G4" s="1070"/>
      <c r="H4" s="1070"/>
      <c r="I4" s="1070"/>
      <c r="J4" s="1070"/>
      <c r="K4" s="1071"/>
    </row>
    <row r="5" spans="2:13" s="50" customFormat="1" ht="25.5">
      <c r="B5" s="89" t="s">
        <v>547</v>
      </c>
      <c r="C5" s="90" t="s">
        <v>548</v>
      </c>
      <c r="D5" s="90" t="s">
        <v>549</v>
      </c>
      <c r="E5" s="91" t="s">
        <v>550</v>
      </c>
      <c r="F5" s="90" t="s">
        <v>551</v>
      </c>
      <c r="G5" s="90" t="s">
        <v>552</v>
      </c>
      <c r="H5" s="90" t="s">
        <v>553</v>
      </c>
      <c r="I5" s="90" t="s">
        <v>554</v>
      </c>
      <c r="J5" s="90" t="s">
        <v>539</v>
      </c>
      <c r="K5" s="92" t="s">
        <v>556</v>
      </c>
    </row>
    <row r="6" spans="2:13">
      <c r="B6" s="93"/>
      <c r="C6" s="94"/>
      <c r="D6" s="94"/>
      <c r="E6" s="95"/>
      <c r="F6" s="94"/>
      <c r="G6" s="94"/>
      <c r="H6" s="94"/>
      <c r="I6" s="94"/>
      <c r="J6" s="94" t="s">
        <v>555</v>
      </c>
      <c r="K6" s="96"/>
    </row>
    <row r="7" spans="2:13" ht="15">
      <c r="B7" s="97" t="s">
        <v>541</v>
      </c>
      <c r="C7" s="98"/>
      <c r="D7" s="98"/>
      <c r="E7" s="99" t="s">
        <v>532</v>
      </c>
      <c r="F7" s="98"/>
      <c r="G7" s="98"/>
      <c r="H7" s="98"/>
      <c r="I7" s="98"/>
      <c r="J7" s="100">
        <f>SUM(J9,J19,J27,J34,J46,J51,J57,J61)</f>
        <v>1456542.9500000002</v>
      </c>
      <c r="K7" s="101" t="e">
        <f>SUM(K9,K19,K27,K34,K46,K51,K57,K61)</f>
        <v>#N/A</v>
      </c>
    </row>
    <row r="8" spans="2:13" s="50" customFormat="1" ht="12.75">
      <c r="B8" s="102"/>
      <c r="C8" s="103"/>
      <c r="D8" s="103"/>
      <c r="E8" s="104"/>
      <c r="F8" s="103"/>
      <c r="G8" s="103"/>
      <c r="H8" s="103"/>
      <c r="I8" s="103"/>
      <c r="J8" s="103"/>
      <c r="K8" s="105"/>
    </row>
    <row r="9" spans="2:13" s="50" customFormat="1" ht="12.75">
      <c r="B9" s="89" t="s">
        <v>16</v>
      </c>
      <c r="C9" s="90"/>
      <c r="D9" s="90"/>
      <c r="E9" s="106" t="s">
        <v>17</v>
      </c>
      <c r="F9" s="90"/>
      <c r="G9" s="90"/>
      <c r="H9" s="90"/>
      <c r="I9" s="90"/>
      <c r="J9" s="107">
        <f>SUM(J11:J17)</f>
        <v>130944.7</v>
      </c>
      <c r="K9" s="108" t="e">
        <f>SUM(K11:K17)</f>
        <v>#N/A</v>
      </c>
    </row>
    <row r="10" spans="2:13" s="50" customFormat="1" ht="12.75" outlineLevel="1">
      <c r="B10" s="109"/>
      <c r="C10" s="110"/>
      <c r="D10" s="110"/>
      <c r="E10" s="111"/>
      <c r="F10" s="110"/>
      <c r="G10" s="110"/>
      <c r="H10" s="110"/>
      <c r="I10" s="110"/>
      <c r="J10" s="112"/>
      <c r="K10" s="113"/>
    </row>
    <row r="11" spans="2:13" s="50" customFormat="1" ht="12.75" outlineLevel="1">
      <c r="B11" s="114" t="s">
        <v>18</v>
      </c>
      <c r="C11" s="115" t="s">
        <v>302</v>
      </c>
      <c r="D11" s="115" t="s">
        <v>19</v>
      </c>
      <c r="E11" s="116" t="s">
        <v>20</v>
      </c>
      <c r="F11" s="115" t="s">
        <v>21</v>
      </c>
      <c r="G11" s="117">
        <f>VLOOKUP(B11,'OBRA 01 - MEMÓRIA'!$A:$O,15,0)</f>
        <v>6</v>
      </c>
      <c r="H11" s="117">
        <v>371.36</v>
      </c>
      <c r="I11" s="117">
        <f>TRUNC(H11*(1+$H$2),2)</f>
        <v>464.2</v>
      </c>
      <c r="J11" s="117">
        <f>TRUNC(G11*I11,2)</f>
        <v>2785.2</v>
      </c>
      <c r="K11" s="118" t="e">
        <f>J11/$J$291</f>
        <v>#N/A</v>
      </c>
      <c r="L11" s="51"/>
      <c r="M11" s="52"/>
    </row>
    <row r="12" spans="2:13" s="50" customFormat="1" ht="38.25" outlineLevel="1">
      <c r="B12" s="114" t="s">
        <v>22</v>
      </c>
      <c r="C12" s="115" t="s">
        <v>23</v>
      </c>
      <c r="D12" s="115" t="s">
        <v>24</v>
      </c>
      <c r="E12" s="116" t="s">
        <v>25</v>
      </c>
      <c r="F12" s="115" t="s">
        <v>21</v>
      </c>
      <c r="G12" s="117">
        <f>VLOOKUP(B12,'OBRA 01 - MEMÓRIA'!$A:$O,15,0)</f>
        <v>2946</v>
      </c>
      <c r="H12" s="117">
        <v>22.63</v>
      </c>
      <c r="I12" s="117">
        <f t="shared" ref="I12:I23" si="0">TRUNC(H12*(1+$H$2),2)</f>
        <v>28.28</v>
      </c>
      <c r="J12" s="117">
        <f t="shared" ref="J12:J23" si="1">TRUNC(G12*I12,2)</f>
        <v>83312.88</v>
      </c>
      <c r="K12" s="118" t="e">
        <f t="shared" ref="K12:K17" si="2">J12/$J$291</f>
        <v>#N/A</v>
      </c>
      <c r="L12" s="51"/>
      <c r="M12" s="52"/>
    </row>
    <row r="13" spans="2:13" s="50" customFormat="1" ht="12.75" outlineLevel="1">
      <c r="B13" s="114" t="s">
        <v>332</v>
      </c>
      <c r="C13" s="115" t="s">
        <v>361</v>
      </c>
      <c r="D13" s="115" t="s">
        <v>27</v>
      </c>
      <c r="E13" s="116" t="s">
        <v>559</v>
      </c>
      <c r="F13" s="115" t="s">
        <v>21</v>
      </c>
      <c r="G13" s="117">
        <f>VLOOKUP(B13,'OBRA 01 - MEMÓRIA'!$A:$O,15,0)</f>
        <v>380.8</v>
      </c>
      <c r="H13" s="117">
        <v>3.98</v>
      </c>
      <c r="I13" s="117">
        <f t="shared" si="0"/>
        <v>4.97</v>
      </c>
      <c r="J13" s="117">
        <f t="shared" si="1"/>
        <v>1892.57</v>
      </c>
      <c r="K13" s="118" t="e">
        <f t="shared" si="2"/>
        <v>#N/A</v>
      </c>
      <c r="L13" s="51"/>
      <c r="M13" s="52"/>
    </row>
    <row r="14" spans="2:13" s="50" customFormat="1" ht="12.75" outlineLevel="1">
      <c r="B14" s="114" t="s">
        <v>333</v>
      </c>
      <c r="C14" s="115" t="s">
        <v>29</v>
      </c>
      <c r="D14" s="115" t="s">
        <v>30</v>
      </c>
      <c r="E14" s="116" t="s">
        <v>560</v>
      </c>
      <c r="F14" s="115" t="s">
        <v>31</v>
      </c>
      <c r="G14" s="117">
        <f>VLOOKUP(B14,'OBRA 01 - MEMÓRIA'!$A:$O,15,0)</f>
        <v>732</v>
      </c>
      <c r="H14" s="117">
        <v>9.8000000000000007</v>
      </c>
      <c r="I14" s="117">
        <f t="shared" si="0"/>
        <v>12.25</v>
      </c>
      <c r="J14" s="117">
        <f t="shared" si="1"/>
        <v>8967</v>
      </c>
      <c r="K14" s="118" t="e">
        <f t="shared" si="2"/>
        <v>#N/A</v>
      </c>
      <c r="L14" s="51"/>
      <c r="M14" s="52"/>
    </row>
    <row r="15" spans="2:13" s="50" customFormat="1" ht="12.75" outlineLevel="1">
      <c r="B15" s="114" t="s">
        <v>334</v>
      </c>
      <c r="C15" s="115" t="s">
        <v>362</v>
      </c>
      <c r="D15" s="115" t="s">
        <v>27</v>
      </c>
      <c r="E15" s="116" t="s">
        <v>561</v>
      </c>
      <c r="F15" s="115" t="s">
        <v>28</v>
      </c>
      <c r="G15" s="117">
        <f>VLOOKUP(B15,'OBRA 01 - MEMÓRIA'!$A:$O,15,0)</f>
        <v>4.5</v>
      </c>
      <c r="H15" s="117">
        <v>395.45</v>
      </c>
      <c r="I15" s="117">
        <f t="shared" si="0"/>
        <v>494.31</v>
      </c>
      <c r="J15" s="117">
        <f t="shared" si="1"/>
        <v>2224.39</v>
      </c>
      <c r="K15" s="118" t="e">
        <f t="shared" si="2"/>
        <v>#N/A</v>
      </c>
      <c r="L15" s="51"/>
      <c r="M15" s="52"/>
    </row>
    <row r="16" spans="2:13" s="50" customFormat="1" ht="51" outlineLevel="1">
      <c r="B16" s="114" t="s">
        <v>364</v>
      </c>
      <c r="C16" s="115" t="s">
        <v>32</v>
      </c>
      <c r="D16" s="115" t="s">
        <v>24</v>
      </c>
      <c r="E16" s="116" t="s">
        <v>33</v>
      </c>
      <c r="F16" s="115" t="s">
        <v>28</v>
      </c>
      <c r="G16" s="117">
        <f>VLOOKUP(B16,'OBRA 01 - MEMÓRIA'!$A:$O,15,0)</f>
        <v>262.02500000000003</v>
      </c>
      <c r="H16" s="117">
        <v>9.3800000000000008</v>
      </c>
      <c r="I16" s="117">
        <f t="shared" si="0"/>
        <v>11.72</v>
      </c>
      <c r="J16" s="117">
        <f t="shared" si="1"/>
        <v>3070.93</v>
      </c>
      <c r="K16" s="118" t="e">
        <f t="shared" si="2"/>
        <v>#N/A</v>
      </c>
      <c r="L16" s="51"/>
      <c r="M16" s="52"/>
    </row>
    <row r="17" spans="2:13" s="50" customFormat="1" ht="38.25" outlineLevel="1">
      <c r="B17" s="114" t="s">
        <v>365</v>
      </c>
      <c r="C17" s="115" t="s">
        <v>34</v>
      </c>
      <c r="D17" s="115" t="s">
        <v>24</v>
      </c>
      <c r="E17" s="116" t="s">
        <v>35</v>
      </c>
      <c r="F17" s="115" t="s">
        <v>36</v>
      </c>
      <c r="G17" s="117">
        <f>VLOOKUP(B17,'OBRA 01 - MEMÓRIA'!$A:$O,15,0)</f>
        <v>7860.7500000000009</v>
      </c>
      <c r="H17" s="117">
        <v>2.92</v>
      </c>
      <c r="I17" s="117">
        <f t="shared" si="0"/>
        <v>3.65</v>
      </c>
      <c r="J17" s="117">
        <f>TRUNC(G17*I17,2)</f>
        <v>28691.73</v>
      </c>
      <c r="K17" s="118" t="e">
        <f t="shared" si="2"/>
        <v>#N/A</v>
      </c>
      <c r="L17" s="51"/>
      <c r="M17" s="52"/>
    </row>
    <row r="18" spans="2:13" s="50" customFormat="1" ht="12.75">
      <c r="B18" s="114"/>
      <c r="C18" s="115"/>
      <c r="D18" s="115"/>
      <c r="E18" s="116" t="s">
        <v>136</v>
      </c>
      <c r="F18" s="115"/>
      <c r="G18" s="117"/>
      <c r="H18" s="117"/>
      <c r="I18" s="117"/>
      <c r="J18" s="117"/>
      <c r="K18" s="118"/>
      <c r="L18" s="51"/>
      <c r="M18" s="52"/>
    </row>
    <row r="19" spans="2:13" s="50" customFormat="1" ht="12.75">
      <c r="B19" s="89" t="s">
        <v>37</v>
      </c>
      <c r="C19" s="90"/>
      <c r="D19" s="90"/>
      <c r="E19" s="106" t="s">
        <v>38</v>
      </c>
      <c r="F19" s="90"/>
      <c r="G19" s="90"/>
      <c r="H19" s="90"/>
      <c r="I19" s="90"/>
      <c r="J19" s="107">
        <f>SUM(J21:J23)</f>
        <v>126532.53</v>
      </c>
      <c r="K19" s="108" t="e">
        <f>SUM(K21:K23)</f>
        <v>#N/A</v>
      </c>
      <c r="L19" s="51"/>
      <c r="M19" s="52"/>
    </row>
    <row r="20" spans="2:13" s="50" customFormat="1" ht="12.75" outlineLevel="1">
      <c r="B20" s="109"/>
      <c r="C20" s="110"/>
      <c r="D20" s="110"/>
      <c r="E20" s="111" t="s">
        <v>136</v>
      </c>
      <c r="F20" s="110"/>
      <c r="G20" s="110"/>
      <c r="H20" s="110"/>
      <c r="I20" s="110"/>
      <c r="J20" s="112"/>
      <c r="K20" s="113"/>
      <c r="L20" s="51"/>
      <c r="M20" s="52"/>
    </row>
    <row r="21" spans="2:13" s="50" customFormat="1" ht="38.25" outlineLevel="1">
      <c r="B21" s="114" t="s">
        <v>39</v>
      </c>
      <c r="C21" s="115">
        <v>101124</v>
      </c>
      <c r="D21" s="115" t="s">
        <v>24</v>
      </c>
      <c r="E21" s="116" t="s">
        <v>397</v>
      </c>
      <c r="F21" s="115" t="s">
        <v>28</v>
      </c>
      <c r="G21" s="117">
        <f>VLOOKUP(B21,'OBRA 01 - MEMÓRIA'!$A:$O,15,0)</f>
        <v>780.80000000000007</v>
      </c>
      <c r="H21" s="117">
        <v>15.26</v>
      </c>
      <c r="I21" s="117">
        <f t="shared" si="0"/>
        <v>19.07</v>
      </c>
      <c r="J21" s="117">
        <f t="shared" si="1"/>
        <v>14889.85</v>
      </c>
      <c r="K21" s="118" t="e">
        <f t="shared" ref="K21:K23" si="3">J21/$J$291</f>
        <v>#N/A</v>
      </c>
      <c r="L21" s="51"/>
      <c r="M21" s="52"/>
    </row>
    <row r="22" spans="2:13" s="50" customFormat="1" ht="25.5" outlineLevel="1">
      <c r="B22" s="114" t="s">
        <v>40</v>
      </c>
      <c r="C22" s="115" t="s">
        <v>41</v>
      </c>
      <c r="D22" s="115" t="s">
        <v>27</v>
      </c>
      <c r="E22" s="116" t="s">
        <v>562</v>
      </c>
      <c r="F22" s="115" t="s">
        <v>28</v>
      </c>
      <c r="G22" s="117">
        <f>VLOOKUP(B22,'OBRA 01 - MEMÓRIA'!$A:$O,15,0)</f>
        <v>780.80000000000007</v>
      </c>
      <c r="H22" s="117">
        <v>4.8899999999999997</v>
      </c>
      <c r="I22" s="117">
        <f t="shared" si="0"/>
        <v>6.11</v>
      </c>
      <c r="J22" s="117">
        <f t="shared" si="1"/>
        <v>4770.68</v>
      </c>
      <c r="K22" s="118" t="e">
        <f t="shared" si="3"/>
        <v>#N/A</v>
      </c>
      <c r="L22" s="51"/>
      <c r="M22" s="52"/>
    </row>
    <row r="23" spans="2:13" s="50" customFormat="1" ht="38.25" outlineLevel="1">
      <c r="B23" s="114" t="s">
        <v>396</v>
      </c>
      <c r="C23" s="115" t="s">
        <v>34</v>
      </c>
      <c r="D23" s="115" t="s">
        <v>24</v>
      </c>
      <c r="E23" s="116" t="s">
        <v>35</v>
      </c>
      <c r="F23" s="115" t="s">
        <v>36</v>
      </c>
      <c r="G23" s="117">
        <f>VLOOKUP(B23,'OBRA 01 - MEMÓRIA'!$A:$O,15,0)</f>
        <v>29280.000000000004</v>
      </c>
      <c r="H23" s="117">
        <v>2.92</v>
      </c>
      <c r="I23" s="117">
        <f t="shared" si="0"/>
        <v>3.65</v>
      </c>
      <c r="J23" s="117">
        <f t="shared" si="1"/>
        <v>106872</v>
      </c>
      <c r="K23" s="118" t="e">
        <f t="shared" si="3"/>
        <v>#N/A</v>
      </c>
      <c r="L23" s="51"/>
      <c r="M23" s="52"/>
    </row>
    <row r="24" spans="2:13" s="50" customFormat="1" ht="12.75">
      <c r="B24" s="114"/>
      <c r="C24" s="115"/>
      <c r="D24" s="115"/>
      <c r="E24" s="116" t="s">
        <v>136</v>
      </c>
      <c r="F24" s="115"/>
      <c r="G24" s="117"/>
      <c r="H24" s="117"/>
      <c r="I24" s="117"/>
      <c r="J24" s="117"/>
      <c r="K24" s="118"/>
      <c r="L24" s="51"/>
      <c r="M24" s="52"/>
    </row>
    <row r="25" spans="2:13" s="50" customFormat="1" ht="12.75">
      <c r="B25" s="89" t="s">
        <v>44</v>
      </c>
      <c r="C25" s="90"/>
      <c r="D25" s="90"/>
      <c r="E25" s="106" t="s">
        <v>45</v>
      </c>
      <c r="F25" s="90"/>
      <c r="G25" s="90"/>
      <c r="H25" s="90"/>
      <c r="I25" s="90"/>
      <c r="J25" s="107">
        <f>J27+J34</f>
        <v>756394.97000000009</v>
      </c>
      <c r="K25" s="108" t="e">
        <f>K27+K34</f>
        <v>#N/A</v>
      </c>
      <c r="L25" s="51"/>
      <c r="M25" s="52"/>
    </row>
    <row r="26" spans="2:13" s="50" customFormat="1" ht="12.75" outlineLevel="1">
      <c r="B26" s="109"/>
      <c r="C26" s="110"/>
      <c r="D26" s="110"/>
      <c r="E26" s="111" t="s">
        <v>136</v>
      </c>
      <c r="F26" s="110"/>
      <c r="G26" s="110"/>
      <c r="H26" s="110"/>
      <c r="I26" s="110"/>
      <c r="J26" s="112"/>
      <c r="K26" s="113"/>
      <c r="L26" s="51"/>
      <c r="M26" s="52"/>
    </row>
    <row r="27" spans="2:13" s="50" customFormat="1" ht="12.75" outlineLevel="1">
      <c r="B27" s="119" t="s">
        <v>46</v>
      </c>
      <c r="C27" s="120"/>
      <c r="D27" s="120"/>
      <c r="E27" s="121" t="s">
        <v>47</v>
      </c>
      <c r="F27" s="120"/>
      <c r="G27" s="120"/>
      <c r="H27" s="120"/>
      <c r="I27" s="120"/>
      <c r="J27" s="122">
        <f>SUM(J28:J33)</f>
        <v>462680.29000000004</v>
      </c>
      <c r="K27" s="123" t="e">
        <f>SUM(K28:K33)</f>
        <v>#N/A</v>
      </c>
      <c r="L27" s="51"/>
      <c r="M27" s="52"/>
    </row>
    <row r="28" spans="2:13" s="50" customFormat="1" ht="25.5" outlineLevel="1">
      <c r="B28" s="114" t="s">
        <v>48</v>
      </c>
      <c r="C28" s="115" t="s">
        <v>49</v>
      </c>
      <c r="D28" s="115" t="s">
        <v>24</v>
      </c>
      <c r="E28" s="116" t="s">
        <v>50</v>
      </c>
      <c r="F28" s="115" t="s">
        <v>21</v>
      </c>
      <c r="G28" s="117">
        <f>VLOOKUP(B28,'OBRA 01 - MEMÓRIA'!$A:$O,15,0)</f>
        <v>1952</v>
      </c>
      <c r="H28" s="117">
        <v>1.25</v>
      </c>
      <c r="I28" s="117">
        <f t="shared" ref="I28:I33" si="4">TRUNC(H28*(1+$H$2),2)</f>
        <v>1.56</v>
      </c>
      <c r="J28" s="117">
        <f t="shared" ref="J28:J33" si="5">TRUNC(G28*I28,2)</f>
        <v>3045.12</v>
      </c>
      <c r="K28" s="118" t="e">
        <f t="shared" ref="K28:K33" si="6">J28/$J$291</f>
        <v>#N/A</v>
      </c>
      <c r="L28" s="51"/>
      <c r="M28" s="52"/>
    </row>
    <row r="29" spans="2:13" s="50" customFormat="1" ht="51" outlineLevel="1">
      <c r="B29" s="114" t="s">
        <v>51</v>
      </c>
      <c r="C29" s="115" t="s">
        <v>52</v>
      </c>
      <c r="D29" s="115" t="s">
        <v>24</v>
      </c>
      <c r="E29" s="116" t="s">
        <v>53</v>
      </c>
      <c r="F29" s="115" t="s">
        <v>28</v>
      </c>
      <c r="G29" s="117">
        <f>VLOOKUP(B29,'OBRA 01 - MEMÓRIA'!$A:$O,15,0)</f>
        <v>390.40000000000003</v>
      </c>
      <c r="H29" s="117">
        <v>95.63</v>
      </c>
      <c r="I29" s="117">
        <f t="shared" si="4"/>
        <v>119.53</v>
      </c>
      <c r="J29" s="117">
        <f t="shared" si="5"/>
        <v>46664.51</v>
      </c>
      <c r="K29" s="118" t="e">
        <f t="shared" si="6"/>
        <v>#N/A</v>
      </c>
      <c r="L29" s="51"/>
      <c r="M29" s="52"/>
    </row>
    <row r="30" spans="2:13" s="50" customFormat="1" ht="38.25" outlineLevel="1">
      <c r="B30" s="114" t="s">
        <v>368</v>
      </c>
      <c r="C30" s="115" t="s">
        <v>307</v>
      </c>
      <c r="D30" s="115" t="s">
        <v>24</v>
      </c>
      <c r="E30" s="116" t="s">
        <v>308</v>
      </c>
      <c r="F30" s="115" t="s">
        <v>28</v>
      </c>
      <c r="G30" s="117">
        <f>VLOOKUP(B30,'OBRA 01 - MEMÓRIA'!$A:$O,15,0)</f>
        <v>244.00000000000003</v>
      </c>
      <c r="H30" s="117">
        <v>60.92</v>
      </c>
      <c r="I30" s="117">
        <f t="shared" si="4"/>
        <v>76.150000000000006</v>
      </c>
      <c r="J30" s="117">
        <f t="shared" si="5"/>
        <v>18580.599999999999</v>
      </c>
      <c r="K30" s="118" t="e">
        <f t="shared" si="6"/>
        <v>#N/A</v>
      </c>
      <c r="L30" s="51"/>
      <c r="M30" s="52"/>
    </row>
    <row r="31" spans="2:13" s="50" customFormat="1" ht="38.25" outlineLevel="1">
      <c r="B31" s="114" t="s">
        <v>309</v>
      </c>
      <c r="C31" s="115" t="s">
        <v>54</v>
      </c>
      <c r="D31" s="115" t="s">
        <v>24</v>
      </c>
      <c r="E31" s="116" t="s">
        <v>55</v>
      </c>
      <c r="F31" s="115" t="s">
        <v>28</v>
      </c>
      <c r="G31" s="117">
        <f>VLOOKUP(B31,'OBRA 01 - MEMÓRIA'!$A:$O,15,0)</f>
        <v>979.6</v>
      </c>
      <c r="H31" s="117">
        <v>179.88</v>
      </c>
      <c r="I31" s="117">
        <f t="shared" si="4"/>
        <v>224.85</v>
      </c>
      <c r="J31" s="117">
        <f t="shared" si="5"/>
        <v>220263.06</v>
      </c>
      <c r="K31" s="118" t="e">
        <f t="shared" si="6"/>
        <v>#N/A</v>
      </c>
      <c r="L31" s="51"/>
      <c r="M31" s="52"/>
    </row>
    <row r="32" spans="2:13" s="50" customFormat="1" ht="63.75" outlineLevel="1">
      <c r="B32" s="114" t="s">
        <v>326</v>
      </c>
      <c r="C32" s="115" t="s">
        <v>42</v>
      </c>
      <c r="D32" s="115" t="s">
        <v>24</v>
      </c>
      <c r="E32" s="116" t="s">
        <v>43</v>
      </c>
      <c r="F32" s="115" t="s">
        <v>28</v>
      </c>
      <c r="G32" s="117">
        <f>VLOOKUP(B32,'OBRA 01 - MEMÓRIA'!$A:$O,15,0)</f>
        <v>1712.5</v>
      </c>
      <c r="H32" s="117">
        <v>7.67</v>
      </c>
      <c r="I32" s="117">
        <f t="shared" si="4"/>
        <v>9.58</v>
      </c>
      <c r="J32" s="117">
        <f t="shared" si="5"/>
        <v>16405.75</v>
      </c>
      <c r="K32" s="118" t="e">
        <f t="shared" si="6"/>
        <v>#N/A</v>
      </c>
      <c r="L32" s="51"/>
      <c r="M32" s="52"/>
    </row>
    <row r="33" spans="2:13" s="50" customFormat="1" ht="38.25" outlineLevel="1">
      <c r="B33" s="114" t="s">
        <v>327</v>
      </c>
      <c r="C33" s="115" t="s">
        <v>56</v>
      </c>
      <c r="D33" s="115" t="s">
        <v>24</v>
      </c>
      <c r="E33" s="116" t="s">
        <v>57</v>
      </c>
      <c r="F33" s="115" t="s">
        <v>36</v>
      </c>
      <c r="G33" s="117">
        <f>VLOOKUP(B33,'OBRA 01 - MEMÓRIA'!$A:$O,15,0)</f>
        <v>51375</v>
      </c>
      <c r="H33" s="117">
        <v>2.46</v>
      </c>
      <c r="I33" s="117">
        <f t="shared" si="4"/>
        <v>3.07</v>
      </c>
      <c r="J33" s="117">
        <f t="shared" si="5"/>
        <v>157721.25</v>
      </c>
      <c r="K33" s="118" t="e">
        <f t="shared" si="6"/>
        <v>#N/A</v>
      </c>
      <c r="L33" s="51"/>
      <c r="M33" s="52"/>
    </row>
    <row r="34" spans="2:13" s="50" customFormat="1" ht="12.75" outlineLevel="1">
      <c r="B34" s="119" t="s">
        <v>58</v>
      </c>
      <c r="C34" s="120"/>
      <c r="D34" s="120"/>
      <c r="E34" s="121" t="s">
        <v>59</v>
      </c>
      <c r="F34" s="120"/>
      <c r="G34" s="120"/>
      <c r="H34" s="120"/>
      <c r="I34" s="120"/>
      <c r="J34" s="122">
        <f>SUM(J35:J44)</f>
        <v>293714.68000000005</v>
      </c>
      <c r="K34" s="123" t="e">
        <f>SUM(K35:K44)</f>
        <v>#N/A</v>
      </c>
      <c r="L34" s="51"/>
      <c r="M34" s="52"/>
    </row>
    <row r="35" spans="2:13" s="50" customFormat="1" ht="12.75" outlineLevel="1">
      <c r="B35" s="114" t="s">
        <v>335</v>
      </c>
      <c r="C35" s="115" t="s">
        <v>62</v>
      </c>
      <c r="D35" s="115" t="s">
        <v>27</v>
      </c>
      <c r="E35" s="116" t="s">
        <v>563</v>
      </c>
      <c r="F35" s="115" t="s">
        <v>21</v>
      </c>
      <c r="G35" s="117">
        <f>VLOOKUP(B35,'OBRA 01 - MEMÓRIA'!$A:$O,15,0)</f>
        <v>3701.62</v>
      </c>
      <c r="H35" s="117">
        <v>0.4</v>
      </c>
      <c r="I35" s="117">
        <f t="shared" ref="I35:I44" si="7">TRUNC(H35*(1+$H$2),2)</f>
        <v>0.5</v>
      </c>
      <c r="J35" s="117">
        <f t="shared" ref="J35:J44" si="8">TRUNC(G35*I35,2)</f>
        <v>1850.81</v>
      </c>
      <c r="K35" s="118" t="e">
        <f t="shared" ref="K35:K44" si="9">J35/$J$291</f>
        <v>#N/A</v>
      </c>
      <c r="L35" s="51"/>
      <c r="M35" s="52"/>
    </row>
    <row r="36" spans="2:13" s="50" customFormat="1" ht="12.75" outlineLevel="1">
      <c r="B36" s="114" t="s">
        <v>336</v>
      </c>
      <c r="C36" s="115" t="s">
        <v>63</v>
      </c>
      <c r="D36" s="115" t="s">
        <v>27</v>
      </c>
      <c r="E36" s="116" t="s">
        <v>564</v>
      </c>
      <c r="F36" s="115" t="s">
        <v>21</v>
      </c>
      <c r="G36" s="117">
        <f>VLOOKUP(B36,'OBRA 01 - MEMÓRIA'!$A:$O,15,0)</f>
        <v>3701.62</v>
      </c>
      <c r="H36" s="117">
        <v>0.28000000000000003</v>
      </c>
      <c r="I36" s="117">
        <f t="shared" si="7"/>
        <v>0.35</v>
      </c>
      <c r="J36" s="117">
        <f t="shared" si="8"/>
        <v>1295.56</v>
      </c>
      <c r="K36" s="118" t="e">
        <f t="shared" si="9"/>
        <v>#N/A</v>
      </c>
      <c r="L36" s="51"/>
      <c r="M36" s="52"/>
    </row>
    <row r="37" spans="2:13" s="50" customFormat="1" ht="25.5" outlineLevel="1">
      <c r="B37" s="114" t="s">
        <v>337</v>
      </c>
      <c r="C37" s="115" t="s">
        <v>60</v>
      </c>
      <c r="D37" s="115" t="s">
        <v>27</v>
      </c>
      <c r="E37" s="116" t="s">
        <v>565</v>
      </c>
      <c r="F37" s="115" t="s">
        <v>61</v>
      </c>
      <c r="G37" s="117">
        <f>VLOOKUP(B37,'OBRA 01 - MEMÓRIA'!$A:$O,15,0)</f>
        <v>444.19439999999997</v>
      </c>
      <c r="H37" s="117">
        <v>193.45</v>
      </c>
      <c r="I37" s="117">
        <f t="shared" si="7"/>
        <v>241.81</v>
      </c>
      <c r="J37" s="117">
        <f t="shared" si="8"/>
        <v>107410.64</v>
      </c>
      <c r="K37" s="118" t="e">
        <f t="shared" si="9"/>
        <v>#N/A</v>
      </c>
      <c r="L37" s="51"/>
      <c r="M37" s="52"/>
    </row>
    <row r="38" spans="2:13" s="50" customFormat="1" ht="38.25" outlineLevel="1">
      <c r="B38" s="114" t="s">
        <v>338</v>
      </c>
      <c r="C38" s="115" t="s">
        <v>56</v>
      </c>
      <c r="D38" s="115" t="s">
        <v>24</v>
      </c>
      <c r="E38" s="116" t="s">
        <v>57</v>
      </c>
      <c r="F38" s="115" t="s">
        <v>36</v>
      </c>
      <c r="G38" s="117">
        <f>VLOOKUP(B38,'OBRA 01 - MEMÓRIA'!$A:$O,15,0)</f>
        <v>5552.43</v>
      </c>
      <c r="H38" s="117">
        <v>2.46</v>
      </c>
      <c r="I38" s="117">
        <f t="shared" si="7"/>
        <v>3.07</v>
      </c>
      <c r="J38" s="117">
        <f t="shared" si="8"/>
        <v>17045.96</v>
      </c>
      <c r="K38" s="118" t="e">
        <f t="shared" si="9"/>
        <v>#N/A</v>
      </c>
      <c r="L38" s="51"/>
      <c r="M38" s="52"/>
    </row>
    <row r="39" spans="2:13" s="50" customFormat="1" ht="51" outlineLevel="1">
      <c r="B39" s="114" t="s">
        <v>339</v>
      </c>
      <c r="C39" s="115" t="s">
        <v>64</v>
      </c>
      <c r="D39" s="115" t="s">
        <v>24</v>
      </c>
      <c r="E39" s="116" t="s">
        <v>65</v>
      </c>
      <c r="F39" s="115" t="s">
        <v>66</v>
      </c>
      <c r="G39" s="117">
        <f>VLOOKUP(B39,'OBRA 01 - MEMÓRIA'!$A:$O,15,0)</f>
        <v>1053.7179556799999</v>
      </c>
      <c r="H39" s="117">
        <v>1.42</v>
      </c>
      <c r="I39" s="117">
        <f t="shared" si="7"/>
        <v>1.77</v>
      </c>
      <c r="J39" s="117">
        <f t="shared" si="8"/>
        <v>1865.08</v>
      </c>
      <c r="K39" s="118" t="e">
        <f t="shared" si="9"/>
        <v>#N/A</v>
      </c>
      <c r="L39" s="51"/>
      <c r="M39" s="52"/>
    </row>
    <row r="40" spans="2:13" s="50" customFormat="1" ht="51" outlineLevel="1">
      <c r="B40" s="114" t="s">
        <v>340</v>
      </c>
      <c r="C40" s="115" t="s">
        <v>67</v>
      </c>
      <c r="D40" s="115" t="s">
        <v>24</v>
      </c>
      <c r="E40" s="116" t="s">
        <v>68</v>
      </c>
      <c r="F40" s="115" t="s">
        <v>66</v>
      </c>
      <c r="G40" s="117">
        <f>VLOOKUP(B40,'OBRA 01 - MEMÓRIA'!$A:$O,15,0)</f>
        <v>16508.247972319998</v>
      </c>
      <c r="H40" s="117">
        <v>0.55000000000000004</v>
      </c>
      <c r="I40" s="117">
        <f t="shared" si="7"/>
        <v>0.68</v>
      </c>
      <c r="J40" s="117">
        <f t="shared" si="8"/>
        <v>11225.6</v>
      </c>
      <c r="K40" s="118" t="e">
        <f t="shared" si="9"/>
        <v>#N/A</v>
      </c>
      <c r="L40" s="51"/>
      <c r="M40" s="52"/>
    </row>
    <row r="41" spans="2:13" s="50" customFormat="1" ht="25.5" outlineLevel="1">
      <c r="B41" s="114" t="s">
        <v>341</v>
      </c>
      <c r="C41" s="115" t="s">
        <v>69</v>
      </c>
      <c r="D41" s="115" t="s">
        <v>19</v>
      </c>
      <c r="E41" s="116" t="s">
        <v>70</v>
      </c>
      <c r="F41" s="115" t="s">
        <v>21</v>
      </c>
      <c r="G41" s="117">
        <f>VLOOKUP(B41,'OBRA 01 - MEMÓRIA'!$A:$O,15,0)</f>
        <v>3701.62</v>
      </c>
      <c r="H41" s="117">
        <v>0.56000000000000005</v>
      </c>
      <c r="I41" s="117">
        <f t="shared" si="7"/>
        <v>0.7</v>
      </c>
      <c r="J41" s="117">
        <f t="shared" si="8"/>
        <v>2591.13</v>
      </c>
      <c r="K41" s="118" t="e">
        <f t="shared" si="9"/>
        <v>#N/A</v>
      </c>
      <c r="L41" s="51"/>
      <c r="M41" s="52"/>
    </row>
    <row r="42" spans="2:13" s="50" customFormat="1" ht="12.75" outlineLevel="1">
      <c r="B42" s="114" t="s">
        <v>342</v>
      </c>
      <c r="C42" s="115" t="s">
        <v>303</v>
      </c>
      <c r="D42" s="115" t="s">
        <v>303</v>
      </c>
      <c r="E42" s="116" t="s">
        <v>304</v>
      </c>
      <c r="F42" s="115" t="s">
        <v>306</v>
      </c>
      <c r="G42" s="117">
        <f>VLOOKUP(B42,'OBRA 01 - MEMÓRIA'!$A:$O,15,0)</f>
        <v>1.665729</v>
      </c>
      <c r="H42" s="117">
        <v>2476.5828477621599</v>
      </c>
      <c r="I42" s="117">
        <f t="shared" si="7"/>
        <v>3095.72</v>
      </c>
      <c r="J42" s="117">
        <f t="shared" si="8"/>
        <v>5156.63</v>
      </c>
      <c r="K42" s="118" t="e">
        <f t="shared" si="9"/>
        <v>#N/A</v>
      </c>
      <c r="L42" s="51"/>
      <c r="M42" s="52"/>
    </row>
    <row r="43" spans="2:13" s="50" customFormat="1" ht="25.5" outlineLevel="1">
      <c r="B43" s="114" t="s">
        <v>343</v>
      </c>
      <c r="C43" s="115" t="s">
        <v>303</v>
      </c>
      <c r="D43" s="115" t="s">
        <v>303</v>
      </c>
      <c r="E43" s="116" t="s">
        <v>305</v>
      </c>
      <c r="F43" s="115" t="s">
        <v>306</v>
      </c>
      <c r="G43" s="117">
        <f>VLOOKUP(B43,'OBRA 01 - MEMÓRIA'!$A:$O,15,0)</f>
        <v>4.812106</v>
      </c>
      <c r="H43" s="117">
        <v>2154.5899369827707</v>
      </c>
      <c r="I43" s="117">
        <f t="shared" si="7"/>
        <v>2693.23</v>
      </c>
      <c r="J43" s="117">
        <f t="shared" si="8"/>
        <v>12960.1</v>
      </c>
      <c r="K43" s="118" t="e">
        <f t="shared" si="9"/>
        <v>#N/A</v>
      </c>
      <c r="L43" s="51"/>
      <c r="M43" s="52"/>
    </row>
    <row r="44" spans="2:13" s="50" customFormat="1" ht="12.75" outlineLevel="1">
      <c r="B44" s="114" t="s">
        <v>344</v>
      </c>
      <c r="C44" s="115" t="s">
        <v>303</v>
      </c>
      <c r="D44" s="115" t="s">
        <v>303</v>
      </c>
      <c r="E44" s="116" t="s">
        <v>310</v>
      </c>
      <c r="F44" s="115" t="s">
        <v>306</v>
      </c>
      <c r="G44" s="117">
        <f>VLOOKUP(B44,'OBRA 01 - MEMÓRIA'!$A:$O,15,0)</f>
        <v>28.646096856</v>
      </c>
      <c r="H44" s="117">
        <v>3695.1146119195641</v>
      </c>
      <c r="I44" s="117">
        <f t="shared" si="7"/>
        <v>4618.8900000000003</v>
      </c>
      <c r="J44" s="117">
        <f t="shared" si="8"/>
        <v>132313.17000000001</v>
      </c>
      <c r="K44" s="118" t="e">
        <f t="shared" si="9"/>
        <v>#N/A</v>
      </c>
      <c r="L44" s="51"/>
      <c r="M44" s="52"/>
    </row>
    <row r="45" spans="2:13" s="50" customFormat="1" ht="12.75">
      <c r="B45" s="114"/>
      <c r="C45" s="115"/>
      <c r="D45" s="115"/>
      <c r="E45" s="116" t="s">
        <v>136</v>
      </c>
      <c r="F45" s="115"/>
      <c r="G45" s="117"/>
      <c r="H45" s="117"/>
      <c r="I45" s="117"/>
      <c r="J45" s="117"/>
      <c r="K45" s="118"/>
      <c r="L45" s="51"/>
      <c r="M45" s="52"/>
    </row>
    <row r="46" spans="2:13" s="50" customFormat="1" ht="12.75">
      <c r="B46" s="89" t="s">
        <v>71</v>
      </c>
      <c r="C46" s="90"/>
      <c r="D46" s="90"/>
      <c r="E46" s="106" t="s">
        <v>72</v>
      </c>
      <c r="F46" s="90"/>
      <c r="G46" s="90"/>
      <c r="H46" s="90"/>
      <c r="I46" s="90"/>
      <c r="J46" s="107">
        <f>SUM(J48:J49)</f>
        <v>158128.59</v>
      </c>
      <c r="K46" s="108" t="e">
        <f>SUM(K48:K49)</f>
        <v>#N/A</v>
      </c>
      <c r="L46" s="51"/>
      <c r="M46" s="52"/>
    </row>
    <row r="47" spans="2:13" s="50" customFormat="1" ht="12.75" outlineLevel="1">
      <c r="B47" s="109"/>
      <c r="C47" s="110"/>
      <c r="D47" s="110"/>
      <c r="E47" s="111" t="s">
        <v>136</v>
      </c>
      <c r="F47" s="110"/>
      <c r="G47" s="110"/>
      <c r="H47" s="110"/>
      <c r="I47" s="110"/>
      <c r="J47" s="112"/>
      <c r="K47" s="113"/>
      <c r="L47" s="51"/>
      <c r="M47" s="52"/>
    </row>
    <row r="48" spans="2:13" s="50" customFormat="1" ht="51" outlineLevel="1">
      <c r="B48" s="114" t="s">
        <v>73</v>
      </c>
      <c r="C48" s="115" t="s">
        <v>74</v>
      </c>
      <c r="D48" s="115" t="s">
        <v>24</v>
      </c>
      <c r="E48" s="116" t="s">
        <v>75</v>
      </c>
      <c r="F48" s="115" t="s">
        <v>76</v>
      </c>
      <c r="G48" s="117">
        <f>VLOOKUP(B48,'OBRA 01 - MEMÓRIA'!$A:$O,15,0)</f>
        <v>1392.43</v>
      </c>
      <c r="H48" s="117">
        <v>54.54</v>
      </c>
      <c r="I48" s="117">
        <f t="shared" ref="I48:I49" si="10">TRUNC(H48*(1+$H$2),2)</f>
        <v>68.17</v>
      </c>
      <c r="J48" s="117">
        <f t="shared" ref="J48:J49" si="11">TRUNC(G48*I48,2)</f>
        <v>94921.95</v>
      </c>
      <c r="K48" s="118" t="e">
        <f t="shared" ref="K48:K49" si="12">J48/$J$291</f>
        <v>#N/A</v>
      </c>
      <c r="L48" s="51"/>
      <c r="M48" s="52"/>
    </row>
    <row r="49" spans="2:13" s="50" customFormat="1" ht="38.25" outlineLevel="1">
      <c r="B49" s="114" t="s">
        <v>77</v>
      </c>
      <c r="C49" s="115" t="s">
        <v>78</v>
      </c>
      <c r="D49" s="115" t="s">
        <v>24</v>
      </c>
      <c r="E49" s="116" t="s">
        <v>79</v>
      </c>
      <c r="F49" s="115" t="s">
        <v>76</v>
      </c>
      <c r="G49" s="117">
        <f>VLOOKUP(B49,'OBRA 01 - MEMÓRIA'!$A:$O,15,0)</f>
        <v>1247.9099999999999</v>
      </c>
      <c r="H49" s="117">
        <v>40.520000000000003</v>
      </c>
      <c r="I49" s="117">
        <f t="shared" si="10"/>
        <v>50.65</v>
      </c>
      <c r="J49" s="117">
        <f t="shared" si="11"/>
        <v>63206.64</v>
      </c>
      <c r="K49" s="118" t="e">
        <f t="shared" si="12"/>
        <v>#N/A</v>
      </c>
      <c r="L49" s="51"/>
      <c r="M49" s="52"/>
    </row>
    <row r="50" spans="2:13" s="50" customFormat="1" ht="12.75">
      <c r="B50" s="114"/>
      <c r="C50" s="115"/>
      <c r="D50" s="115"/>
      <c r="E50" s="116" t="s">
        <v>136</v>
      </c>
      <c r="F50" s="115"/>
      <c r="G50" s="117"/>
      <c r="H50" s="117"/>
      <c r="I50" s="117"/>
      <c r="J50" s="117"/>
      <c r="K50" s="118"/>
      <c r="L50" s="51"/>
      <c r="M50" s="52"/>
    </row>
    <row r="51" spans="2:13" s="50" customFormat="1" ht="12.75">
      <c r="B51" s="89" t="s">
        <v>80</v>
      </c>
      <c r="C51" s="90"/>
      <c r="D51" s="90"/>
      <c r="E51" s="106" t="s">
        <v>81</v>
      </c>
      <c r="F51" s="90"/>
      <c r="G51" s="90"/>
      <c r="H51" s="90"/>
      <c r="I51" s="90"/>
      <c r="J51" s="107">
        <f>SUM(J53:J55)</f>
        <v>167188.12</v>
      </c>
      <c r="K51" s="108" t="e">
        <f>SUM(K53:K55)</f>
        <v>#N/A</v>
      </c>
      <c r="L51" s="51"/>
      <c r="M51" s="52"/>
    </row>
    <row r="52" spans="2:13" s="50" customFormat="1" ht="12.75" outlineLevel="1">
      <c r="B52" s="109"/>
      <c r="C52" s="110"/>
      <c r="D52" s="110"/>
      <c r="E52" s="111" t="s">
        <v>136</v>
      </c>
      <c r="F52" s="110"/>
      <c r="G52" s="110"/>
      <c r="H52" s="110"/>
      <c r="I52" s="110"/>
      <c r="J52" s="112"/>
      <c r="K52" s="113"/>
      <c r="L52" s="51"/>
      <c r="M52" s="52"/>
    </row>
    <row r="53" spans="2:13" s="50" customFormat="1" ht="38.25" outlineLevel="1">
      <c r="B53" s="114" t="s">
        <v>372</v>
      </c>
      <c r="C53" s="115" t="s">
        <v>82</v>
      </c>
      <c r="D53" s="115" t="s">
        <v>24</v>
      </c>
      <c r="E53" s="116" t="s">
        <v>83</v>
      </c>
      <c r="F53" s="115" t="s">
        <v>21</v>
      </c>
      <c r="G53" s="117">
        <f>VLOOKUP(B53,'OBRA 01 - MEMÓRIA'!$A:$O,15,0)</f>
        <v>1522.08</v>
      </c>
      <c r="H53" s="117">
        <v>82.46</v>
      </c>
      <c r="I53" s="117">
        <f t="shared" ref="I53:I55" si="13">TRUNC(H53*(1+$H$2),2)</f>
        <v>103.07</v>
      </c>
      <c r="J53" s="117">
        <f t="shared" ref="J53:J55" si="14">TRUNC(G53*I53,2)</f>
        <v>156880.78</v>
      </c>
      <c r="K53" s="118" t="e">
        <f t="shared" ref="K53:K55" si="15">J53/$J$291</f>
        <v>#N/A</v>
      </c>
      <c r="L53" s="51"/>
      <c r="M53" s="52"/>
    </row>
    <row r="54" spans="2:13" s="50" customFormat="1" ht="63.75" outlineLevel="1">
      <c r="B54" s="114" t="s">
        <v>373</v>
      </c>
      <c r="C54" s="115" t="s">
        <v>42</v>
      </c>
      <c r="D54" s="115" t="s">
        <v>24</v>
      </c>
      <c r="E54" s="116" t="s">
        <v>43</v>
      </c>
      <c r="F54" s="115" t="s">
        <v>28</v>
      </c>
      <c r="G54" s="117">
        <f>VLOOKUP(B54,'OBRA 01 - MEMÓRIA'!$A:$O,15,0)</f>
        <v>101.37052799999999</v>
      </c>
      <c r="H54" s="117">
        <v>7.67</v>
      </c>
      <c r="I54" s="117">
        <f t="shared" si="13"/>
        <v>9.58</v>
      </c>
      <c r="J54" s="117">
        <f t="shared" si="14"/>
        <v>971.12</v>
      </c>
      <c r="K54" s="118" t="e">
        <f t="shared" si="15"/>
        <v>#N/A</v>
      </c>
      <c r="L54" s="51"/>
      <c r="M54" s="52"/>
    </row>
    <row r="55" spans="2:13" s="50" customFormat="1" ht="38.25" outlineLevel="1">
      <c r="B55" s="114" t="s">
        <v>374</v>
      </c>
      <c r="C55" s="115" t="s">
        <v>56</v>
      </c>
      <c r="D55" s="115" t="s">
        <v>24</v>
      </c>
      <c r="E55" s="116" t="s">
        <v>57</v>
      </c>
      <c r="F55" s="115" t="s">
        <v>36</v>
      </c>
      <c r="G55" s="117">
        <f>VLOOKUP(B55,'OBRA 01 - MEMÓRIA'!$A:$O,15,0)</f>
        <v>3041.1158399999999</v>
      </c>
      <c r="H55" s="117">
        <v>2.46</v>
      </c>
      <c r="I55" s="117">
        <f t="shared" si="13"/>
        <v>3.07</v>
      </c>
      <c r="J55" s="117">
        <f t="shared" si="14"/>
        <v>9336.2199999999993</v>
      </c>
      <c r="K55" s="118" t="e">
        <f t="shared" si="15"/>
        <v>#N/A</v>
      </c>
      <c r="L55" s="51"/>
      <c r="M55" s="52"/>
    </row>
    <row r="56" spans="2:13" s="50" customFormat="1" ht="12.75">
      <c r="B56" s="109"/>
      <c r="C56" s="115"/>
      <c r="D56" s="115"/>
      <c r="E56" s="116" t="s">
        <v>136</v>
      </c>
      <c r="F56" s="115"/>
      <c r="G56" s="117"/>
      <c r="H56" s="117"/>
      <c r="I56" s="117"/>
      <c r="J56" s="117"/>
      <c r="K56" s="118"/>
      <c r="L56" s="51"/>
      <c r="M56" s="52"/>
    </row>
    <row r="57" spans="2:13" s="50" customFormat="1" ht="12.75">
      <c r="B57" s="89">
        <v>6</v>
      </c>
      <c r="C57" s="90"/>
      <c r="D57" s="90"/>
      <c r="E57" s="106" t="s">
        <v>329</v>
      </c>
      <c r="F57" s="90"/>
      <c r="G57" s="90"/>
      <c r="H57" s="90"/>
      <c r="I57" s="90"/>
      <c r="J57" s="107">
        <f>J59</f>
        <v>30351.26</v>
      </c>
      <c r="K57" s="108" t="e">
        <f>K59</f>
        <v>#N/A</v>
      </c>
      <c r="L57" s="51"/>
      <c r="M57" s="52"/>
    </row>
    <row r="58" spans="2:13" s="50" customFormat="1" ht="12.75" outlineLevel="1">
      <c r="B58" s="109"/>
      <c r="C58" s="110"/>
      <c r="D58" s="110"/>
      <c r="E58" s="111" t="s">
        <v>136</v>
      </c>
      <c r="F58" s="110"/>
      <c r="G58" s="110"/>
      <c r="H58" s="110"/>
      <c r="I58" s="110"/>
      <c r="J58" s="112"/>
      <c r="K58" s="113"/>
      <c r="L58" s="51"/>
      <c r="M58" s="52"/>
    </row>
    <row r="59" spans="2:13" s="50" customFormat="1" ht="51" outlineLevel="1">
      <c r="B59" s="114" t="s">
        <v>375</v>
      </c>
      <c r="C59" s="115" t="s">
        <v>330</v>
      </c>
      <c r="D59" s="115" t="s">
        <v>24</v>
      </c>
      <c r="E59" s="116" t="s">
        <v>331</v>
      </c>
      <c r="F59" s="115" t="s">
        <v>76</v>
      </c>
      <c r="G59" s="117">
        <f>VLOOKUP(B59,'OBRA 01 - MEMÓRIA'!$A:$O,15,0)</f>
        <v>3670.0439999999999</v>
      </c>
      <c r="H59" s="117">
        <v>6.62</v>
      </c>
      <c r="I59" s="117">
        <f t="shared" ref="I59" si="16">TRUNC(H59*(1+$H$2),2)</f>
        <v>8.27</v>
      </c>
      <c r="J59" s="117">
        <f t="shared" ref="J59" si="17">TRUNC(G59*I59,2)</f>
        <v>30351.26</v>
      </c>
      <c r="K59" s="118" t="e">
        <f>J59/$J$291</f>
        <v>#N/A</v>
      </c>
      <c r="L59" s="51"/>
      <c r="M59" s="52"/>
    </row>
    <row r="60" spans="2:13" s="50" customFormat="1" ht="12.75">
      <c r="B60" s="114"/>
      <c r="C60" s="115"/>
      <c r="D60" s="115"/>
      <c r="E60" s="116" t="s">
        <v>136</v>
      </c>
      <c r="F60" s="115"/>
      <c r="G60" s="117"/>
      <c r="H60" s="117"/>
      <c r="I60" s="117"/>
      <c r="J60" s="117"/>
      <c r="K60" s="118"/>
      <c r="L60" s="51"/>
      <c r="M60" s="52"/>
    </row>
    <row r="61" spans="2:13" s="50" customFormat="1" ht="12.75">
      <c r="B61" s="89">
        <v>7</v>
      </c>
      <c r="C61" s="90"/>
      <c r="D61" s="90"/>
      <c r="E61" s="106" t="s">
        <v>87</v>
      </c>
      <c r="F61" s="90"/>
      <c r="G61" s="90"/>
      <c r="H61" s="90"/>
      <c r="I61" s="90"/>
      <c r="J61" s="107">
        <f>J63</f>
        <v>87002.78</v>
      </c>
      <c r="K61" s="108" t="e">
        <f>K63</f>
        <v>#N/A</v>
      </c>
      <c r="L61" s="51"/>
      <c r="M61" s="52"/>
    </row>
    <row r="62" spans="2:13" s="50" customFormat="1" ht="12.75" outlineLevel="1">
      <c r="B62" s="109"/>
      <c r="C62" s="110"/>
      <c r="D62" s="110"/>
      <c r="E62" s="111" t="s">
        <v>136</v>
      </c>
      <c r="F62" s="110"/>
      <c r="G62" s="110"/>
      <c r="H62" s="110"/>
      <c r="I62" s="110"/>
      <c r="J62" s="112"/>
      <c r="K62" s="113"/>
      <c r="L62" s="51"/>
      <c r="M62" s="52"/>
    </row>
    <row r="63" spans="2:13" s="50" customFormat="1" ht="12.75" outlineLevel="1">
      <c r="B63" s="114" t="s">
        <v>376</v>
      </c>
      <c r="C63" s="115" t="s">
        <v>88</v>
      </c>
      <c r="D63" s="115" t="s">
        <v>19</v>
      </c>
      <c r="E63" s="116" t="s">
        <v>89</v>
      </c>
      <c r="F63" s="115" t="s">
        <v>90</v>
      </c>
      <c r="G63" s="117">
        <f>VLOOKUP(B63,'OBRA 01 - MEMÓRIA'!$A:$O,15,0)</f>
        <v>1.37</v>
      </c>
      <c r="H63" s="117">
        <v>50804.55</v>
      </c>
      <c r="I63" s="117">
        <f t="shared" ref="I63" si="18">TRUNC(H63*(1+$H$2),2)</f>
        <v>63505.68</v>
      </c>
      <c r="J63" s="117">
        <f t="shared" ref="J63" si="19">TRUNC(G63*I63,2)</f>
        <v>87002.78</v>
      </c>
      <c r="K63" s="118" t="e">
        <f>J63/$J$291</f>
        <v>#N/A</v>
      </c>
      <c r="L63" s="51"/>
      <c r="M63" s="52"/>
    </row>
    <row r="64" spans="2:13" s="50" customFormat="1" ht="12.75">
      <c r="B64" s="114"/>
      <c r="C64" s="115"/>
      <c r="D64" s="115"/>
      <c r="E64" s="116" t="s">
        <v>136</v>
      </c>
      <c r="F64" s="115"/>
      <c r="G64" s="117"/>
      <c r="H64" s="117"/>
      <c r="I64" s="117"/>
      <c r="J64" s="117"/>
      <c r="K64" s="118"/>
      <c r="L64" s="51"/>
      <c r="M64" s="52"/>
    </row>
    <row r="65" spans="2:13" ht="15">
      <c r="B65" s="97" t="s">
        <v>542</v>
      </c>
      <c r="C65" s="98"/>
      <c r="D65" s="98"/>
      <c r="E65" s="99" t="s">
        <v>533</v>
      </c>
      <c r="F65" s="98"/>
      <c r="G65" s="98"/>
      <c r="H65" s="98"/>
      <c r="I65" s="98"/>
      <c r="J65" s="100" t="e">
        <f>SUM(J67,J75,J83,J90,J104,J109,J116,J120)</f>
        <v>#N/A</v>
      </c>
      <c r="K65" s="101" t="e">
        <f>SUM(K67,K75,K83,K90,K104,K109,K116,K120)</f>
        <v>#N/A</v>
      </c>
      <c r="L65" s="51"/>
    </row>
    <row r="66" spans="2:13" ht="15">
      <c r="B66" s="124"/>
      <c r="C66" s="125"/>
      <c r="D66" s="125"/>
      <c r="E66" s="126" t="s">
        <v>136</v>
      </c>
      <c r="F66" s="125"/>
      <c r="G66" s="125"/>
      <c r="H66" s="125"/>
      <c r="I66" s="125"/>
      <c r="J66" s="127"/>
      <c r="K66" s="128"/>
      <c r="L66" s="51"/>
    </row>
    <row r="67" spans="2:13" s="50" customFormat="1" ht="12.75">
      <c r="B67" s="89" t="s">
        <v>16</v>
      </c>
      <c r="C67" s="90"/>
      <c r="D67" s="90"/>
      <c r="E67" s="106" t="s">
        <v>17</v>
      </c>
      <c r="F67" s="90"/>
      <c r="G67" s="90"/>
      <c r="H67" s="90"/>
      <c r="I67" s="90"/>
      <c r="J67" s="107" t="e">
        <f>SUM(J69:J73)</f>
        <v>#N/A</v>
      </c>
      <c r="K67" s="108" t="e">
        <f>SUM(K69:K73)</f>
        <v>#N/A</v>
      </c>
      <c r="L67" s="51"/>
    </row>
    <row r="68" spans="2:13" s="50" customFormat="1" ht="12.75" outlineLevel="1">
      <c r="B68" s="109"/>
      <c r="C68" s="110"/>
      <c r="D68" s="110"/>
      <c r="E68" s="111" t="s">
        <v>136</v>
      </c>
      <c r="F68" s="110"/>
      <c r="G68" s="110"/>
      <c r="H68" s="110"/>
      <c r="I68" s="110"/>
      <c r="J68" s="112"/>
      <c r="K68" s="113"/>
      <c r="L68" s="51"/>
    </row>
    <row r="69" spans="2:13" s="50" customFormat="1" ht="12.75" outlineLevel="1">
      <c r="B69" s="114" t="s">
        <v>18</v>
      </c>
      <c r="C69" s="115" t="s">
        <v>302</v>
      </c>
      <c r="D69" s="115" t="s">
        <v>19</v>
      </c>
      <c r="E69" s="116" t="s">
        <v>20</v>
      </c>
      <c r="F69" s="115" t="s">
        <v>21</v>
      </c>
      <c r="G69" s="117">
        <f>VLOOKUP(B69,'OBRA 02 - MEMÓRIA'!$A:$O,15,0)</f>
        <v>6</v>
      </c>
      <c r="H69" s="117">
        <v>371.36</v>
      </c>
      <c r="I69" s="117">
        <f t="shared" ref="I69:I73" si="20">TRUNC(H69*(1+$H$2),2)</f>
        <v>464.2</v>
      </c>
      <c r="J69" s="117">
        <f>TRUNC(G69*I69,2)</f>
        <v>2785.2</v>
      </c>
      <c r="K69" s="118" t="e">
        <f t="shared" ref="K69:K73" si="21">J69/$J$291</f>
        <v>#N/A</v>
      </c>
      <c r="L69" s="51"/>
      <c r="M69" s="54"/>
    </row>
    <row r="70" spans="2:13" s="50" customFormat="1" ht="12.75" outlineLevel="1">
      <c r="B70" s="114" t="s">
        <v>410</v>
      </c>
      <c r="C70" s="115" t="s">
        <v>29</v>
      </c>
      <c r="D70" s="115" t="s">
        <v>30</v>
      </c>
      <c r="E70" s="116" t="s">
        <v>560</v>
      </c>
      <c r="F70" s="115" t="s">
        <v>31</v>
      </c>
      <c r="G70" s="117">
        <f>VLOOKUP(B70,'OBRA 02 - MEMÓRIA'!$A:$O,15,0)</f>
        <v>533.35</v>
      </c>
      <c r="H70" s="117">
        <v>9.8000000000000007</v>
      </c>
      <c r="I70" s="117">
        <f t="shared" si="20"/>
        <v>12.25</v>
      </c>
      <c r="J70" s="117">
        <f t="shared" ref="J70:J79" si="22">TRUNC(G70*I70,2)</f>
        <v>6533.53</v>
      </c>
      <c r="K70" s="118" t="e">
        <f t="shared" si="21"/>
        <v>#N/A</v>
      </c>
      <c r="L70" s="51"/>
      <c r="M70" s="54"/>
    </row>
    <row r="71" spans="2:13" s="50" customFormat="1" ht="12.75" outlineLevel="1">
      <c r="B71" s="114" t="s">
        <v>332</v>
      </c>
      <c r="C71" s="115" t="s">
        <v>362</v>
      </c>
      <c r="D71" s="115" t="s">
        <v>27</v>
      </c>
      <c r="E71" s="116" t="s">
        <v>561</v>
      </c>
      <c r="F71" s="115" t="s">
        <v>28</v>
      </c>
      <c r="G71" s="117" t="e">
        <f>VLOOKUP(B71,'OBRA 02 - MEMÓRIA'!$A:$O,15,0)</f>
        <v>#N/A</v>
      </c>
      <c r="H71" s="117">
        <v>395.45</v>
      </c>
      <c r="I71" s="117">
        <f t="shared" si="20"/>
        <v>494.31</v>
      </c>
      <c r="J71" s="117" t="e">
        <f t="shared" si="22"/>
        <v>#N/A</v>
      </c>
      <c r="K71" s="118" t="e">
        <f t="shared" si="21"/>
        <v>#N/A</v>
      </c>
      <c r="L71" s="51"/>
      <c r="M71" s="54"/>
    </row>
    <row r="72" spans="2:13" s="50" customFormat="1" ht="51" outlineLevel="1">
      <c r="B72" s="114" t="s">
        <v>333</v>
      </c>
      <c r="C72" s="115">
        <v>100981</v>
      </c>
      <c r="D72" s="115" t="s">
        <v>24</v>
      </c>
      <c r="E72" s="116" t="s">
        <v>33</v>
      </c>
      <c r="F72" s="115" t="s">
        <v>28</v>
      </c>
      <c r="G72" s="117" t="e">
        <f>VLOOKUP(B72,'OBRA 02 - MEMÓRIA'!$A:$O,15,0)</f>
        <v>#N/A</v>
      </c>
      <c r="H72" s="117">
        <v>9.3800000000000008</v>
      </c>
      <c r="I72" s="117">
        <f t="shared" si="20"/>
        <v>11.72</v>
      </c>
      <c r="J72" s="117" t="e">
        <f t="shared" si="22"/>
        <v>#N/A</v>
      </c>
      <c r="K72" s="118" t="e">
        <f t="shared" si="21"/>
        <v>#N/A</v>
      </c>
      <c r="L72" s="51"/>
      <c r="M72" s="54"/>
    </row>
    <row r="73" spans="2:13" s="50" customFormat="1" ht="38.25" outlineLevel="1">
      <c r="B73" s="114" t="s">
        <v>334</v>
      </c>
      <c r="C73" s="115" t="s">
        <v>34</v>
      </c>
      <c r="D73" s="115" t="s">
        <v>24</v>
      </c>
      <c r="E73" s="116" t="s">
        <v>35</v>
      </c>
      <c r="F73" s="115" t="s">
        <v>36</v>
      </c>
      <c r="G73" s="117" t="e">
        <f>VLOOKUP(B73,'OBRA 02 - MEMÓRIA'!$A:$O,15,0)</f>
        <v>#N/A</v>
      </c>
      <c r="H73" s="117">
        <v>2.92</v>
      </c>
      <c r="I73" s="117">
        <f t="shared" si="20"/>
        <v>3.65</v>
      </c>
      <c r="J73" s="117" t="e">
        <f t="shared" si="22"/>
        <v>#N/A</v>
      </c>
      <c r="K73" s="118" t="e">
        <f t="shared" si="21"/>
        <v>#N/A</v>
      </c>
      <c r="L73" s="51"/>
      <c r="M73" s="54"/>
    </row>
    <row r="74" spans="2:13" s="50" customFormat="1" ht="12.75">
      <c r="B74" s="114"/>
      <c r="C74" s="115"/>
      <c r="D74" s="115"/>
      <c r="E74" s="116" t="s">
        <v>136</v>
      </c>
      <c r="F74" s="115"/>
      <c r="G74" s="117"/>
      <c r="H74" s="117"/>
      <c r="I74" s="117"/>
      <c r="J74" s="117"/>
      <c r="K74" s="118"/>
      <c r="L74" s="51"/>
      <c r="M74" s="54"/>
    </row>
    <row r="75" spans="2:13" s="50" customFormat="1" ht="12.75">
      <c r="B75" s="89" t="s">
        <v>37</v>
      </c>
      <c r="C75" s="90"/>
      <c r="D75" s="90"/>
      <c r="E75" s="106" t="s">
        <v>38</v>
      </c>
      <c r="F75" s="90"/>
      <c r="G75" s="90"/>
      <c r="H75" s="90"/>
      <c r="I75" s="90"/>
      <c r="J75" s="107">
        <f>SUM(J77:J79)</f>
        <v>246992.14</v>
      </c>
      <c r="K75" s="108" t="e">
        <f>SUM(K77:K79)</f>
        <v>#N/A</v>
      </c>
      <c r="L75" s="51"/>
      <c r="M75" s="54"/>
    </row>
    <row r="76" spans="2:13" s="50" customFormat="1" ht="12.75" outlineLevel="1">
      <c r="B76" s="109"/>
      <c r="C76" s="110"/>
      <c r="D76" s="110"/>
      <c r="E76" s="111" t="s">
        <v>136</v>
      </c>
      <c r="F76" s="110"/>
      <c r="G76" s="112"/>
      <c r="H76" s="110"/>
      <c r="I76" s="110"/>
      <c r="J76" s="112"/>
      <c r="K76" s="113"/>
      <c r="L76" s="51"/>
      <c r="M76" s="54"/>
    </row>
    <row r="77" spans="2:13" s="50" customFormat="1" ht="38.25" outlineLevel="1">
      <c r="B77" s="114" t="s">
        <v>39</v>
      </c>
      <c r="C77" s="115">
        <v>101124</v>
      </c>
      <c r="D77" s="115" t="s">
        <v>24</v>
      </c>
      <c r="E77" s="116" t="s">
        <v>397</v>
      </c>
      <c r="F77" s="115" t="s">
        <v>28</v>
      </c>
      <c r="G77" s="117">
        <f>VLOOKUP(B77,'OBRA 02 - MEMÓRIA'!$A:$O,15,0)</f>
        <v>1524.1254800000002</v>
      </c>
      <c r="H77" s="117">
        <v>15.26</v>
      </c>
      <c r="I77" s="117">
        <f t="shared" ref="I77:I79" si="23">TRUNC(H77*(1+$H$2),2)</f>
        <v>19.07</v>
      </c>
      <c r="J77" s="117">
        <f>TRUNC(G77*I77,2)</f>
        <v>29065.07</v>
      </c>
      <c r="K77" s="118" t="e">
        <f t="shared" ref="K77:K79" si="24">J77/$J$291</f>
        <v>#N/A</v>
      </c>
      <c r="L77" s="51"/>
      <c r="M77" s="54"/>
    </row>
    <row r="78" spans="2:13" s="50" customFormat="1" ht="25.5" outlineLevel="1">
      <c r="B78" s="114" t="s">
        <v>40</v>
      </c>
      <c r="C78" s="115" t="s">
        <v>41</v>
      </c>
      <c r="D78" s="115" t="s">
        <v>27</v>
      </c>
      <c r="E78" s="116" t="s">
        <v>562</v>
      </c>
      <c r="F78" s="115" t="s">
        <v>28</v>
      </c>
      <c r="G78" s="117">
        <f>VLOOKUP(B78,'OBRA 02 - MEMÓRIA'!$A:$O,15,0)</f>
        <v>1524.1254800000002</v>
      </c>
      <c r="H78" s="117">
        <v>4.8899999999999997</v>
      </c>
      <c r="I78" s="117">
        <f t="shared" si="23"/>
        <v>6.11</v>
      </c>
      <c r="J78" s="117">
        <f t="shared" si="22"/>
        <v>9312.4</v>
      </c>
      <c r="K78" s="118" t="e">
        <f t="shared" si="24"/>
        <v>#N/A</v>
      </c>
      <c r="L78" s="51"/>
      <c r="M78" s="54"/>
    </row>
    <row r="79" spans="2:13" s="50" customFormat="1" ht="38.25" outlineLevel="1">
      <c r="B79" s="114" t="s">
        <v>396</v>
      </c>
      <c r="C79" s="115" t="s">
        <v>34</v>
      </c>
      <c r="D79" s="115" t="s">
        <v>24</v>
      </c>
      <c r="E79" s="116" t="s">
        <v>35</v>
      </c>
      <c r="F79" s="115" t="s">
        <v>36</v>
      </c>
      <c r="G79" s="117">
        <f>VLOOKUP(B79,'OBRA 02 - MEMÓRIA'!$A:$O,15,0)</f>
        <v>57154.705500000011</v>
      </c>
      <c r="H79" s="117">
        <v>2.92</v>
      </c>
      <c r="I79" s="117">
        <f t="shared" si="23"/>
        <v>3.65</v>
      </c>
      <c r="J79" s="117">
        <f t="shared" si="22"/>
        <v>208614.67</v>
      </c>
      <c r="K79" s="118" t="e">
        <f t="shared" si="24"/>
        <v>#N/A</v>
      </c>
      <c r="L79" s="51"/>
      <c r="M79" s="54"/>
    </row>
    <row r="80" spans="2:13" s="50" customFormat="1" ht="12.75">
      <c r="B80" s="114"/>
      <c r="C80" s="115"/>
      <c r="D80" s="115"/>
      <c r="E80" s="116" t="s">
        <v>136</v>
      </c>
      <c r="F80" s="115"/>
      <c r="G80" s="117"/>
      <c r="H80" s="117"/>
      <c r="I80" s="117"/>
      <c r="J80" s="117"/>
      <c r="K80" s="118"/>
      <c r="L80" s="51"/>
      <c r="M80" s="54"/>
    </row>
    <row r="81" spans="2:13" s="50" customFormat="1" ht="12.75">
      <c r="B81" s="89" t="s">
        <v>44</v>
      </c>
      <c r="C81" s="90"/>
      <c r="D81" s="90"/>
      <c r="E81" s="106" t="s">
        <v>45</v>
      </c>
      <c r="F81" s="90"/>
      <c r="G81" s="90"/>
      <c r="H81" s="90"/>
      <c r="I81" s="90"/>
      <c r="J81" s="107" t="e">
        <f>J83+J90</f>
        <v>#N/A</v>
      </c>
      <c r="K81" s="108" t="e">
        <f>K83+K90</f>
        <v>#N/A</v>
      </c>
      <c r="L81" s="51"/>
      <c r="M81" s="54"/>
    </row>
    <row r="82" spans="2:13" s="50" customFormat="1" ht="12.75" outlineLevel="1">
      <c r="B82" s="109"/>
      <c r="C82" s="110"/>
      <c r="D82" s="110"/>
      <c r="E82" s="111" t="s">
        <v>136</v>
      </c>
      <c r="F82" s="110"/>
      <c r="G82" s="112"/>
      <c r="H82" s="110"/>
      <c r="I82" s="110"/>
      <c r="J82" s="112"/>
      <c r="K82" s="113"/>
      <c r="L82" s="51"/>
      <c r="M82" s="54"/>
    </row>
    <row r="83" spans="2:13" s="50" customFormat="1" ht="12.75" outlineLevel="1">
      <c r="B83" s="119" t="s">
        <v>46</v>
      </c>
      <c r="C83" s="120"/>
      <c r="D83" s="120"/>
      <c r="E83" s="121" t="s">
        <v>47</v>
      </c>
      <c r="F83" s="120"/>
      <c r="G83" s="122"/>
      <c r="H83" s="120"/>
      <c r="I83" s="120"/>
      <c r="J83" s="122">
        <f>SUM(J84:J89)</f>
        <v>552749.79</v>
      </c>
      <c r="K83" s="123" t="e">
        <f>SUM(K84:K89)</f>
        <v>#N/A</v>
      </c>
      <c r="L83" s="51"/>
      <c r="M83" s="54"/>
    </row>
    <row r="84" spans="2:13" s="50" customFormat="1" ht="25.5" outlineLevel="1">
      <c r="B84" s="114" t="s">
        <v>48</v>
      </c>
      <c r="C84" s="115" t="s">
        <v>49</v>
      </c>
      <c r="D84" s="115" t="s">
        <v>24</v>
      </c>
      <c r="E84" s="116" t="s">
        <v>50</v>
      </c>
      <c r="F84" s="115" t="s">
        <v>21</v>
      </c>
      <c r="G84" s="117">
        <f>VLOOKUP(B84,'OBRA 02 - MEMÓRIA'!$A:$O,15,0)</f>
        <v>3810.3137000000002</v>
      </c>
      <c r="H84" s="117">
        <v>1.25</v>
      </c>
      <c r="I84" s="117">
        <f t="shared" ref="I84:I89" si="25">TRUNC(H84*(1+$H$2),2)</f>
        <v>1.56</v>
      </c>
      <c r="J84" s="117">
        <f t="shared" ref="J84:J89" si="26">TRUNC(G84*I84,2)</f>
        <v>5944.08</v>
      </c>
      <c r="K84" s="118" t="e">
        <f t="shared" ref="K84:K89" si="27">J84/$J$291</f>
        <v>#N/A</v>
      </c>
      <c r="L84" s="51"/>
      <c r="M84" s="54"/>
    </row>
    <row r="85" spans="2:13" s="50" customFormat="1" ht="51" outlineLevel="1">
      <c r="B85" s="114" t="s">
        <v>51</v>
      </c>
      <c r="C85" s="115" t="s">
        <v>52</v>
      </c>
      <c r="D85" s="115" t="s">
        <v>24</v>
      </c>
      <c r="E85" s="116" t="s">
        <v>53</v>
      </c>
      <c r="F85" s="115" t="s">
        <v>28</v>
      </c>
      <c r="G85" s="117">
        <f>VLOOKUP(B85,'OBRA 02 - MEMÓRIA'!$A:$O,15,0)</f>
        <v>762.06274000000008</v>
      </c>
      <c r="H85" s="117">
        <v>95.63</v>
      </c>
      <c r="I85" s="117">
        <f t="shared" si="25"/>
        <v>119.53</v>
      </c>
      <c r="J85" s="117">
        <f t="shared" si="26"/>
        <v>91089.35</v>
      </c>
      <c r="K85" s="118" t="e">
        <f t="shared" si="27"/>
        <v>#N/A</v>
      </c>
      <c r="L85" s="51"/>
      <c r="M85" s="54"/>
    </row>
    <row r="86" spans="2:13" s="50" customFormat="1" ht="38.25" outlineLevel="1">
      <c r="B86" s="114" t="s">
        <v>411</v>
      </c>
      <c r="C86" s="115" t="s">
        <v>307</v>
      </c>
      <c r="D86" s="115" t="s">
        <v>24</v>
      </c>
      <c r="E86" s="116" t="s">
        <v>308</v>
      </c>
      <c r="F86" s="115" t="s">
        <v>28</v>
      </c>
      <c r="G86" s="117">
        <f>VLOOKUP(B86,'OBRA 02 - MEMÓRIA'!$A:$O,15,0)</f>
        <v>476.28921250000008</v>
      </c>
      <c r="H86" s="117">
        <v>60.92</v>
      </c>
      <c r="I86" s="117">
        <f t="shared" si="25"/>
        <v>76.150000000000006</v>
      </c>
      <c r="J86" s="117">
        <f t="shared" si="26"/>
        <v>36269.42</v>
      </c>
      <c r="K86" s="118" t="e">
        <f t="shared" si="27"/>
        <v>#N/A</v>
      </c>
      <c r="L86" s="51"/>
      <c r="M86" s="54"/>
    </row>
    <row r="87" spans="2:13" s="50" customFormat="1" ht="51" outlineLevel="1">
      <c r="B87" s="129" t="s">
        <v>309</v>
      </c>
      <c r="C87" s="130">
        <v>96397</v>
      </c>
      <c r="D87" s="130" t="s">
        <v>24</v>
      </c>
      <c r="E87" s="116" t="s">
        <v>412</v>
      </c>
      <c r="F87" s="130" t="s">
        <v>28</v>
      </c>
      <c r="G87" s="117">
        <f>VLOOKUP(B87,'OBRA 02 - MEMÓRIA'!$A:$O,15,0)</f>
        <v>762.06274000000008</v>
      </c>
      <c r="H87" s="131">
        <v>236.97</v>
      </c>
      <c r="I87" s="117">
        <f t="shared" si="25"/>
        <v>296.20999999999998</v>
      </c>
      <c r="J87" s="131">
        <f>TRUNC(G87*I87,2)</f>
        <v>225730.6</v>
      </c>
      <c r="K87" s="118" t="e">
        <f t="shared" si="27"/>
        <v>#N/A</v>
      </c>
      <c r="L87" s="51"/>
      <c r="M87" s="54"/>
    </row>
    <row r="88" spans="2:13" s="50" customFormat="1" ht="63.75" outlineLevel="1">
      <c r="B88" s="114" t="s">
        <v>326</v>
      </c>
      <c r="C88" s="115" t="s">
        <v>42</v>
      </c>
      <c r="D88" s="115" t="s">
        <v>24</v>
      </c>
      <c r="E88" s="116" t="s">
        <v>43</v>
      </c>
      <c r="F88" s="115" t="s">
        <v>28</v>
      </c>
      <c r="G88" s="117">
        <f>VLOOKUP(B88,'OBRA 02 - MEMÓRIA'!$A:$O,15,0)</f>
        <v>1905.1568500000003</v>
      </c>
      <c r="H88" s="117">
        <v>7.67</v>
      </c>
      <c r="I88" s="117">
        <f t="shared" si="25"/>
        <v>9.58</v>
      </c>
      <c r="J88" s="117">
        <f>TRUNC(G88*I88,2)</f>
        <v>18251.400000000001</v>
      </c>
      <c r="K88" s="118" t="e">
        <f t="shared" si="27"/>
        <v>#N/A</v>
      </c>
      <c r="L88" s="51"/>
      <c r="M88" s="54"/>
    </row>
    <row r="89" spans="2:13" s="50" customFormat="1" ht="38.25" outlineLevel="1">
      <c r="B89" s="114" t="s">
        <v>327</v>
      </c>
      <c r="C89" s="115" t="s">
        <v>56</v>
      </c>
      <c r="D89" s="115" t="s">
        <v>24</v>
      </c>
      <c r="E89" s="116" t="s">
        <v>57</v>
      </c>
      <c r="F89" s="115" t="s">
        <v>36</v>
      </c>
      <c r="G89" s="117">
        <f>VLOOKUP(B89,'OBRA 02 - MEMÓRIA'!$A:$O,15,0)</f>
        <v>57154.705500000011</v>
      </c>
      <c r="H89" s="117">
        <v>2.46</v>
      </c>
      <c r="I89" s="117">
        <f t="shared" si="25"/>
        <v>3.07</v>
      </c>
      <c r="J89" s="117">
        <f t="shared" si="26"/>
        <v>175464.94</v>
      </c>
      <c r="K89" s="118" t="e">
        <f t="shared" si="27"/>
        <v>#N/A</v>
      </c>
      <c r="L89" s="51"/>
      <c r="M89" s="54"/>
    </row>
    <row r="90" spans="2:13" s="50" customFormat="1" ht="12.75" outlineLevel="1">
      <c r="B90" s="119" t="s">
        <v>58</v>
      </c>
      <c r="C90" s="120"/>
      <c r="D90" s="120"/>
      <c r="E90" s="121" t="s">
        <v>59</v>
      </c>
      <c r="F90" s="120"/>
      <c r="G90" s="122"/>
      <c r="H90" s="120"/>
      <c r="I90" s="120"/>
      <c r="J90" s="122" t="e">
        <f>SUM(J91:J102)</f>
        <v>#N/A</v>
      </c>
      <c r="K90" s="123" t="e">
        <f>SUM(K91:K102)</f>
        <v>#N/A</v>
      </c>
      <c r="L90" s="51"/>
      <c r="M90" s="54"/>
    </row>
    <row r="91" spans="2:13" s="50" customFormat="1" ht="25.5" outlineLevel="1">
      <c r="B91" s="114" t="s">
        <v>335</v>
      </c>
      <c r="C91" s="115">
        <v>4011484</v>
      </c>
      <c r="D91" s="115" t="s">
        <v>27</v>
      </c>
      <c r="E91" s="116" t="s">
        <v>566</v>
      </c>
      <c r="F91" s="130" t="s">
        <v>28</v>
      </c>
      <c r="G91" s="117">
        <f>VLOOKUP(B91,'OBRA 02 - MEMÓRIA'!$A:$O,15,0)</f>
        <v>1288.20108</v>
      </c>
      <c r="H91" s="117" t="s">
        <v>413</v>
      </c>
      <c r="I91" s="117">
        <v>145.88</v>
      </c>
      <c r="J91" s="117">
        <f t="shared" ref="J91:J102" si="28">TRUNC(G91*I91,2)</f>
        <v>187922.77</v>
      </c>
      <c r="K91" s="118" t="e">
        <f t="shared" ref="K91:K102" si="29">J91/$J$291</f>
        <v>#N/A</v>
      </c>
      <c r="L91" s="51"/>
      <c r="M91" s="54"/>
    </row>
    <row r="92" spans="2:13" s="50" customFormat="1" ht="12.75" outlineLevel="1">
      <c r="B92" s="114" t="s">
        <v>414</v>
      </c>
      <c r="C92" s="115" t="s">
        <v>62</v>
      </c>
      <c r="D92" s="115" t="s">
        <v>27</v>
      </c>
      <c r="E92" s="116" t="s">
        <v>563</v>
      </c>
      <c r="F92" s="115" t="s">
        <v>21</v>
      </c>
      <c r="G92" s="117">
        <f>VLOOKUP(B92,'OBRA 02 - MEMÓRIA'!$A:$O,15,0)</f>
        <v>4127.808</v>
      </c>
      <c r="H92" s="117">
        <v>0.4</v>
      </c>
      <c r="I92" s="117">
        <f t="shared" ref="I92:I102" si="30">TRUNC(H92*(1+$H$2),2)</f>
        <v>0.5</v>
      </c>
      <c r="J92" s="117">
        <f t="shared" si="28"/>
        <v>2063.9</v>
      </c>
      <c r="K92" s="118" t="e">
        <f t="shared" si="29"/>
        <v>#N/A</v>
      </c>
      <c r="L92" s="51"/>
      <c r="M92" s="54"/>
    </row>
    <row r="93" spans="2:13" s="50" customFormat="1" ht="12.75" outlineLevel="1">
      <c r="B93" s="114" t="s">
        <v>415</v>
      </c>
      <c r="C93" s="115" t="s">
        <v>63</v>
      </c>
      <c r="D93" s="115" t="s">
        <v>27</v>
      </c>
      <c r="E93" s="116" t="s">
        <v>564</v>
      </c>
      <c r="F93" s="115" t="s">
        <v>21</v>
      </c>
      <c r="G93" s="117">
        <f>VLOOKUP(B93,'OBRA 02 - MEMÓRIA'!$A:$O,15,0)</f>
        <v>8421.8116000000009</v>
      </c>
      <c r="H93" s="117">
        <v>0.28000000000000003</v>
      </c>
      <c r="I93" s="117">
        <f t="shared" si="30"/>
        <v>0.35</v>
      </c>
      <c r="J93" s="117">
        <f t="shared" si="28"/>
        <v>2947.63</v>
      </c>
      <c r="K93" s="118" t="e">
        <f t="shared" si="29"/>
        <v>#N/A</v>
      </c>
      <c r="L93" s="51"/>
      <c r="M93" s="54"/>
    </row>
    <row r="94" spans="2:13" s="50" customFormat="1" ht="25.5" outlineLevel="1">
      <c r="B94" s="114" t="s">
        <v>416</v>
      </c>
      <c r="C94" s="115" t="s">
        <v>60</v>
      </c>
      <c r="D94" s="115" t="s">
        <v>27</v>
      </c>
      <c r="E94" s="116" t="s">
        <v>565</v>
      </c>
      <c r="F94" s="115" t="s">
        <v>61</v>
      </c>
      <c r="G94" s="117">
        <f>VLOOKUP(B94,'OBRA 02 - MEMÓRIA'!$A:$O,15,0)</f>
        <v>1010.617392</v>
      </c>
      <c r="H94" s="117">
        <v>193.45</v>
      </c>
      <c r="I94" s="117">
        <f t="shared" si="30"/>
        <v>241.81</v>
      </c>
      <c r="J94" s="117">
        <f t="shared" si="28"/>
        <v>244377.39</v>
      </c>
      <c r="K94" s="118" t="e">
        <f t="shared" si="29"/>
        <v>#N/A</v>
      </c>
      <c r="L94" s="51"/>
      <c r="M94" s="54"/>
    </row>
    <row r="95" spans="2:13" s="50" customFormat="1" ht="38.25" outlineLevel="1">
      <c r="B95" s="114" t="s">
        <v>417</v>
      </c>
      <c r="C95" s="115" t="s">
        <v>56</v>
      </c>
      <c r="D95" s="115" t="s">
        <v>24</v>
      </c>
      <c r="E95" s="116" t="s">
        <v>418</v>
      </c>
      <c r="F95" s="115" t="s">
        <v>36</v>
      </c>
      <c r="G95" s="117" t="e">
        <f>VLOOKUP(B95,'OBRA 02 - MEMÓRIA'!$A:$O,15,0)</f>
        <v>#N/A</v>
      </c>
      <c r="H95" s="117">
        <v>2.46</v>
      </c>
      <c r="I95" s="117">
        <f t="shared" si="30"/>
        <v>3.07</v>
      </c>
      <c r="J95" s="117" t="e">
        <f t="shared" si="28"/>
        <v>#N/A</v>
      </c>
      <c r="K95" s="118" t="e">
        <f t="shared" si="29"/>
        <v>#N/A</v>
      </c>
      <c r="L95" s="51"/>
      <c r="M95" s="54"/>
    </row>
    <row r="96" spans="2:13" s="50" customFormat="1" ht="38.25" outlineLevel="1">
      <c r="B96" s="114" t="s">
        <v>340</v>
      </c>
      <c r="C96" s="115" t="s">
        <v>56</v>
      </c>
      <c r="D96" s="115" t="s">
        <v>24</v>
      </c>
      <c r="E96" s="116" t="s">
        <v>419</v>
      </c>
      <c r="F96" s="115" t="s">
        <v>36</v>
      </c>
      <c r="G96" s="117">
        <f>VLOOKUP(B96,'OBRA 02 - MEMÓRIA'!$A:$O,15,0)</f>
        <v>9661.5081000000009</v>
      </c>
      <c r="H96" s="117">
        <v>2.46</v>
      </c>
      <c r="I96" s="117">
        <f t="shared" si="30"/>
        <v>3.07</v>
      </c>
      <c r="J96" s="117">
        <f t="shared" si="28"/>
        <v>29660.82</v>
      </c>
      <c r="K96" s="118" t="e">
        <f t="shared" si="29"/>
        <v>#N/A</v>
      </c>
      <c r="L96" s="51"/>
      <c r="M96" s="54"/>
    </row>
    <row r="97" spans="2:13" s="50" customFormat="1" ht="51" outlineLevel="1">
      <c r="B97" s="114" t="s">
        <v>341</v>
      </c>
      <c r="C97" s="115" t="s">
        <v>64</v>
      </c>
      <c r="D97" s="115" t="s">
        <v>24</v>
      </c>
      <c r="E97" s="116" t="s">
        <v>65</v>
      </c>
      <c r="F97" s="115" t="s">
        <v>66</v>
      </c>
      <c r="G97" s="117">
        <f>VLOOKUP(B97,'OBRA 02 - MEMÓRIA'!$A:$O,15,0)</f>
        <v>1271.5920203904002</v>
      </c>
      <c r="H97" s="117">
        <v>1.42</v>
      </c>
      <c r="I97" s="117">
        <f t="shared" si="30"/>
        <v>1.77</v>
      </c>
      <c r="J97" s="117">
        <f t="shared" si="28"/>
        <v>2250.71</v>
      </c>
      <c r="K97" s="118" t="e">
        <f t="shared" si="29"/>
        <v>#N/A</v>
      </c>
      <c r="L97" s="51"/>
      <c r="M97" s="54"/>
    </row>
    <row r="98" spans="2:13" s="50" customFormat="1" ht="51" outlineLevel="1">
      <c r="B98" s="114" t="s">
        <v>342</v>
      </c>
      <c r="C98" s="115" t="s">
        <v>67</v>
      </c>
      <c r="D98" s="115" t="s">
        <v>24</v>
      </c>
      <c r="E98" s="116" t="s">
        <v>68</v>
      </c>
      <c r="F98" s="115" t="s">
        <v>66</v>
      </c>
      <c r="G98" s="117">
        <f>VLOOKUP(B98,'OBRA 02 - MEMÓRIA'!$A:$O,15,0)</f>
        <v>19921.608319449602</v>
      </c>
      <c r="H98" s="117">
        <v>0.55000000000000004</v>
      </c>
      <c r="I98" s="117">
        <f t="shared" si="30"/>
        <v>0.68</v>
      </c>
      <c r="J98" s="117">
        <f t="shared" si="28"/>
        <v>13546.69</v>
      </c>
      <c r="K98" s="118" t="e">
        <f t="shared" si="29"/>
        <v>#N/A</v>
      </c>
      <c r="L98" s="51"/>
      <c r="M98" s="54"/>
    </row>
    <row r="99" spans="2:13" s="50" customFormat="1" ht="25.5" outlineLevel="1">
      <c r="B99" s="114" t="s">
        <v>343</v>
      </c>
      <c r="C99" s="115" t="s">
        <v>69</v>
      </c>
      <c r="D99" s="115" t="s">
        <v>19</v>
      </c>
      <c r="E99" s="116" t="s">
        <v>70</v>
      </c>
      <c r="F99" s="115" t="s">
        <v>21</v>
      </c>
      <c r="G99" s="117">
        <f>VLOOKUP(B99,'OBRA 02 - MEMÓRIA'!$A:$O,15,0)</f>
        <v>8421.8116000000009</v>
      </c>
      <c r="H99" s="117">
        <v>0.56000000000000005</v>
      </c>
      <c r="I99" s="117">
        <f t="shared" si="30"/>
        <v>0.7</v>
      </c>
      <c r="J99" s="117">
        <f t="shared" si="28"/>
        <v>5895.26</v>
      </c>
      <c r="K99" s="118" t="e">
        <f t="shared" si="29"/>
        <v>#N/A</v>
      </c>
      <c r="L99" s="51"/>
      <c r="M99" s="54"/>
    </row>
    <row r="100" spans="2:13" s="50" customFormat="1" ht="12.75" outlineLevel="1">
      <c r="B100" s="114" t="s">
        <v>344</v>
      </c>
      <c r="C100" s="115" t="s">
        <v>303</v>
      </c>
      <c r="D100" s="115" t="s">
        <v>303</v>
      </c>
      <c r="E100" s="116" t="s">
        <v>304</v>
      </c>
      <c r="F100" s="115" t="s">
        <v>306</v>
      </c>
      <c r="G100" s="117">
        <f>VLOOKUP(B100,'OBRA 02 - MEMÓRIA'!$A:$O,15,0)</f>
        <v>3.7898152200000004</v>
      </c>
      <c r="H100" s="117">
        <v>2476.5828477621599</v>
      </c>
      <c r="I100" s="117">
        <f t="shared" si="30"/>
        <v>3095.72</v>
      </c>
      <c r="J100" s="117">
        <f t="shared" si="28"/>
        <v>11732.2</v>
      </c>
      <c r="K100" s="118" t="e">
        <f t="shared" si="29"/>
        <v>#N/A</v>
      </c>
      <c r="L100" s="51"/>
      <c r="M100" s="54"/>
    </row>
    <row r="101" spans="2:13" s="50" customFormat="1" ht="25.5" outlineLevel="1">
      <c r="B101" s="114" t="s">
        <v>420</v>
      </c>
      <c r="C101" s="115" t="s">
        <v>303</v>
      </c>
      <c r="D101" s="115" t="s">
        <v>303</v>
      </c>
      <c r="E101" s="116" t="s">
        <v>305</v>
      </c>
      <c r="F101" s="115" t="s">
        <v>306</v>
      </c>
      <c r="G101" s="117">
        <f>VLOOKUP(B101,'OBRA 02 - MEMÓRIA'!$A:$O,15,0)</f>
        <v>5.3661503999999995</v>
      </c>
      <c r="H101" s="117">
        <v>2154.5899369827707</v>
      </c>
      <c r="I101" s="117">
        <f t="shared" si="30"/>
        <v>2693.23</v>
      </c>
      <c r="J101" s="117">
        <f t="shared" si="28"/>
        <v>14452.27</v>
      </c>
      <c r="K101" s="118" t="e">
        <f t="shared" si="29"/>
        <v>#N/A</v>
      </c>
      <c r="L101" s="51"/>
      <c r="M101" s="54"/>
    </row>
    <row r="102" spans="2:13" s="50" customFormat="1" ht="12.75" outlineLevel="1">
      <c r="B102" s="114" t="s">
        <v>421</v>
      </c>
      <c r="C102" s="115" t="s">
        <v>303</v>
      </c>
      <c r="D102" s="115" t="s">
        <v>303</v>
      </c>
      <c r="E102" s="116" t="s">
        <v>310</v>
      </c>
      <c r="F102" s="115" t="s">
        <v>306</v>
      </c>
      <c r="G102" s="117">
        <f>VLOOKUP(B102,'OBRA 02 - MEMÓRIA'!$A:$O,15,0)</f>
        <v>33.230435059680005</v>
      </c>
      <c r="H102" s="117">
        <v>3695.1146119195641</v>
      </c>
      <c r="I102" s="117">
        <f t="shared" si="30"/>
        <v>4618.8900000000003</v>
      </c>
      <c r="J102" s="117">
        <f t="shared" si="28"/>
        <v>153487.72</v>
      </c>
      <c r="K102" s="118" t="e">
        <f t="shared" si="29"/>
        <v>#N/A</v>
      </c>
      <c r="L102" s="51"/>
      <c r="M102" s="54"/>
    </row>
    <row r="103" spans="2:13" s="50" customFormat="1" ht="12.75">
      <c r="B103" s="114"/>
      <c r="C103" s="115"/>
      <c r="D103" s="115"/>
      <c r="E103" s="116" t="s">
        <v>136</v>
      </c>
      <c r="F103" s="115"/>
      <c r="G103" s="117"/>
      <c r="H103" s="117"/>
      <c r="I103" s="117"/>
      <c r="J103" s="117"/>
      <c r="K103" s="118"/>
      <c r="L103" s="51"/>
      <c r="M103" s="54"/>
    </row>
    <row r="104" spans="2:13" s="50" customFormat="1" ht="12.75">
      <c r="B104" s="89" t="s">
        <v>71</v>
      </c>
      <c r="C104" s="90"/>
      <c r="D104" s="90"/>
      <c r="E104" s="106" t="s">
        <v>72</v>
      </c>
      <c r="F104" s="90"/>
      <c r="G104" s="90"/>
      <c r="H104" s="90"/>
      <c r="I104" s="90"/>
      <c r="J104" s="107">
        <f>SUM(J106:J107)</f>
        <v>105259.06</v>
      </c>
      <c r="K104" s="108" t="e">
        <f>SUM(K106:K107)</f>
        <v>#N/A</v>
      </c>
      <c r="L104" s="51"/>
      <c r="M104" s="54"/>
    </row>
    <row r="105" spans="2:13" s="50" customFormat="1" ht="12.75" outlineLevel="1">
      <c r="B105" s="109"/>
      <c r="C105" s="110"/>
      <c r="D105" s="110"/>
      <c r="E105" s="111" t="s">
        <v>136</v>
      </c>
      <c r="F105" s="110"/>
      <c r="G105" s="112"/>
      <c r="H105" s="110"/>
      <c r="I105" s="110"/>
      <c r="J105" s="112"/>
      <c r="K105" s="113"/>
      <c r="L105" s="51"/>
      <c r="M105" s="54"/>
    </row>
    <row r="106" spans="2:13" s="50" customFormat="1" ht="51" outlineLevel="1">
      <c r="B106" s="114" t="s">
        <v>73</v>
      </c>
      <c r="C106" s="115" t="s">
        <v>74</v>
      </c>
      <c r="D106" s="115" t="s">
        <v>24</v>
      </c>
      <c r="E106" s="116" t="s">
        <v>75</v>
      </c>
      <c r="F106" s="115" t="s">
        <v>76</v>
      </c>
      <c r="G106" s="117">
        <f>VLOOKUP(B106,'OBRA 02 - MEMÓRIA'!$A:$O,15,0)</f>
        <v>885.87</v>
      </c>
      <c r="H106" s="117">
        <v>54.54</v>
      </c>
      <c r="I106" s="117">
        <f t="shared" ref="I106:I107" si="31">TRUNC(H106*(1+$H$2),2)</f>
        <v>68.17</v>
      </c>
      <c r="J106" s="117">
        <f t="shared" ref="J106:J107" si="32">TRUNC(G106*I106,2)</f>
        <v>60389.75</v>
      </c>
      <c r="K106" s="118" t="e">
        <f t="shared" ref="K106:K107" si="33">J106/$J$291</f>
        <v>#N/A</v>
      </c>
      <c r="L106" s="51"/>
      <c r="M106" s="54"/>
    </row>
    <row r="107" spans="2:13" s="50" customFormat="1" ht="38.25" outlineLevel="1">
      <c r="B107" s="114" t="s">
        <v>77</v>
      </c>
      <c r="C107" s="115" t="s">
        <v>78</v>
      </c>
      <c r="D107" s="115" t="s">
        <v>24</v>
      </c>
      <c r="E107" s="116" t="s">
        <v>79</v>
      </c>
      <c r="F107" s="115" t="s">
        <v>76</v>
      </c>
      <c r="G107" s="117">
        <f>VLOOKUP(B107,'OBRA 02 - MEMÓRIA'!$A:$O,15,0)</f>
        <v>885.87</v>
      </c>
      <c r="H107" s="117">
        <v>40.520000000000003</v>
      </c>
      <c r="I107" s="117">
        <f t="shared" si="31"/>
        <v>50.65</v>
      </c>
      <c r="J107" s="117">
        <f t="shared" si="32"/>
        <v>44869.31</v>
      </c>
      <c r="K107" s="118" t="e">
        <f t="shared" si="33"/>
        <v>#N/A</v>
      </c>
      <c r="L107" s="51"/>
      <c r="M107" s="54"/>
    </row>
    <row r="108" spans="2:13" s="50" customFormat="1" ht="12.75">
      <c r="B108" s="114"/>
      <c r="C108" s="115"/>
      <c r="D108" s="115"/>
      <c r="E108" s="116" t="s">
        <v>136</v>
      </c>
      <c r="F108" s="115"/>
      <c r="G108" s="117"/>
      <c r="H108" s="117"/>
      <c r="I108" s="117"/>
      <c r="J108" s="117"/>
      <c r="K108" s="118"/>
      <c r="L108" s="51"/>
      <c r="M108" s="54"/>
    </row>
    <row r="109" spans="2:13" s="50" customFormat="1" ht="12.75">
      <c r="B109" s="89" t="s">
        <v>80</v>
      </c>
      <c r="C109" s="90"/>
      <c r="D109" s="90"/>
      <c r="E109" s="106" t="s">
        <v>81</v>
      </c>
      <c r="F109" s="90"/>
      <c r="G109" s="90"/>
      <c r="H109" s="90"/>
      <c r="I109" s="90"/>
      <c r="J109" s="107">
        <f>SUM(J111:J114)</f>
        <v>112278.88</v>
      </c>
      <c r="K109" s="108" t="e">
        <f>SUM(K111:K114)</f>
        <v>#N/A</v>
      </c>
      <c r="L109" s="51"/>
      <c r="M109" s="54"/>
    </row>
    <row r="110" spans="2:13" s="50" customFormat="1" ht="12.75" outlineLevel="1">
      <c r="B110" s="109"/>
      <c r="C110" s="110"/>
      <c r="D110" s="110"/>
      <c r="E110" s="111" t="s">
        <v>136</v>
      </c>
      <c r="F110" s="110"/>
      <c r="G110" s="112"/>
      <c r="H110" s="110"/>
      <c r="I110" s="110"/>
      <c r="J110" s="112"/>
      <c r="K110" s="113"/>
      <c r="L110" s="51"/>
      <c r="M110" s="54"/>
    </row>
    <row r="111" spans="2:13" s="50" customFormat="1" ht="38.25" outlineLevel="1">
      <c r="B111" s="114" t="s">
        <v>372</v>
      </c>
      <c r="C111" s="115" t="s">
        <v>82</v>
      </c>
      <c r="D111" s="115" t="s">
        <v>24</v>
      </c>
      <c r="E111" s="116" t="s">
        <v>83</v>
      </c>
      <c r="F111" s="115" t="s">
        <v>21</v>
      </c>
      <c r="G111" s="117">
        <f>VLOOKUP(B111,'OBRA 02 - MEMÓRIA'!$A:$O,15,0)</f>
        <v>191.62</v>
      </c>
      <c r="H111" s="117">
        <v>82.46</v>
      </c>
      <c r="I111" s="117">
        <f t="shared" ref="I111:I114" si="34">TRUNC(H111*(1+$H$2),2)</f>
        <v>103.07</v>
      </c>
      <c r="J111" s="117">
        <f t="shared" ref="J111:J114" si="35">TRUNC(G111*I111,2)</f>
        <v>19750.27</v>
      </c>
      <c r="K111" s="118" t="e">
        <f t="shared" ref="K111:K114" si="36">J111/$J$291</f>
        <v>#N/A</v>
      </c>
      <c r="L111" s="51"/>
      <c r="M111" s="54"/>
    </row>
    <row r="112" spans="2:13" s="50" customFormat="1" ht="51" outlineLevel="1">
      <c r="B112" s="114" t="s">
        <v>373</v>
      </c>
      <c r="C112" s="115" t="s">
        <v>422</v>
      </c>
      <c r="D112" s="115" t="s">
        <v>24</v>
      </c>
      <c r="E112" s="116" t="s">
        <v>423</v>
      </c>
      <c r="F112" s="115" t="s">
        <v>21</v>
      </c>
      <c r="G112" s="117">
        <f>VLOOKUP(B112,'OBRA 02 - MEMÓRIA'!$A:$O,15,0)</f>
        <v>927.05</v>
      </c>
      <c r="H112" s="117">
        <v>78.73</v>
      </c>
      <c r="I112" s="117">
        <f t="shared" si="34"/>
        <v>98.41</v>
      </c>
      <c r="J112" s="117">
        <f t="shared" si="35"/>
        <v>91230.99</v>
      </c>
      <c r="K112" s="118" t="e">
        <f t="shared" si="36"/>
        <v>#N/A</v>
      </c>
      <c r="L112" s="51"/>
      <c r="M112" s="54"/>
    </row>
    <row r="113" spans="2:13" s="50" customFormat="1" ht="63.75" outlineLevel="1">
      <c r="B113" s="114" t="s">
        <v>374</v>
      </c>
      <c r="C113" s="115" t="s">
        <v>42</v>
      </c>
      <c r="D113" s="115" t="s">
        <v>24</v>
      </c>
      <c r="E113" s="116" t="s">
        <v>43</v>
      </c>
      <c r="F113" s="115" t="s">
        <v>28</v>
      </c>
      <c r="G113" s="117">
        <f>VLOOKUP(B113,'OBRA 02 - MEMÓRIA'!$A:$O,15,0)</f>
        <v>12.761892000000001</v>
      </c>
      <c r="H113" s="117">
        <v>7.67</v>
      </c>
      <c r="I113" s="117">
        <f t="shared" si="34"/>
        <v>9.58</v>
      </c>
      <c r="J113" s="117">
        <f t="shared" si="35"/>
        <v>122.25</v>
      </c>
      <c r="K113" s="118" t="e">
        <f t="shared" si="36"/>
        <v>#N/A</v>
      </c>
      <c r="L113" s="51"/>
      <c r="M113" s="54"/>
    </row>
    <row r="114" spans="2:13" s="50" customFormat="1" ht="38.25" outlineLevel="1">
      <c r="B114" s="114" t="s">
        <v>424</v>
      </c>
      <c r="C114" s="115" t="s">
        <v>56</v>
      </c>
      <c r="D114" s="115" t="s">
        <v>24</v>
      </c>
      <c r="E114" s="116" t="s">
        <v>57</v>
      </c>
      <c r="F114" s="115" t="s">
        <v>36</v>
      </c>
      <c r="G114" s="117">
        <f>VLOOKUP(B114,'OBRA 02 - MEMÓRIA'!$A:$O,15,0)</f>
        <v>382.85676000000007</v>
      </c>
      <c r="H114" s="117">
        <v>2.46</v>
      </c>
      <c r="I114" s="117">
        <f t="shared" si="34"/>
        <v>3.07</v>
      </c>
      <c r="J114" s="117">
        <f t="shared" si="35"/>
        <v>1175.3699999999999</v>
      </c>
      <c r="K114" s="118" t="e">
        <f t="shared" si="36"/>
        <v>#N/A</v>
      </c>
      <c r="L114" s="51"/>
      <c r="M114" s="54"/>
    </row>
    <row r="115" spans="2:13" s="50" customFormat="1" ht="12.75">
      <c r="B115" s="114"/>
      <c r="C115" s="115"/>
      <c r="D115" s="115"/>
      <c r="E115" s="116" t="s">
        <v>136</v>
      </c>
      <c r="F115" s="115"/>
      <c r="G115" s="117"/>
      <c r="H115" s="117"/>
      <c r="I115" s="117"/>
      <c r="J115" s="117"/>
      <c r="K115" s="118"/>
      <c r="L115" s="51"/>
      <c r="M115" s="54"/>
    </row>
    <row r="116" spans="2:13" s="50" customFormat="1" ht="12.75">
      <c r="B116" s="89">
        <v>6</v>
      </c>
      <c r="C116" s="90"/>
      <c r="D116" s="90"/>
      <c r="E116" s="106" t="s">
        <v>329</v>
      </c>
      <c r="F116" s="90"/>
      <c r="G116" s="90"/>
      <c r="H116" s="90"/>
      <c r="I116" s="90"/>
      <c r="J116" s="107">
        <f>J118</f>
        <v>22466.69</v>
      </c>
      <c r="K116" s="108" t="e">
        <f>K118</f>
        <v>#N/A</v>
      </c>
      <c r="L116" s="51"/>
      <c r="M116" s="54"/>
    </row>
    <row r="117" spans="2:13" s="50" customFormat="1" ht="12.75" outlineLevel="1">
      <c r="B117" s="109"/>
      <c r="C117" s="110"/>
      <c r="D117" s="110"/>
      <c r="E117" s="111" t="s">
        <v>136</v>
      </c>
      <c r="F117" s="110"/>
      <c r="G117" s="112"/>
      <c r="H117" s="110"/>
      <c r="I117" s="110"/>
      <c r="J117" s="112"/>
      <c r="K117" s="113"/>
      <c r="L117" s="51"/>
      <c r="M117" s="54"/>
    </row>
    <row r="118" spans="2:13" s="50" customFormat="1" ht="51" outlineLevel="1">
      <c r="B118" s="114" t="s">
        <v>85</v>
      </c>
      <c r="C118" s="115" t="s">
        <v>330</v>
      </c>
      <c r="D118" s="115" t="s">
        <v>24</v>
      </c>
      <c r="E118" s="116" t="s">
        <v>331</v>
      </c>
      <c r="F118" s="115" t="s">
        <v>76</v>
      </c>
      <c r="G118" s="117">
        <f>VLOOKUP(B118,'OBRA 02 - MEMÓRIA'!$A:$O,15,0)</f>
        <v>2716.65</v>
      </c>
      <c r="H118" s="117">
        <v>6.62</v>
      </c>
      <c r="I118" s="117">
        <f t="shared" ref="I118" si="37">TRUNC(H118*(1+$H$2),2)</f>
        <v>8.27</v>
      </c>
      <c r="J118" s="117">
        <f t="shared" ref="J118" si="38">TRUNC(G118*I118,2)</f>
        <v>22466.69</v>
      </c>
      <c r="K118" s="118" t="e">
        <f>J118/$J$291</f>
        <v>#N/A</v>
      </c>
      <c r="L118" s="51"/>
      <c r="M118" s="54"/>
    </row>
    <row r="119" spans="2:13" s="50" customFormat="1" ht="12.75">
      <c r="B119" s="114"/>
      <c r="C119" s="115"/>
      <c r="D119" s="115"/>
      <c r="E119" s="116" t="s">
        <v>136</v>
      </c>
      <c r="F119" s="115"/>
      <c r="G119" s="117"/>
      <c r="H119" s="117"/>
      <c r="I119" s="117"/>
      <c r="J119" s="117"/>
      <c r="K119" s="118"/>
      <c r="L119" s="51"/>
      <c r="M119" s="54"/>
    </row>
    <row r="120" spans="2:13" s="50" customFormat="1" ht="12.75">
      <c r="B120" s="89">
        <v>7</v>
      </c>
      <c r="C120" s="90"/>
      <c r="D120" s="90"/>
      <c r="E120" s="106" t="s">
        <v>87</v>
      </c>
      <c r="F120" s="90"/>
      <c r="G120" s="90"/>
      <c r="H120" s="90"/>
      <c r="I120" s="90"/>
      <c r="J120" s="107">
        <f>J122</f>
        <v>101609.08</v>
      </c>
      <c r="K120" s="108" t="e">
        <f>K122</f>
        <v>#N/A</v>
      </c>
      <c r="L120" s="51"/>
      <c r="M120" s="54"/>
    </row>
    <row r="121" spans="2:13" s="50" customFormat="1" ht="12.75" outlineLevel="1">
      <c r="B121" s="109"/>
      <c r="C121" s="110"/>
      <c r="D121" s="110"/>
      <c r="E121" s="111" t="s">
        <v>136</v>
      </c>
      <c r="F121" s="110"/>
      <c r="G121" s="112"/>
      <c r="H121" s="110"/>
      <c r="I121" s="110"/>
      <c r="J121" s="112"/>
      <c r="K121" s="113"/>
      <c r="L121" s="51"/>
      <c r="M121" s="54"/>
    </row>
    <row r="122" spans="2:13" s="50" customFormat="1" ht="12.75" outlineLevel="1">
      <c r="B122" s="114" t="s">
        <v>86</v>
      </c>
      <c r="C122" s="115" t="s">
        <v>88</v>
      </c>
      <c r="D122" s="115" t="s">
        <v>19</v>
      </c>
      <c r="E122" s="116" t="s">
        <v>89</v>
      </c>
      <c r="F122" s="115" t="s">
        <v>90</v>
      </c>
      <c r="G122" s="117">
        <f>VLOOKUP(B122,'OBRA 02 - MEMÓRIA'!$A:$O,15,0)</f>
        <v>1.6</v>
      </c>
      <c r="H122" s="117">
        <v>50804.55</v>
      </c>
      <c r="I122" s="117">
        <f t="shared" ref="I122" si="39">TRUNC(H122*(1+$H$2),2)</f>
        <v>63505.68</v>
      </c>
      <c r="J122" s="117">
        <f>TRUNC(G122*I122,2)</f>
        <v>101609.08</v>
      </c>
      <c r="K122" s="118" t="e">
        <f>J122/$J$291</f>
        <v>#N/A</v>
      </c>
      <c r="L122" s="51"/>
      <c r="M122" s="54"/>
    </row>
    <row r="123" spans="2:13" s="50" customFormat="1" ht="12.75">
      <c r="B123" s="132"/>
      <c r="C123" s="133"/>
      <c r="D123" s="133"/>
      <c r="E123" s="134" t="s">
        <v>136</v>
      </c>
      <c r="F123" s="133"/>
      <c r="G123" s="135"/>
      <c r="H123" s="133"/>
      <c r="I123" s="133"/>
      <c r="J123" s="133"/>
      <c r="K123" s="136"/>
      <c r="L123" s="51"/>
    </row>
    <row r="124" spans="2:13" ht="15">
      <c r="B124" s="97" t="s">
        <v>543</v>
      </c>
      <c r="C124" s="98"/>
      <c r="D124" s="98"/>
      <c r="E124" s="99" t="s">
        <v>534</v>
      </c>
      <c r="F124" s="98"/>
      <c r="G124" s="98"/>
      <c r="H124" s="98"/>
      <c r="I124" s="98"/>
      <c r="J124" s="100" t="e">
        <f>SUM(J126,J134,J142,J149,J164,J169,J178,J183,J187)</f>
        <v>#N/A</v>
      </c>
      <c r="K124" s="101" t="e">
        <f>SUM(K126,K134,K142,K149,K164,K169,K178,K183,K187)</f>
        <v>#N/A</v>
      </c>
      <c r="L124" s="51"/>
    </row>
    <row r="125" spans="2:13" ht="15">
      <c r="B125" s="124"/>
      <c r="C125" s="125"/>
      <c r="D125" s="125"/>
      <c r="E125" s="126" t="s">
        <v>136</v>
      </c>
      <c r="F125" s="125"/>
      <c r="G125" s="125"/>
      <c r="H125" s="125"/>
      <c r="I125" s="125"/>
      <c r="J125" s="127"/>
      <c r="K125" s="128"/>
      <c r="L125" s="51"/>
    </row>
    <row r="126" spans="2:13">
      <c r="B126" s="89" t="s">
        <v>16</v>
      </c>
      <c r="C126" s="90"/>
      <c r="D126" s="90"/>
      <c r="E126" s="106" t="s">
        <v>17</v>
      </c>
      <c r="F126" s="90"/>
      <c r="G126" s="90"/>
      <c r="H126" s="90"/>
      <c r="I126" s="90"/>
      <c r="J126" s="107" t="e">
        <f>SUM(J128:J132)</f>
        <v>#N/A</v>
      </c>
      <c r="K126" s="108" t="e">
        <f>SUM(K128:K132)</f>
        <v>#N/A</v>
      </c>
      <c r="L126" s="51"/>
    </row>
    <row r="127" spans="2:13" outlineLevel="1">
      <c r="B127" s="137"/>
      <c r="C127" s="138"/>
      <c r="D127" s="138"/>
      <c r="E127" s="139" t="s">
        <v>136</v>
      </c>
      <c r="F127" s="138"/>
      <c r="G127" s="138"/>
      <c r="H127" s="138"/>
      <c r="I127" s="138"/>
      <c r="J127" s="140"/>
      <c r="K127" s="141"/>
      <c r="L127" s="51"/>
    </row>
    <row r="128" spans="2:13" outlineLevel="1">
      <c r="B128" s="142" t="s">
        <v>18</v>
      </c>
      <c r="C128" s="143" t="s">
        <v>302</v>
      </c>
      <c r="D128" s="143" t="s">
        <v>19</v>
      </c>
      <c r="E128" s="144" t="s">
        <v>20</v>
      </c>
      <c r="F128" s="143" t="s">
        <v>21</v>
      </c>
      <c r="G128" s="145" t="e">
        <f>VLOOKUP(B128,'OBRA 03 - MEMÓRIA'!$A:$O,15,0)</f>
        <v>#N/A</v>
      </c>
      <c r="H128" s="145">
        <v>371.36</v>
      </c>
      <c r="I128" s="117">
        <f t="shared" ref="I128:I132" si="40">TRUNC(H128*(1+$H$2),2)</f>
        <v>464.2</v>
      </c>
      <c r="J128" s="145" t="e">
        <f>TRUNC(G128*I128,2)</f>
        <v>#N/A</v>
      </c>
      <c r="K128" s="118" t="e">
        <f t="shared" ref="K128:K132" si="41">J128/$J$291</f>
        <v>#N/A</v>
      </c>
      <c r="L128" s="51"/>
    </row>
    <row r="129" spans="2:12" ht="38.25" outlineLevel="1">
      <c r="B129" s="142" t="s">
        <v>22</v>
      </c>
      <c r="C129" s="143" t="s">
        <v>23</v>
      </c>
      <c r="D129" s="143" t="s">
        <v>24</v>
      </c>
      <c r="E129" s="144" t="s">
        <v>25</v>
      </c>
      <c r="F129" s="143" t="s">
        <v>21</v>
      </c>
      <c r="G129" s="145" t="e">
        <f>VLOOKUP(B129,'OBRA 03 - MEMÓRIA'!$A:$O,15,0)</f>
        <v>#N/A</v>
      </c>
      <c r="H129" s="145">
        <v>22.63</v>
      </c>
      <c r="I129" s="117">
        <f t="shared" si="40"/>
        <v>28.28</v>
      </c>
      <c r="J129" s="145" t="e">
        <f t="shared" ref="J129:J132" si="42">TRUNC(G129*I129,2)</f>
        <v>#N/A</v>
      </c>
      <c r="K129" s="118" t="e">
        <f t="shared" si="41"/>
        <v>#N/A</v>
      </c>
      <c r="L129" s="51"/>
    </row>
    <row r="130" spans="2:12" outlineLevel="1">
      <c r="B130" s="142" t="s">
        <v>26</v>
      </c>
      <c r="C130" s="143" t="s">
        <v>29</v>
      </c>
      <c r="D130" s="143" t="s">
        <v>30</v>
      </c>
      <c r="E130" s="144" t="s">
        <v>560</v>
      </c>
      <c r="F130" s="143" t="s">
        <v>31</v>
      </c>
      <c r="G130" s="145" t="e">
        <f>VLOOKUP(B130,'OBRA 03 - MEMÓRIA'!$A:$O,15,0)</f>
        <v>#N/A</v>
      </c>
      <c r="H130" s="145">
        <v>9.8000000000000007</v>
      </c>
      <c r="I130" s="117">
        <f t="shared" si="40"/>
        <v>12.25</v>
      </c>
      <c r="J130" s="145" t="e">
        <f t="shared" si="42"/>
        <v>#N/A</v>
      </c>
      <c r="K130" s="118" t="e">
        <f t="shared" si="41"/>
        <v>#N/A</v>
      </c>
      <c r="L130" s="51"/>
    </row>
    <row r="131" spans="2:12" ht="51" outlineLevel="1">
      <c r="B131" s="142" t="s">
        <v>455</v>
      </c>
      <c r="C131" s="143" t="s">
        <v>32</v>
      </c>
      <c r="D131" s="143" t="s">
        <v>24</v>
      </c>
      <c r="E131" s="144" t="s">
        <v>33</v>
      </c>
      <c r="F131" s="143" t="s">
        <v>28</v>
      </c>
      <c r="G131" s="145" t="e">
        <f>VLOOKUP(B131,'OBRA 03 - MEMÓRIA'!$A:$O,15,0)</f>
        <v>#N/A</v>
      </c>
      <c r="H131" s="145">
        <v>9.3800000000000008</v>
      </c>
      <c r="I131" s="117">
        <f t="shared" si="40"/>
        <v>11.72</v>
      </c>
      <c r="J131" s="145" t="e">
        <f t="shared" si="42"/>
        <v>#N/A</v>
      </c>
      <c r="K131" s="118" t="e">
        <f t="shared" si="41"/>
        <v>#N/A</v>
      </c>
      <c r="L131" s="51"/>
    </row>
    <row r="132" spans="2:12" ht="38.25" outlineLevel="1">
      <c r="B132" s="142" t="s">
        <v>456</v>
      </c>
      <c r="C132" s="143" t="s">
        <v>34</v>
      </c>
      <c r="D132" s="143" t="s">
        <v>24</v>
      </c>
      <c r="E132" s="144" t="s">
        <v>35</v>
      </c>
      <c r="F132" s="143" t="s">
        <v>36</v>
      </c>
      <c r="G132" s="145" t="e">
        <f>VLOOKUP(B132,'OBRA 03 - MEMÓRIA'!$A:$O,15,0)</f>
        <v>#N/A</v>
      </c>
      <c r="H132" s="145">
        <v>2.92</v>
      </c>
      <c r="I132" s="117">
        <f t="shared" si="40"/>
        <v>3.65</v>
      </c>
      <c r="J132" s="145" t="e">
        <f t="shared" si="42"/>
        <v>#N/A</v>
      </c>
      <c r="K132" s="118" t="e">
        <f t="shared" si="41"/>
        <v>#N/A</v>
      </c>
      <c r="L132" s="51"/>
    </row>
    <row r="133" spans="2:12">
      <c r="B133" s="142"/>
      <c r="C133" s="143"/>
      <c r="D133" s="143"/>
      <c r="E133" s="144" t="s">
        <v>136</v>
      </c>
      <c r="F133" s="143"/>
      <c r="G133" s="145"/>
      <c r="H133" s="145"/>
      <c r="I133" s="117"/>
      <c r="J133" s="145"/>
      <c r="K133" s="146"/>
      <c r="L133" s="51"/>
    </row>
    <row r="134" spans="2:12">
      <c r="B134" s="89" t="s">
        <v>37</v>
      </c>
      <c r="C134" s="90"/>
      <c r="D134" s="90"/>
      <c r="E134" s="106" t="s">
        <v>38</v>
      </c>
      <c r="F134" s="90"/>
      <c r="G134" s="90"/>
      <c r="H134" s="90"/>
      <c r="I134" s="90"/>
      <c r="J134" s="107">
        <f>SUM(J136:J138)</f>
        <v>232985.14</v>
      </c>
      <c r="K134" s="108" t="e">
        <f>SUM(K136:K138)</f>
        <v>#N/A</v>
      </c>
      <c r="L134" s="51"/>
    </row>
    <row r="135" spans="2:12" outlineLevel="1">
      <c r="B135" s="137"/>
      <c r="C135" s="138"/>
      <c r="D135" s="138"/>
      <c r="E135" s="139" t="s">
        <v>136</v>
      </c>
      <c r="F135" s="138"/>
      <c r="G135" s="138"/>
      <c r="H135" s="138"/>
      <c r="I135" s="138"/>
      <c r="J135" s="140"/>
      <c r="K135" s="141"/>
      <c r="L135" s="51"/>
    </row>
    <row r="136" spans="2:12" ht="38.25" outlineLevel="1">
      <c r="B136" s="142" t="s">
        <v>39</v>
      </c>
      <c r="C136" s="143">
        <v>101124</v>
      </c>
      <c r="D136" s="143" t="s">
        <v>24</v>
      </c>
      <c r="E136" s="144" t="s">
        <v>397</v>
      </c>
      <c r="F136" s="143" t="s">
        <v>28</v>
      </c>
      <c r="G136" s="145">
        <f>VLOOKUP(B136,'OBRA 03 - MEMÓRIA'!$A:$O,15,0)</f>
        <v>1437.6918400000002</v>
      </c>
      <c r="H136" s="145">
        <v>15.26</v>
      </c>
      <c r="I136" s="117">
        <f t="shared" ref="I136:I138" si="43">TRUNC(H136*(1+$H$2),2)</f>
        <v>19.07</v>
      </c>
      <c r="J136" s="145">
        <f t="shared" ref="J136:J138" si="44">TRUNC(G136*I136,2)</f>
        <v>27416.78</v>
      </c>
      <c r="K136" s="118" t="e">
        <f t="shared" ref="K136:K138" si="45">J136/$J$291</f>
        <v>#N/A</v>
      </c>
      <c r="L136" s="51"/>
    </row>
    <row r="137" spans="2:12" ht="25.5" outlineLevel="1">
      <c r="B137" s="142" t="s">
        <v>40</v>
      </c>
      <c r="C137" s="143" t="s">
        <v>41</v>
      </c>
      <c r="D137" s="143" t="s">
        <v>27</v>
      </c>
      <c r="E137" s="144" t="s">
        <v>562</v>
      </c>
      <c r="F137" s="143" t="s">
        <v>28</v>
      </c>
      <c r="G137" s="145">
        <f>VLOOKUP(B137,'OBRA 03 - MEMÓRIA'!$A:$O,15,0)</f>
        <v>1437.6918400000002</v>
      </c>
      <c r="H137" s="145">
        <v>4.8899999999999997</v>
      </c>
      <c r="I137" s="117">
        <f t="shared" si="43"/>
        <v>6.11</v>
      </c>
      <c r="J137" s="145">
        <f t="shared" si="44"/>
        <v>8784.2900000000009</v>
      </c>
      <c r="K137" s="118" t="e">
        <f t="shared" si="45"/>
        <v>#N/A</v>
      </c>
      <c r="L137" s="51"/>
    </row>
    <row r="138" spans="2:12" ht="38.25" outlineLevel="1">
      <c r="B138" s="142" t="s">
        <v>396</v>
      </c>
      <c r="C138" s="143" t="s">
        <v>34</v>
      </c>
      <c r="D138" s="143" t="s">
        <v>24</v>
      </c>
      <c r="E138" s="144" t="s">
        <v>35</v>
      </c>
      <c r="F138" s="143" t="s">
        <v>36</v>
      </c>
      <c r="G138" s="145">
        <f>VLOOKUP(B138,'OBRA 03 - MEMÓRIA'!$A:$O,15,0)</f>
        <v>53913.44400000001</v>
      </c>
      <c r="H138" s="145">
        <v>2.92</v>
      </c>
      <c r="I138" s="117">
        <f t="shared" si="43"/>
        <v>3.65</v>
      </c>
      <c r="J138" s="145">
        <f t="shared" si="44"/>
        <v>196784.07</v>
      </c>
      <c r="K138" s="118" t="e">
        <f t="shared" si="45"/>
        <v>#N/A</v>
      </c>
      <c r="L138" s="51"/>
    </row>
    <row r="139" spans="2:12">
      <c r="B139" s="142"/>
      <c r="C139" s="143"/>
      <c r="D139" s="143"/>
      <c r="E139" s="144" t="s">
        <v>136</v>
      </c>
      <c r="F139" s="143"/>
      <c r="G139" s="145"/>
      <c r="H139" s="145"/>
      <c r="I139" s="117"/>
      <c r="J139" s="145"/>
      <c r="K139" s="146"/>
      <c r="L139" s="51"/>
    </row>
    <row r="140" spans="2:12">
      <c r="B140" s="89" t="s">
        <v>44</v>
      </c>
      <c r="C140" s="90"/>
      <c r="D140" s="90"/>
      <c r="E140" s="106" t="s">
        <v>45</v>
      </c>
      <c r="F140" s="90"/>
      <c r="G140" s="90"/>
      <c r="H140" s="90"/>
      <c r="I140" s="90"/>
      <c r="J140" s="107">
        <f>J142+J149</f>
        <v>1067601.1399999999</v>
      </c>
      <c r="K140" s="108" t="e">
        <f>K142+K149</f>
        <v>#N/A</v>
      </c>
      <c r="L140" s="51"/>
    </row>
    <row r="141" spans="2:12" outlineLevel="1">
      <c r="B141" s="137"/>
      <c r="C141" s="138"/>
      <c r="D141" s="138"/>
      <c r="E141" s="139" t="s">
        <v>136</v>
      </c>
      <c r="F141" s="138"/>
      <c r="G141" s="138"/>
      <c r="H141" s="138"/>
      <c r="I141" s="138"/>
      <c r="J141" s="140"/>
      <c r="K141" s="141"/>
      <c r="L141" s="51"/>
    </row>
    <row r="142" spans="2:12" outlineLevel="1">
      <c r="B142" s="147" t="s">
        <v>46</v>
      </c>
      <c r="C142" s="148"/>
      <c r="D142" s="148"/>
      <c r="E142" s="149" t="s">
        <v>47</v>
      </c>
      <c r="F142" s="148"/>
      <c r="G142" s="148"/>
      <c r="H142" s="148"/>
      <c r="I142" s="148"/>
      <c r="J142" s="150">
        <f>SUM(J143:J148)</f>
        <v>470106.32999999996</v>
      </c>
      <c r="K142" s="151" t="e">
        <f>SUM(K143:K148)</f>
        <v>#N/A</v>
      </c>
      <c r="L142" s="51"/>
    </row>
    <row r="143" spans="2:12" ht="25.5" outlineLevel="1">
      <c r="B143" s="142" t="s">
        <v>48</v>
      </c>
      <c r="C143" s="143" t="s">
        <v>49</v>
      </c>
      <c r="D143" s="143" t="s">
        <v>24</v>
      </c>
      <c r="E143" s="144" t="s">
        <v>50</v>
      </c>
      <c r="F143" s="143" t="s">
        <v>21</v>
      </c>
      <c r="G143" s="145">
        <f>VLOOKUP(B143,'OBRA 03 - MEMÓRIA'!$A:$O,15,0)</f>
        <v>3594.2296000000001</v>
      </c>
      <c r="H143" s="145">
        <v>1.25</v>
      </c>
      <c r="I143" s="117">
        <f t="shared" ref="I143:I148" si="46">TRUNC(H143*(1+$H$2),2)</f>
        <v>1.56</v>
      </c>
      <c r="J143" s="145">
        <f t="shared" ref="J143:J148" si="47">TRUNC(G143*I143,2)</f>
        <v>5606.99</v>
      </c>
      <c r="K143" s="118" t="e">
        <f t="shared" ref="K143:K148" si="48">J143/$J$291</f>
        <v>#N/A</v>
      </c>
      <c r="L143" s="51"/>
    </row>
    <row r="144" spans="2:12" ht="51" outlineLevel="1">
      <c r="B144" s="142" t="s">
        <v>51</v>
      </c>
      <c r="C144" s="143" t="s">
        <v>52</v>
      </c>
      <c r="D144" s="143" t="s">
        <v>24</v>
      </c>
      <c r="E144" s="144" t="s">
        <v>53</v>
      </c>
      <c r="F144" s="143" t="s">
        <v>28</v>
      </c>
      <c r="G144" s="145">
        <f>VLOOKUP(B144,'OBRA 03 - MEMÓRIA'!$A:$O,15,0)</f>
        <v>718.84592000000009</v>
      </c>
      <c r="H144" s="145">
        <v>95.63</v>
      </c>
      <c r="I144" s="117">
        <f t="shared" si="46"/>
        <v>119.53</v>
      </c>
      <c r="J144" s="145">
        <f t="shared" si="47"/>
        <v>85923.65</v>
      </c>
      <c r="K144" s="118" t="e">
        <f t="shared" si="48"/>
        <v>#N/A</v>
      </c>
      <c r="L144" s="51"/>
    </row>
    <row r="145" spans="2:12" ht="38.25" outlineLevel="1">
      <c r="B145" s="142" t="s">
        <v>368</v>
      </c>
      <c r="C145" s="143" t="s">
        <v>307</v>
      </c>
      <c r="D145" s="143" t="s">
        <v>24</v>
      </c>
      <c r="E145" s="144" t="s">
        <v>308</v>
      </c>
      <c r="F145" s="143" t="s">
        <v>28</v>
      </c>
      <c r="G145" s="143">
        <f>VLOOKUP(B145,'OBRA 03 - MEMÓRIA'!$A:$O,15,0)</f>
        <v>449.27870000000007</v>
      </c>
      <c r="H145" s="145">
        <v>60.92</v>
      </c>
      <c r="I145" s="117">
        <f t="shared" si="46"/>
        <v>76.150000000000006</v>
      </c>
      <c r="J145" s="145">
        <f t="shared" si="47"/>
        <v>34212.57</v>
      </c>
      <c r="K145" s="118" t="e">
        <f t="shared" si="48"/>
        <v>#N/A</v>
      </c>
      <c r="L145" s="51"/>
    </row>
    <row r="146" spans="2:12" ht="38.25" outlineLevel="1">
      <c r="B146" s="142" t="s">
        <v>309</v>
      </c>
      <c r="C146" s="143" t="s">
        <v>54</v>
      </c>
      <c r="D146" s="143" t="s">
        <v>24</v>
      </c>
      <c r="E146" s="144" t="s">
        <v>55</v>
      </c>
      <c r="F146" s="143" t="s">
        <v>28</v>
      </c>
      <c r="G146" s="145">
        <f>VLOOKUP(B146,'OBRA 03 - MEMÓRIA'!$A:$O,15,0)</f>
        <v>718.84592000000009</v>
      </c>
      <c r="H146" s="145">
        <v>179.88</v>
      </c>
      <c r="I146" s="117">
        <f t="shared" si="46"/>
        <v>224.85</v>
      </c>
      <c r="J146" s="145">
        <f t="shared" si="47"/>
        <v>161632.5</v>
      </c>
      <c r="K146" s="118" t="e">
        <f t="shared" si="48"/>
        <v>#N/A</v>
      </c>
      <c r="L146" s="51"/>
    </row>
    <row r="147" spans="2:12" ht="63.75" outlineLevel="1">
      <c r="B147" s="142" t="s">
        <v>326</v>
      </c>
      <c r="C147" s="143" t="s">
        <v>42</v>
      </c>
      <c r="D147" s="143" t="s">
        <v>24</v>
      </c>
      <c r="E147" s="144" t="s">
        <v>43</v>
      </c>
      <c r="F147" s="143" t="s">
        <v>28</v>
      </c>
      <c r="G147" s="145">
        <f>VLOOKUP(B147,'OBRA 03 - MEMÓRIA'!$A:$O,15,0)</f>
        <v>1797.1148000000003</v>
      </c>
      <c r="H147" s="145">
        <v>7.67</v>
      </c>
      <c r="I147" s="117">
        <f t="shared" si="46"/>
        <v>9.58</v>
      </c>
      <c r="J147" s="145">
        <f t="shared" si="47"/>
        <v>17216.349999999999</v>
      </c>
      <c r="K147" s="118" t="e">
        <f t="shared" si="48"/>
        <v>#N/A</v>
      </c>
      <c r="L147" s="51"/>
    </row>
    <row r="148" spans="2:12" ht="38.25" outlineLevel="1">
      <c r="B148" s="142" t="s">
        <v>327</v>
      </c>
      <c r="C148" s="143" t="s">
        <v>56</v>
      </c>
      <c r="D148" s="143" t="s">
        <v>24</v>
      </c>
      <c r="E148" s="144" t="s">
        <v>57</v>
      </c>
      <c r="F148" s="143" t="s">
        <v>36</v>
      </c>
      <c r="G148" s="145">
        <f>VLOOKUP(B148,'OBRA 03 - MEMÓRIA'!$A:$O,15,0)</f>
        <v>53913.44400000001</v>
      </c>
      <c r="H148" s="145">
        <v>2.46</v>
      </c>
      <c r="I148" s="117">
        <f t="shared" si="46"/>
        <v>3.07</v>
      </c>
      <c r="J148" s="145">
        <f t="shared" si="47"/>
        <v>165514.26999999999</v>
      </c>
      <c r="K148" s="118" t="e">
        <f t="shared" si="48"/>
        <v>#N/A</v>
      </c>
      <c r="L148" s="51"/>
    </row>
    <row r="149" spans="2:12" outlineLevel="1">
      <c r="B149" s="147" t="s">
        <v>58</v>
      </c>
      <c r="C149" s="148"/>
      <c r="D149" s="148"/>
      <c r="E149" s="149" t="s">
        <v>59</v>
      </c>
      <c r="F149" s="148"/>
      <c r="G149" s="148"/>
      <c r="H149" s="148"/>
      <c r="I149" s="148"/>
      <c r="J149" s="150">
        <f>SUM(J150:J162)</f>
        <v>597494.80999999994</v>
      </c>
      <c r="K149" s="151" t="e">
        <f>SUM(K150:K162)</f>
        <v>#N/A</v>
      </c>
      <c r="L149" s="51"/>
    </row>
    <row r="150" spans="2:12" ht="38.25" outlineLevel="1">
      <c r="B150" s="142" t="s">
        <v>457</v>
      </c>
      <c r="C150" s="143" t="s">
        <v>458</v>
      </c>
      <c r="D150" s="143" t="s">
        <v>24</v>
      </c>
      <c r="E150" s="144" t="s">
        <v>459</v>
      </c>
      <c r="F150" s="143" t="s">
        <v>21</v>
      </c>
      <c r="G150" s="145">
        <f>VLOOKUP(B150,'OBRA 03 - MEMÓRIA'!$A:$O,15,0)</f>
        <v>2911.8492000000001</v>
      </c>
      <c r="H150" s="145">
        <v>80.39</v>
      </c>
      <c r="I150" s="117">
        <f t="shared" ref="I150:I162" si="49">TRUNC(H150*(1+$H$2),2)</f>
        <v>100.48</v>
      </c>
      <c r="J150" s="145">
        <f t="shared" ref="J150:J162" si="50">TRUNC(G150*I150,2)</f>
        <v>292582.59999999998</v>
      </c>
      <c r="K150" s="118" t="e">
        <f t="shared" ref="K150:K162" si="51">J150/$J$291</f>
        <v>#N/A</v>
      </c>
      <c r="L150" s="51"/>
    </row>
    <row r="151" spans="2:12" outlineLevel="1">
      <c r="B151" s="142" t="s">
        <v>414</v>
      </c>
      <c r="C151" s="143" t="s">
        <v>62</v>
      </c>
      <c r="D151" s="143" t="s">
        <v>27</v>
      </c>
      <c r="E151" s="144" t="s">
        <v>563</v>
      </c>
      <c r="F151" s="143" t="s">
        <v>21</v>
      </c>
      <c r="G151" s="145">
        <f>VLOOKUP(B151,'OBRA 03 - MEMÓRIA'!$A:$O,15,0)</f>
        <v>3594.2296000000001</v>
      </c>
      <c r="H151" s="145">
        <v>0.4</v>
      </c>
      <c r="I151" s="117">
        <f t="shared" si="49"/>
        <v>0.5</v>
      </c>
      <c r="J151" s="145">
        <f t="shared" si="50"/>
        <v>1797.11</v>
      </c>
      <c r="K151" s="118" t="e">
        <f t="shared" si="51"/>
        <v>#N/A</v>
      </c>
      <c r="L151" s="51"/>
    </row>
    <row r="152" spans="2:12" outlineLevel="1">
      <c r="B152" s="142" t="s">
        <v>415</v>
      </c>
      <c r="C152" s="143" t="s">
        <v>63</v>
      </c>
      <c r="D152" s="143" t="s">
        <v>27</v>
      </c>
      <c r="E152" s="144" t="s">
        <v>564</v>
      </c>
      <c r="F152" s="143" t="s">
        <v>21</v>
      </c>
      <c r="G152" s="145">
        <f>VLOOKUP(B152,'OBRA 03 - MEMÓRIA'!$A:$O,15,0)</f>
        <v>3594.2296000000001</v>
      </c>
      <c r="H152" s="145">
        <v>0.28000000000000003</v>
      </c>
      <c r="I152" s="117">
        <f t="shared" si="49"/>
        <v>0.35</v>
      </c>
      <c r="J152" s="145">
        <f t="shared" si="50"/>
        <v>1257.98</v>
      </c>
      <c r="K152" s="118" t="e">
        <f t="shared" si="51"/>
        <v>#N/A</v>
      </c>
      <c r="L152" s="51"/>
    </row>
    <row r="153" spans="2:12" ht="25.5" outlineLevel="1">
      <c r="B153" s="142" t="s">
        <v>416</v>
      </c>
      <c r="C153" s="143" t="s">
        <v>60</v>
      </c>
      <c r="D153" s="143" t="s">
        <v>27</v>
      </c>
      <c r="E153" s="144" t="s">
        <v>565</v>
      </c>
      <c r="F153" s="143" t="s">
        <v>61</v>
      </c>
      <c r="G153" s="145">
        <f>VLOOKUP(B153,'OBRA 03 - MEMÓRIA'!$A:$O,15,0)</f>
        <v>431.30755200000004</v>
      </c>
      <c r="H153" s="145">
        <v>193.45</v>
      </c>
      <c r="I153" s="117">
        <f t="shared" si="49"/>
        <v>241.81</v>
      </c>
      <c r="J153" s="145">
        <f t="shared" si="50"/>
        <v>104294.47</v>
      </c>
      <c r="K153" s="118" t="e">
        <f t="shared" si="51"/>
        <v>#N/A</v>
      </c>
      <c r="L153" s="51"/>
    </row>
    <row r="154" spans="2:12" ht="38.25" outlineLevel="1">
      <c r="B154" s="142" t="s">
        <v>417</v>
      </c>
      <c r="C154" s="143" t="s">
        <v>56</v>
      </c>
      <c r="D154" s="143" t="s">
        <v>24</v>
      </c>
      <c r="E154" s="144" t="s">
        <v>57</v>
      </c>
      <c r="F154" s="143" t="s">
        <v>36</v>
      </c>
      <c r="G154" s="145">
        <f>VLOOKUP(B154,'OBRA 03 - MEMÓRIA'!$A:$O,15,0)</f>
        <v>5391.3444000000009</v>
      </c>
      <c r="H154" s="145">
        <v>2.46</v>
      </c>
      <c r="I154" s="117">
        <f t="shared" si="49"/>
        <v>3.07</v>
      </c>
      <c r="J154" s="145">
        <f t="shared" si="50"/>
        <v>16551.419999999998</v>
      </c>
      <c r="K154" s="118" t="e">
        <f t="shared" si="51"/>
        <v>#N/A</v>
      </c>
      <c r="L154" s="51"/>
    </row>
    <row r="155" spans="2:12" ht="63.75" outlineLevel="1">
      <c r="B155" s="142" t="s">
        <v>460</v>
      </c>
      <c r="C155" s="143" t="s">
        <v>42</v>
      </c>
      <c r="D155" s="143" t="s">
        <v>24</v>
      </c>
      <c r="E155" s="144" t="s">
        <v>43</v>
      </c>
      <c r="F155" s="143" t="s">
        <v>28</v>
      </c>
      <c r="G155" s="145">
        <f>VLOOKUP(B155,'OBRA 03 - MEMÓRIA'!$A:$O,15,0)</f>
        <v>193.92915672000001</v>
      </c>
      <c r="H155" s="145">
        <v>7.67</v>
      </c>
      <c r="I155" s="117">
        <f t="shared" si="49"/>
        <v>9.58</v>
      </c>
      <c r="J155" s="145">
        <f t="shared" si="50"/>
        <v>1857.84</v>
      </c>
      <c r="K155" s="118" t="e">
        <f t="shared" si="51"/>
        <v>#N/A</v>
      </c>
      <c r="L155" s="51"/>
    </row>
    <row r="156" spans="2:12" ht="38.25" outlineLevel="1">
      <c r="B156" s="142" t="s">
        <v>461</v>
      </c>
      <c r="C156" s="143" t="s">
        <v>56</v>
      </c>
      <c r="D156" s="143" t="s">
        <v>24</v>
      </c>
      <c r="E156" s="144" t="s">
        <v>57</v>
      </c>
      <c r="F156" s="143" t="s">
        <v>36</v>
      </c>
      <c r="G156" s="145">
        <f>VLOOKUP(B156,'OBRA 03 - MEMÓRIA'!$A:$O,15,0)</f>
        <v>5817.8747016000007</v>
      </c>
      <c r="H156" s="145">
        <v>2.46</v>
      </c>
      <c r="I156" s="117">
        <f t="shared" si="49"/>
        <v>3.07</v>
      </c>
      <c r="J156" s="145">
        <f t="shared" si="50"/>
        <v>17860.87</v>
      </c>
      <c r="K156" s="118" t="e">
        <f t="shared" si="51"/>
        <v>#N/A</v>
      </c>
      <c r="L156" s="51"/>
    </row>
    <row r="157" spans="2:12" ht="51" outlineLevel="1">
      <c r="B157" s="142" t="s">
        <v>462</v>
      </c>
      <c r="C157" s="143" t="s">
        <v>64</v>
      </c>
      <c r="D157" s="143" t="s">
        <v>24</v>
      </c>
      <c r="E157" s="144" t="s">
        <v>65</v>
      </c>
      <c r="F157" s="143" t="s">
        <v>66</v>
      </c>
      <c r="G157" s="145">
        <f>VLOOKUP(B157,'OBRA 03 - MEMÓRIA'!$A:$O,15,0)</f>
        <v>1023.1477748544002</v>
      </c>
      <c r="H157" s="145">
        <v>1.42</v>
      </c>
      <c r="I157" s="117">
        <f t="shared" si="49"/>
        <v>1.77</v>
      </c>
      <c r="J157" s="145">
        <f t="shared" si="50"/>
        <v>1810.97</v>
      </c>
      <c r="K157" s="118" t="e">
        <f t="shared" si="51"/>
        <v>#N/A</v>
      </c>
      <c r="L157" s="51"/>
    </row>
    <row r="158" spans="2:12" ht="51" outlineLevel="1">
      <c r="B158" s="142" t="s">
        <v>463</v>
      </c>
      <c r="C158" s="143" t="s">
        <v>67</v>
      </c>
      <c r="D158" s="143" t="s">
        <v>24</v>
      </c>
      <c r="E158" s="144" t="s">
        <v>68</v>
      </c>
      <c r="F158" s="143" t="s">
        <v>66</v>
      </c>
      <c r="G158" s="145">
        <f>VLOOKUP(B158,'OBRA 03 - MEMÓRIA'!$A:$O,15,0)</f>
        <v>16029.315139385602</v>
      </c>
      <c r="H158" s="145">
        <v>0.55000000000000004</v>
      </c>
      <c r="I158" s="117">
        <f t="shared" si="49"/>
        <v>0.68</v>
      </c>
      <c r="J158" s="145">
        <f t="shared" si="50"/>
        <v>10899.93</v>
      </c>
      <c r="K158" s="118" t="e">
        <f t="shared" si="51"/>
        <v>#N/A</v>
      </c>
      <c r="L158" s="51"/>
    </row>
    <row r="159" spans="2:12" ht="25.5" outlineLevel="1">
      <c r="B159" s="142" t="s">
        <v>464</v>
      </c>
      <c r="C159" s="143" t="s">
        <v>69</v>
      </c>
      <c r="D159" s="143" t="s">
        <v>19</v>
      </c>
      <c r="E159" s="144" t="s">
        <v>70</v>
      </c>
      <c r="F159" s="143" t="s">
        <v>21</v>
      </c>
      <c r="G159" s="145">
        <f>VLOOKUP(B159,'OBRA 03 - MEMÓRIA'!$A:$O,15,0)</f>
        <v>3594.2296000000001</v>
      </c>
      <c r="H159" s="145">
        <v>0.56000000000000005</v>
      </c>
      <c r="I159" s="117">
        <f t="shared" si="49"/>
        <v>0.7</v>
      </c>
      <c r="J159" s="145">
        <f t="shared" si="50"/>
        <v>2515.96</v>
      </c>
      <c r="K159" s="118" t="e">
        <f t="shared" si="51"/>
        <v>#N/A</v>
      </c>
      <c r="L159" s="51"/>
    </row>
    <row r="160" spans="2:12" outlineLevel="1">
      <c r="B160" s="142" t="s">
        <v>420</v>
      </c>
      <c r="C160" s="143" t="s">
        <v>303</v>
      </c>
      <c r="D160" s="143" t="s">
        <v>303</v>
      </c>
      <c r="E160" s="144" t="s">
        <v>304</v>
      </c>
      <c r="F160" s="143" t="s">
        <v>306</v>
      </c>
      <c r="G160" s="145">
        <f>VLOOKUP(B160,'OBRA 03 - MEMÓRIA'!$A:$O,15,0)</f>
        <v>1.61740332</v>
      </c>
      <c r="H160" s="145">
        <v>2476.5828477621599</v>
      </c>
      <c r="I160" s="117">
        <f t="shared" si="49"/>
        <v>3095.72</v>
      </c>
      <c r="J160" s="145">
        <f t="shared" si="50"/>
        <v>5007.0200000000004</v>
      </c>
      <c r="K160" s="118" t="e">
        <f t="shared" si="51"/>
        <v>#N/A</v>
      </c>
      <c r="L160" s="51"/>
    </row>
    <row r="161" spans="2:12" ht="25.5" outlineLevel="1">
      <c r="B161" s="142" t="s">
        <v>421</v>
      </c>
      <c r="C161" s="143" t="s">
        <v>303</v>
      </c>
      <c r="D161" s="143" t="s">
        <v>303</v>
      </c>
      <c r="E161" s="144" t="s">
        <v>305</v>
      </c>
      <c r="F161" s="143" t="s">
        <v>306</v>
      </c>
      <c r="G161" s="145">
        <f>VLOOKUP(B161,'OBRA 03 - MEMÓRIA'!$A:$O,15,0)</f>
        <v>4.6724984799999998</v>
      </c>
      <c r="H161" s="145">
        <v>2154.5899369827707</v>
      </c>
      <c r="I161" s="117">
        <f t="shared" si="49"/>
        <v>2693.23</v>
      </c>
      <c r="J161" s="145">
        <f t="shared" si="50"/>
        <v>12584.11</v>
      </c>
      <c r="K161" s="118" t="e">
        <f t="shared" si="51"/>
        <v>#N/A</v>
      </c>
      <c r="L161" s="51"/>
    </row>
    <row r="162" spans="2:12" outlineLevel="1">
      <c r="B162" s="142" t="s">
        <v>465</v>
      </c>
      <c r="C162" s="143" t="s">
        <v>303</v>
      </c>
      <c r="D162" s="143" t="s">
        <v>303</v>
      </c>
      <c r="E162" s="144" t="s">
        <v>310</v>
      </c>
      <c r="F162" s="143" t="s">
        <v>306</v>
      </c>
      <c r="G162" s="145">
        <f>VLOOKUP(B162,'OBRA 03 - MEMÓRIA'!$A:$O,15,0)</f>
        <v>27.815024028480007</v>
      </c>
      <c r="H162" s="145">
        <v>3695.1146119195641</v>
      </c>
      <c r="I162" s="117">
        <f t="shared" si="49"/>
        <v>4618.8900000000003</v>
      </c>
      <c r="J162" s="145">
        <f t="shared" si="50"/>
        <v>128474.53</v>
      </c>
      <c r="K162" s="118" t="e">
        <f t="shared" si="51"/>
        <v>#N/A</v>
      </c>
      <c r="L162" s="51"/>
    </row>
    <row r="163" spans="2:12">
      <c r="B163" s="142"/>
      <c r="C163" s="143"/>
      <c r="D163" s="143"/>
      <c r="E163" s="144" t="s">
        <v>136</v>
      </c>
      <c r="F163" s="143"/>
      <c r="G163" s="145"/>
      <c r="H163" s="145"/>
      <c r="I163" s="117"/>
      <c r="J163" s="145"/>
      <c r="K163" s="146"/>
      <c r="L163" s="51"/>
    </row>
    <row r="164" spans="2:12">
      <c r="B164" s="89" t="s">
        <v>71</v>
      </c>
      <c r="C164" s="90"/>
      <c r="D164" s="90"/>
      <c r="E164" s="106" t="s">
        <v>72</v>
      </c>
      <c r="F164" s="90"/>
      <c r="G164" s="90"/>
      <c r="H164" s="90"/>
      <c r="I164" s="90"/>
      <c r="J164" s="107">
        <f>SUM(J166:J167)</f>
        <v>427164.31</v>
      </c>
      <c r="K164" s="108" t="e">
        <f>SUM(K166:K167)</f>
        <v>#N/A</v>
      </c>
      <c r="L164" s="51"/>
    </row>
    <row r="165" spans="2:12" outlineLevel="1">
      <c r="B165" s="137"/>
      <c r="C165" s="138"/>
      <c r="D165" s="138"/>
      <c r="E165" s="139" t="s">
        <v>136</v>
      </c>
      <c r="F165" s="138"/>
      <c r="G165" s="138"/>
      <c r="H165" s="138"/>
      <c r="I165" s="138"/>
      <c r="J165" s="140"/>
      <c r="K165" s="141"/>
      <c r="L165" s="51"/>
    </row>
    <row r="166" spans="2:12" ht="51" outlineLevel="1">
      <c r="B166" s="142" t="s">
        <v>73</v>
      </c>
      <c r="C166" s="143" t="s">
        <v>74</v>
      </c>
      <c r="D166" s="143" t="s">
        <v>24</v>
      </c>
      <c r="E166" s="144" t="s">
        <v>75</v>
      </c>
      <c r="F166" s="143" t="s">
        <v>76</v>
      </c>
      <c r="G166" s="145">
        <f>VLOOKUP(B166,'OBRA 03 - MEMÓRIA'!$A:$O,15,0)</f>
        <v>3595.0539999999996</v>
      </c>
      <c r="H166" s="145">
        <v>54.54</v>
      </c>
      <c r="I166" s="117">
        <f t="shared" ref="I166:I167" si="52">TRUNC(H166*(1+$H$2),2)</f>
        <v>68.17</v>
      </c>
      <c r="J166" s="145">
        <f t="shared" ref="J166:J167" si="53">TRUNC(G166*I166,2)</f>
        <v>245074.83</v>
      </c>
      <c r="K166" s="118" t="e">
        <f t="shared" ref="K166:K167" si="54">J166/$J$291</f>
        <v>#N/A</v>
      </c>
      <c r="L166" s="51"/>
    </row>
    <row r="167" spans="2:12" ht="38.25" outlineLevel="1">
      <c r="B167" s="142" t="s">
        <v>77</v>
      </c>
      <c r="C167" s="143" t="s">
        <v>78</v>
      </c>
      <c r="D167" s="143" t="s">
        <v>24</v>
      </c>
      <c r="E167" s="144" t="s">
        <v>79</v>
      </c>
      <c r="F167" s="143" t="s">
        <v>76</v>
      </c>
      <c r="G167" s="145">
        <f>VLOOKUP(B167,'OBRA 03 - MEMÓRIA'!$A:$O,15,0)</f>
        <v>3595.0539999999996</v>
      </c>
      <c r="H167" s="145">
        <v>40.520000000000003</v>
      </c>
      <c r="I167" s="117">
        <f t="shared" si="52"/>
        <v>50.65</v>
      </c>
      <c r="J167" s="145">
        <f t="shared" si="53"/>
        <v>182089.48</v>
      </c>
      <c r="K167" s="118" t="e">
        <f t="shared" si="54"/>
        <v>#N/A</v>
      </c>
      <c r="L167" s="51"/>
    </row>
    <row r="168" spans="2:12">
      <c r="B168" s="142"/>
      <c r="C168" s="143"/>
      <c r="D168" s="143"/>
      <c r="E168" s="144" t="s">
        <v>136</v>
      </c>
      <c r="F168" s="143"/>
      <c r="G168" s="145"/>
      <c r="H168" s="145"/>
      <c r="I168" s="117"/>
      <c r="J168" s="145"/>
      <c r="K168" s="146"/>
      <c r="L168" s="51"/>
    </row>
    <row r="169" spans="2:12">
      <c r="B169" s="89" t="s">
        <v>80</v>
      </c>
      <c r="C169" s="90"/>
      <c r="D169" s="90"/>
      <c r="E169" s="106" t="s">
        <v>81</v>
      </c>
      <c r="F169" s="90"/>
      <c r="G169" s="90"/>
      <c r="H169" s="90"/>
      <c r="I169" s="90"/>
      <c r="J169" s="107" t="e">
        <f>SUM(J171:J176)</f>
        <v>#N/A</v>
      </c>
      <c r="K169" s="108" t="e">
        <f>SUM(K171:K176)</f>
        <v>#N/A</v>
      </c>
      <c r="L169" s="51"/>
    </row>
    <row r="170" spans="2:12" outlineLevel="1">
      <c r="B170" s="137"/>
      <c r="C170" s="138"/>
      <c r="D170" s="138"/>
      <c r="E170" s="139" t="s">
        <v>136</v>
      </c>
      <c r="F170" s="138"/>
      <c r="G170" s="138"/>
      <c r="H170" s="138"/>
      <c r="I170" s="138"/>
      <c r="J170" s="140"/>
      <c r="K170" s="141"/>
      <c r="L170" s="51"/>
    </row>
    <row r="171" spans="2:12" ht="38.25" outlineLevel="1">
      <c r="B171" s="142" t="s">
        <v>466</v>
      </c>
      <c r="C171" s="143" t="s">
        <v>467</v>
      </c>
      <c r="D171" s="143" t="s">
        <v>24</v>
      </c>
      <c r="E171" s="144" t="s">
        <v>468</v>
      </c>
      <c r="F171" s="143" t="s">
        <v>21</v>
      </c>
      <c r="G171" s="145" t="e">
        <f>VLOOKUP(B171,'OBRA 03 - MEMÓRIA'!$A:$O,15,0)</f>
        <v>#N/A</v>
      </c>
      <c r="H171" s="145">
        <v>74.790000000000006</v>
      </c>
      <c r="I171" s="117">
        <f t="shared" ref="I171:I176" si="55">TRUNC(H171*(1+$H$2),2)</f>
        <v>93.48</v>
      </c>
      <c r="J171" s="145" t="e">
        <f t="shared" ref="J171:J176" si="56">TRUNC(G171*I171,2)</f>
        <v>#N/A</v>
      </c>
      <c r="K171" s="118" t="e">
        <f t="shared" ref="K171:K176" si="57">J171/$J$291</f>
        <v>#N/A</v>
      </c>
      <c r="L171" s="51"/>
    </row>
    <row r="172" spans="2:12" ht="38.25" outlineLevel="1">
      <c r="B172" s="142" t="s">
        <v>469</v>
      </c>
      <c r="C172" s="143" t="s">
        <v>82</v>
      </c>
      <c r="D172" s="143" t="s">
        <v>24</v>
      </c>
      <c r="E172" s="144" t="s">
        <v>83</v>
      </c>
      <c r="F172" s="143" t="s">
        <v>21</v>
      </c>
      <c r="G172" s="145" t="e">
        <f>VLOOKUP(B172,'OBRA 03 - MEMÓRIA'!$A:$O,15,0)</f>
        <v>#N/A</v>
      </c>
      <c r="H172" s="145">
        <v>82.46</v>
      </c>
      <c r="I172" s="117">
        <f t="shared" si="55"/>
        <v>103.07</v>
      </c>
      <c r="J172" s="145" t="e">
        <f t="shared" si="56"/>
        <v>#N/A</v>
      </c>
      <c r="K172" s="118" t="e">
        <f t="shared" si="57"/>
        <v>#N/A</v>
      </c>
      <c r="L172" s="51"/>
    </row>
    <row r="173" spans="2:12" ht="51" outlineLevel="1">
      <c r="B173" s="142" t="s">
        <v>470</v>
      </c>
      <c r="C173" s="143" t="s">
        <v>422</v>
      </c>
      <c r="D173" s="143" t="s">
        <v>24</v>
      </c>
      <c r="E173" s="144" t="s">
        <v>423</v>
      </c>
      <c r="F173" s="143" t="s">
        <v>21</v>
      </c>
      <c r="G173" s="145" t="e">
        <f>VLOOKUP(B173,'OBRA 03 - MEMÓRIA'!$A:$O,15,0)</f>
        <v>#N/A</v>
      </c>
      <c r="H173" s="145">
        <v>78.73</v>
      </c>
      <c r="I173" s="117">
        <f t="shared" si="55"/>
        <v>98.41</v>
      </c>
      <c r="J173" s="145" t="e">
        <f t="shared" si="56"/>
        <v>#N/A</v>
      </c>
      <c r="K173" s="118" t="e">
        <f t="shared" si="57"/>
        <v>#N/A</v>
      </c>
      <c r="L173" s="51"/>
    </row>
    <row r="174" spans="2:12" ht="51" outlineLevel="1">
      <c r="B174" s="142" t="s">
        <v>471</v>
      </c>
      <c r="C174" s="143" t="s">
        <v>472</v>
      </c>
      <c r="D174" s="143" t="s">
        <v>30</v>
      </c>
      <c r="E174" s="144" t="s">
        <v>567</v>
      </c>
      <c r="F174" s="143" t="s">
        <v>84</v>
      </c>
      <c r="G174" s="145" t="e">
        <f>VLOOKUP(B174,'OBRA 03 - MEMÓRIA'!$A:$O,15,0)</f>
        <v>#N/A</v>
      </c>
      <c r="H174" s="145">
        <v>348.44</v>
      </c>
      <c r="I174" s="117">
        <f t="shared" si="55"/>
        <v>435.55</v>
      </c>
      <c r="J174" s="145" t="e">
        <f t="shared" si="56"/>
        <v>#N/A</v>
      </c>
      <c r="K174" s="118" t="e">
        <f t="shared" si="57"/>
        <v>#N/A</v>
      </c>
      <c r="L174" s="51"/>
    </row>
    <row r="175" spans="2:12" ht="63.75" outlineLevel="1">
      <c r="B175" s="142" t="s">
        <v>473</v>
      </c>
      <c r="C175" s="143" t="s">
        <v>42</v>
      </c>
      <c r="D175" s="143" t="s">
        <v>24</v>
      </c>
      <c r="E175" s="144" t="s">
        <v>43</v>
      </c>
      <c r="F175" s="143" t="s">
        <v>28</v>
      </c>
      <c r="G175" s="145" t="e">
        <f>VLOOKUP(B175,'OBRA 03 - MEMÓRIA'!$A:$O,15,0)</f>
        <v>#N/A</v>
      </c>
      <c r="H175" s="145">
        <v>7.67</v>
      </c>
      <c r="I175" s="117">
        <f t="shared" si="55"/>
        <v>9.58</v>
      </c>
      <c r="J175" s="145" t="e">
        <f t="shared" si="56"/>
        <v>#N/A</v>
      </c>
      <c r="K175" s="118" t="e">
        <f t="shared" si="57"/>
        <v>#N/A</v>
      </c>
      <c r="L175" s="51"/>
    </row>
    <row r="176" spans="2:12" ht="38.25" outlineLevel="1">
      <c r="B176" s="142" t="s">
        <v>474</v>
      </c>
      <c r="C176" s="143" t="s">
        <v>56</v>
      </c>
      <c r="D176" s="143" t="s">
        <v>24</v>
      </c>
      <c r="E176" s="144" t="s">
        <v>57</v>
      </c>
      <c r="F176" s="143" t="s">
        <v>36</v>
      </c>
      <c r="G176" s="145" t="e">
        <f>VLOOKUP(B176,'OBRA 03 - MEMÓRIA'!$A:$O,15,0)</f>
        <v>#N/A</v>
      </c>
      <c r="H176" s="145">
        <v>2.46</v>
      </c>
      <c r="I176" s="117">
        <f t="shared" si="55"/>
        <v>3.07</v>
      </c>
      <c r="J176" s="145" t="e">
        <f t="shared" si="56"/>
        <v>#N/A</v>
      </c>
      <c r="K176" s="118" t="e">
        <f t="shared" si="57"/>
        <v>#N/A</v>
      </c>
      <c r="L176" s="51"/>
    </row>
    <row r="177" spans="2:12">
      <c r="B177" s="142"/>
      <c r="C177" s="143"/>
      <c r="D177" s="143"/>
      <c r="E177" s="144" t="s">
        <v>136</v>
      </c>
      <c r="F177" s="143"/>
      <c r="G177" s="145"/>
      <c r="H177" s="145"/>
      <c r="I177" s="117"/>
      <c r="J177" s="145"/>
      <c r="K177" s="146"/>
      <c r="L177" s="51"/>
    </row>
    <row r="178" spans="2:12">
      <c r="B178" s="89" t="s">
        <v>475</v>
      </c>
      <c r="C178" s="90"/>
      <c r="D178" s="90"/>
      <c r="E178" s="106" t="s">
        <v>476</v>
      </c>
      <c r="F178" s="90"/>
      <c r="G178" s="90"/>
      <c r="H178" s="90"/>
      <c r="I178" s="90"/>
      <c r="J178" s="107">
        <f>SUM(J180:J181)</f>
        <v>4989.01</v>
      </c>
      <c r="K178" s="108" t="e">
        <f>SUM(K180:K181)</f>
        <v>#N/A</v>
      </c>
      <c r="L178" s="51"/>
    </row>
    <row r="179" spans="2:12" outlineLevel="1">
      <c r="B179" s="137"/>
      <c r="C179" s="138"/>
      <c r="D179" s="138"/>
      <c r="E179" s="139" t="s">
        <v>136</v>
      </c>
      <c r="F179" s="138"/>
      <c r="G179" s="138"/>
      <c r="H179" s="138"/>
      <c r="I179" s="138"/>
      <c r="J179" s="140"/>
      <c r="K179" s="141"/>
      <c r="L179" s="51"/>
    </row>
    <row r="180" spans="2:12" ht="25.5" outlineLevel="1">
      <c r="B180" s="142" t="s">
        <v>85</v>
      </c>
      <c r="C180" s="143" t="s">
        <v>477</v>
      </c>
      <c r="D180" s="143" t="s">
        <v>24</v>
      </c>
      <c r="E180" s="144" t="s">
        <v>478</v>
      </c>
      <c r="F180" s="143" t="s">
        <v>21</v>
      </c>
      <c r="G180" s="145">
        <f>VLOOKUP(B180,'OBRA 03 - MEMÓRIA'!$A:$O,15,0)</f>
        <v>81.48</v>
      </c>
      <c r="H180" s="145">
        <v>26.49</v>
      </c>
      <c r="I180" s="117">
        <f t="shared" ref="I180:I181" si="58">TRUNC(H180*(1+$H$2),2)</f>
        <v>33.11</v>
      </c>
      <c r="J180" s="145">
        <f>TRUNC(G180*I180,2)</f>
        <v>2697.8</v>
      </c>
      <c r="K180" s="118" t="e">
        <f t="shared" ref="K180:K181" si="59">J180/$J$291</f>
        <v>#N/A</v>
      </c>
      <c r="L180" s="51"/>
    </row>
    <row r="181" spans="2:12" ht="38.25" outlineLevel="1">
      <c r="B181" s="142" t="s">
        <v>479</v>
      </c>
      <c r="C181" s="143" t="s">
        <v>480</v>
      </c>
      <c r="D181" s="143" t="s">
        <v>24</v>
      </c>
      <c r="E181" s="144" t="s">
        <v>481</v>
      </c>
      <c r="F181" s="143" t="s">
        <v>21</v>
      </c>
      <c r="G181" s="143">
        <f>VLOOKUP(B181,'OBRA 03 - MEMÓRIA'!$A:$O,15,0)</f>
        <v>81.48</v>
      </c>
      <c r="H181" s="145">
        <v>22.5</v>
      </c>
      <c r="I181" s="117">
        <f t="shared" si="58"/>
        <v>28.12</v>
      </c>
      <c r="J181" s="145">
        <f>TRUNC(G181*I181,2)</f>
        <v>2291.21</v>
      </c>
      <c r="K181" s="118" t="e">
        <f t="shared" si="59"/>
        <v>#N/A</v>
      </c>
      <c r="L181" s="51"/>
    </row>
    <row r="182" spans="2:12">
      <c r="B182" s="142"/>
      <c r="C182" s="143"/>
      <c r="D182" s="143"/>
      <c r="E182" s="144" t="s">
        <v>136</v>
      </c>
      <c r="F182" s="143"/>
      <c r="G182" s="143"/>
      <c r="H182" s="145"/>
      <c r="I182" s="117"/>
      <c r="J182" s="145"/>
      <c r="K182" s="146"/>
      <c r="L182" s="51"/>
    </row>
    <row r="183" spans="2:12">
      <c r="B183" s="89" t="s">
        <v>482</v>
      </c>
      <c r="C183" s="90"/>
      <c r="D183" s="90"/>
      <c r="E183" s="106" t="s">
        <v>329</v>
      </c>
      <c r="F183" s="90"/>
      <c r="G183" s="90"/>
      <c r="H183" s="90"/>
      <c r="I183" s="90"/>
      <c r="J183" s="107">
        <f>SUM(J185)</f>
        <v>17118.900000000001</v>
      </c>
      <c r="K183" s="108" t="e">
        <f>K185</f>
        <v>#N/A</v>
      </c>
      <c r="L183" s="51"/>
    </row>
    <row r="184" spans="2:12" outlineLevel="1">
      <c r="B184" s="137"/>
      <c r="C184" s="138"/>
      <c r="D184" s="138"/>
      <c r="E184" s="139" t="s">
        <v>136</v>
      </c>
      <c r="F184" s="138"/>
      <c r="G184" s="138"/>
      <c r="H184" s="138"/>
      <c r="I184" s="138"/>
      <c r="J184" s="140"/>
      <c r="K184" s="141"/>
      <c r="L184" s="51"/>
    </row>
    <row r="185" spans="2:12" ht="51" outlineLevel="1">
      <c r="B185" s="142" t="s">
        <v>86</v>
      </c>
      <c r="C185" s="143" t="s">
        <v>330</v>
      </c>
      <c r="D185" s="143" t="s">
        <v>24</v>
      </c>
      <c r="E185" s="144" t="s">
        <v>331</v>
      </c>
      <c r="F185" s="143" t="s">
        <v>76</v>
      </c>
      <c r="G185" s="145">
        <f>VLOOKUP(B185,'OBRA 03 - MEMÓRIA'!$A:$O,15,0)</f>
        <v>2070</v>
      </c>
      <c r="H185" s="145">
        <v>6.62</v>
      </c>
      <c r="I185" s="117">
        <f t="shared" ref="I185" si="60">TRUNC(H185*(1+$H$2),2)</f>
        <v>8.27</v>
      </c>
      <c r="J185" s="145">
        <f>TRUNC(G185*I185,2)</f>
        <v>17118.900000000001</v>
      </c>
      <c r="K185" s="118" t="e">
        <f>J185/$J$291</f>
        <v>#N/A</v>
      </c>
      <c r="L185" s="51"/>
    </row>
    <row r="186" spans="2:12">
      <c r="B186" s="142"/>
      <c r="C186" s="143"/>
      <c r="D186" s="143"/>
      <c r="E186" s="144" t="s">
        <v>136</v>
      </c>
      <c r="F186" s="143"/>
      <c r="G186" s="145"/>
      <c r="H186" s="145"/>
      <c r="I186" s="117"/>
      <c r="J186" s="145"/>
      <c r="K186" s="146"/>
      <c r="L186" s="51"/>
    </row>
    <row r="187" spans="2:12">
      <c r="B187" s="89">
        <v>8</v>
      </c>
      <c r="C187" s="90"/>
      <c r="D187" s="90"/>
      <c r="E187" s="106" t="s">
        <v>87</v>
      </c>
      <c r="F187" s="90"/>
      <c r="G187" s="90"/>
      <c r="H187" s="90"/>
      <c r="I187" s="90"/>
      <c r="J187" s="107">
        <f>SUM(J189)</f>
        <v>201948.06</v>
      </c>
      <c r="K187" s="108" t="e">
        <f>K189</f>
        <v>#N/A</v>
      </c>
      <c r="L187" s="51"/>
    </row>
    <row r="188" spans="2:12" outlineLevel="1">
      <c r="B188" s="137"/>
      <c r="C188" s="138"/>
      <c r="D188" s="138"/>
      <c r="E188" s="139" t="s">
        <v>136</v>
      </c>
      <c r="F188" s="138"/>
      <c r="G188" s="138"/>
      <c r="H188" s="138"/>
      <c r="I188" s="138"/>
      <c r="J188" s="140"/>
      <c r="K188" s="141"/>
      <c r="L188" s="51"/>
    </row>
    <row r="189" spans="2:12" outlineLevel="1">
      <c r="B189" s="142" t="s">
        <v>483</v>
      </c>
      <c r="C189" s="143" t="s">
        <v>88</v>
      </c>
      <c r="D189" s="143" t="s">
        <v>19</v>
      </c>
      <c r="E189" s="144" t="s">
        <v>89</v>
      </c>
      <c r="F189" s="143" t="s">
        <v>90</v>
      </c>
      <c r="G189" s="145">
        <f>VLOOKUP(B189,'OBRA 03 - MEMÓRIA'!$A:$O,15,0)</f>
        <v>3.18</v>
      </c>
      <c r="H189" s="145">
        <v>50804.55</v>
      </c>
      <c r="I189" s="117">
        <f t="shared" ref="I189" si="61">TRUNC(H189*(1+$H$2),2)</f>
        <v>63505.68</v>
      </c>
      <c r="J189" s="145">
        <f>TRUNC(G189*I189,2)</f>
        <v>201948.06</v>
      </c>
      <c r="K189" s="118" t="e">
        <f>J189/$J$291</f>
        <v>#N/A</v>
      </c>
      <c r="L189" s="51"/>
    </row>
    <row r="190" spans="2:12">
      <c r="B190" s="152"/>
      <c r="C190" s="153"/>
      <c r="D190" s="153"/>
      <c r="E190" s="154" t="s">
        <v>136</v>
      </c>
      <c r="F190" s="153"/>
      <c r="G190" s="153"/>
      <c r="H190" s="153"/>
      <c r="I190" s="153"/>
      <c r="J190" s="153"/>
      <c r="K190" s="155"/>
      <c r="L190" s="51"/>
    </row>
    <row r="191" spans="2:12" ht="15">
      <c r="B191" s="97" t="s">
        <v>544</v>
      </c>
      <c r="C191" s="98"/>
      <c r="D191" s="98"/>
      <c r="E191" s="99" t="s">
        <v>535</v>
      </c>
      <c r="F191" s="98"/>
      <c r="G191" s="98"/>
      <c r="H191" s="98"/>
      <c r="I191" s="98"/>
      <c r="J191" s="100" t="e">
        <f>SUM(J193,J202,J210,J218,J232,J237,J244,J248)</f>
        <v>#N/A</v>
      </c>
      <c r="K191" s="101" t="e">
        <f>SUM(K193,K202,K210,K218,K232,K237,K244,K248)</f>
        <v>#N/A</v>
      </c>
      <c r="L191" s="51"/>
    </row>
    <row r="192" spans="2:12" ht="15">
      <c r="B192" s="124"/>
      <c r="C192" s="125"/>
      <c r="D192" s="125"/>
      <c r="E192" s="126" t="s">
        <v>136</v>
      </c>
      <c r="F192" s="125"/>
      <c r="G192" s="125"/>
      <c r="H192" s="125"/>
      <c r="I192" s="125"/>
      <c r="J192" s="127"/>
      <c r="K192" s="128"/>
      <c r="L192" s="51"/>
    </row>
    <row r="193" spans="2:12">
      <c r="B193" s="89" t="s">
        <v>16</v>
      </c>
      <c r="C193" s="90"/>
      <c r="D193" s="90"/>
      <c r="E193" s="106" t="s">
        <v>17</v>
      </c>
      <c r="F193" s="90"/>
      <c r="G193" s="90"/>
      <c r="H193" s="90"/>
      <c r="I193" s="90"/>
      <c r="J193" s="107">
        <f>SUM(J195:J200)</f>
        <v>41224.03</v>
      </c>
      <c r="K193" s="108" t="e">
        <f>SUM(K195:K200)</f>
        <v>#N/A</v>
      </c>
      <c r="L193" s="51"/>
    </row>
    <row r="194" spans="2:12" outlineLevel="1">
      <c r="B194" s="137"/>
      <c r="C194" s="138"/>
      <c r="D194" s="138"/>
      <c r="E194" s="139" t="s">
        <v>136</v>
      </c>
      <c r="F194" s="138"/>
      <c r="G194" s="138"/>
      <c r="H194" s="138"/>
      <c r="I194" s="138"/>
      <c r="J194" s="140"/>
      <c r="K194" s="141"/>
      <c r="L194" s="51"/>
    </row>
    <row r="195" spans="2:12" outlineLevel="1">
      <c r="B195" s="142" t="s">
        <v>18</v>
      </c>
      <c r="C195" s="143" t="s">
        <v>302</v>
      </c>
      <c r="D195" s="143" t="s">
        <v>19</v>
      </c>
      <c r="E195" s="144" t="s">
        <v>20</v>
      </c>
      <c r="F195" s="143" t="s">
        <v>21</v>
      </c>
      <c r="G195" s="145">
        <f>VLOOKUP(B195,'OBRA 04 - MEMÓRIA'!$A:$O,15,0)</f>
        <v>6</v>
      </c>
      <c r="H195" s="145">
        <v>371.36</v>
      </c>
      <c r="I195" s="117">
        <f t="shared" ref="I195:I200" si="62">TRUNC(H195*(1+$H$2),2)</f>
        <v>464.2</v>
      </c>
      <c r="J195" s="145">
        <f>TRUNC(G195*I195,2)</f>
        <v>2785.2</v>
      </c>
      <c r="K195" s="118" t="e">
        <f t="shared" ref="K195:K200" si="63">J195/$J$291</f>
        <v>#N/A</v>
      </c>
      <c r="L195" s="51"/>
    </row>
    <row r="196" spans="2:12" ht="38.25" outlineLevel="1">
      <c r="B196" s="142" t="s">
        <v>22</v>
      </c>
      <c r="C196" s="143" t="s">
        <v>23</v>
      </c>
      <c r="D196" s="143" t="s">
        <v>24</v>
      </c>
      <c r="E196" s="144" t="s">
        <v>25</v>
      </c>
      <c r="F196" s="143" t="s">
        <v>21</v>
      </c>
      <c r="G196" s="145">
        <f>VLOOKUP(B196,'OBRA 04 - MEMÓRIA'!$A:$O,15,0)</f>
        <v>156.11000000000001</v>
      </c>
      <c r="H196" s="145">
        <v>22.63</v>
      </c>
      <c r="I196" s="117">
        <f t="shared" si="62"/>
        <v>28.28</v>
      </c>
      <c r="J196" s="145">
        <f t="shared" ref="J196:J200" si="64">TRUNC(G196*I196,2)</f>
        <v>4414.79</v>
      </c>
      <c r="K196" s="118" t="e">
        <f t="shared" si="63"/>
        <v>#N/A</v>
      </c>
      <c r="L196" s="51"/>
    </row>
    <row r="197" spans="2:12" outlineLevel="1">
      <c r="B197" s="142" t="s">
        <v>332</v>
      </c>
      <c r="C197" s="143" t="s">
        <v>29</v>
      </c>
      <c r="D197" s="143" t="s">
        <v>30</v>
      </c>
      <c r="E197" s="144" t="s">
        <v>560</v>
      </c>
      <c r="F197" s="143" t="s">
        <v>31</v>
      </c>
      <c r="G197" s="145">
        <f>VLOOKUP(B197,'OBRA 04 - MEMÓRIA'!$A:$O,15,0)</f>
        <v>66.36</v>
      </c>
      <c r="H197" s="145">
        <v>9.8000000000000007</v>
      </c>
      <c r="I197" s="117">
        <f t="shared" si="62"/>
        <v>12.25</v>
      </c>
      <c r="J197" s="145">
        <f t="shared" si="64"/>
        <v>812.91</v>
      </c>
      <c r="K197" s="118" t="e">
        <f t="shared" si="63"/>
        <v>#N/A</v>
      </c>
      <c r="L197" s="51"/>
    </row>
    <row r="198" spans="2:12" outlineLevel="1">
      <c r="B198" s="142" t="s">
        <v>333</v>
      </c>
      <c r="C198" s="143" t="s">
        <v>362</v>
      </c>
      <c r="D198" s="143" t="s">
        <v>27</v>
      </c>
      <c r="E198" s="144" t="s">
        <v>561</v>
      </c>
      <c r="F198" s="143" t="s">
        <v>28</v>
      </c>
      <c r="G198" s="145">
        <f>VLOOKUP(B198,'OBRA 04 - MEMÓRIA'!$A:$O,15,0)</f>
        <v>51.830100000000002</v>
      </c>
      <c r="H198" s="145">
        <v>395.45</v>
      </c>
      <c r="I198" s="117">
        <f t="shared" si="62"/>
        <v>494.31</v>
      </c>
      <c r="J198" s="145">
        <f t="shared" si="64"/>
        <v>25620.13</v>
      </c>
      <c r="K198" s="118" t="e">
        <f t="shared" si="63"/>
        <v>#N/A</v>
      </c>
      <c r="L198" s="51"/>
    </row>
    <row r="199" spans="2:12" ht="51" outlineLevel="1">
      <c r="B199" s="142" t="s">
        <v>334</v>
      </c>
      <c r="C199" s="143" t="s">
        <v>32</v>
      </c>
      <c r="D199" s="143" t="s">
        <v>24</v>
      </c>
      <c r="E199" s="144" t="s">
        <v>33</v>
      </c>
      <c r="F199" s="143" t="s">
        <v>28</v>
      </c>
      <c r="G199" s="145">
        <f>VLOOKUP(B199,'OBRA 04 - MEMÓRIA'!$A:$O,15,0)</f>
        <v>62.6218</v>
      </c>
      <c r="H199" s="145">
        <v>9.3800000000000008</v>
      </c>
      <c r="I199" s="117">
        <f t="shared" si="62"/>
        <v>11.72</v>
      </c>
      <c r="J199" s="145">
        <f t="shared" si="64"/>
        <v>733.92</v>
      </c>
      <c r="K199" s="118" t="e">
        <f t="shared" si="63"/>
        <v>#N/A</v>
      </c>
      <c r="L199" s="51"/>
    </row>
    <row r="200" spans="2:12" ht="38.25" outlineLevel="1">
      <c r="B200" s="142" t="s">
        <v>364</v>
      </c>
      <c r="C200" s="143" t="s">
        <v>34</v>
      </c>
      <c r="D200" s="143" t="s">
        <v>24</v>
      </c>
      <c r="E200" s="144" t="s">
        <v>35</v>
      </c>
      <c r="F200" s="143" t="s">
        <v>36</v>
      </c>
      <c r="G200" s="145">
        <f>VLOOKUP(B200,'OBRA 04 - MEMÓRIA'!$A:$O,15,0)</f>
        <v>1878.654</v>
      </c>
      <c r="H200" s="145">
        <v>2.92</v>
      </c>
      <c r="I200" s="117">
        <f t="shared" si="62"/>
        <v>3.65</v>
      </c>
      <c r="J200" s="145">
        <f t="shared" si="64"/>
        <v>6857.08</v>
      </c>
      <c r="K200" s="118" t="e">
        <f t="shared" si="63"/>
        <v>#N/A</v>
      </c>
      <c r="L200" s="51"/>
    </row>
    <row r="201" spans="2:12">
      <c r="B201" s="142"/>
      <c r="C201" s="143"/>
      <c r="D201" s="143"/>
      <c r="E201" s="144" t="s">
        <v>136</v>
      </c>
      <c r="F201" s="143"/>
      <c r="G201" s="145"/>
      <c r="H201" s="145"/>
      <c r="I201" s="117"/>
      <c r="J201" s="145"/>
      <c r="K201" s="146"/>
      <c r="L201" s="51"/>
    </row>
    <row r="202" spans="2:12">
      <c r="B202" s="89" t="s">
        <v>37</v>
      </c>
      <c r="C202" s="90"/>
      <c r="D202" s="90"/>
      <c r="E202" s="106" t="s">
        <v>38</v>
      </c>
      <c r="F202" s="90"/>
      <c r="G202" s="90"/>
      <c r="H202" s="90"/>
      <c r="I202" s="90"/>
      <c r="J202" s="107">
        <f>SUM(J204:J206)</f>
        <v>279007.11</v>
      </c>
      <c r="K202" s="108" t="e">
        <f>SUM(K204:K206)</f>
        <v>#N/A</v>
      </c>
      <c r="L202" s="51"/>
    </row>
    <row r="203" spans="2:12" outlineLevel="1">
      <c r="B203" s="137"/>
      <c r="C203" s="138"/>
      <c r="D203" s="138"/>
      <c r="E203" s="139" t="s">
        <v>136</v>
      </c>
      <c r="F203" s="138"/>
      <c r="G203" s="140"/>
      <c r="H203" s="138"/>
      <c r="I203" s="138"/>
      <c r="J203" s="140"/>
      <c r="K203" s="141"/>
      <c r="L203" s="51"/>
    </row>
    <row r="204" spans="2:12" ht="38.25" outlineLevel="1">
      <c r="B204" s="142" t="s">
        <v>39</v>
      </c>
      <c r="C204" s="143">
        <v>101124</v>
      </c>
      <c r="D204" s="143" t="s">
        <v>24</v>
      </c>
      <c r="E204" s="144" t="s">
        <v>397</v>
      </c>
      <c r="F204" s="143" t="s">
        <v>28</v>
      </c>
      <c r="G204" s="145">
        <f>VLOOKUP(B204,'OBRA 04 - MEMÓRIA'!$A:$O,15,0)</f>
        <v>2071.63</v>
      </c>
      <c r="H204" s="145">
        <v>15.26</v>
      </c>
      <c r="I204" s="117">
        <f t="shared" ref="I204:I206" si="65">TRUNC(H204*(1+$H$2),2)</f>
        <v>19.07</v>
      </c>
      <c r="J204" s="145">
        <f t="shared" ref="J204:J206" si="66">TRUNC(G204*I204,2)</f>
        <v>39505.980000000003</v>
      </c>
      <c r="K204" s="118" t="e">
        <f t="shared" ref="K204:K206" si="67">J204/$J$291</f>
        <v>#N/A</v>
      </c>
      <c r="L204" s="51"/>
    </row>
    <row r="205" spans="2:12" ht="25.5" outlineLevel="1">
      <c r="B205" s="142" t="s">
        <v>514</v>
      </c>
      <c r="C205" s="143" t="s">
        <v>41</v>
      </c>
      <c r="D205" s="143" t="s">
        <v>27</v>
      </c>
      <c r="E205" s="144" t="s">
        <v>562</v>
      </c>
      <c r="F205" s="143" t="s">
        <v>28</v>
      </c>
      <c r="G205" s="145">
        <f>VLOOKUP(B205,'OBRA 04 - MEMÓRIA'!$A:$O,15,0)</f>
        <v>2071.63</v>
      </c>
      <c r="H205" s="145">
        <v>4.8899999999999997</v>
      </c>
      <c r="I205" s="117">
        <f t="shared" si="65"/>
        <v>6.11</v>
      </c>
      <c r="J205" s="145">
        <f t="shared" si="66"/>
        <v>12657.65</v>
      </c>
      <c r="K205" s="118" t="e">
        <f t="shared" si="67"/>
        <v>#N/A</v>
      </c>
      <c r="L205" s="51"/>
    </row>
    <row r="206" spans="2:12" ht="38.25" outlineLevel="1">
      <c r="B206" s="142" t="s">
        <v>396</v>
      </c>
      <c r="C206" s="143" t="s">
        <v>34</v>
      </c>
      <c r="D206" s="143" t="s">
        <v>24</v>
      </c>
      <c r="E206" s="144" t="s">
        <v>35</v>
      </c>
      <c r="F206" s="143" t="s">
        <v>36</v>
      </c>
      <c r="G206" s="145">
        <f>VLOOKUP(B206,'OBRA 04 - MEMÓRIA'!$A:$O,15,0)</f>
        <v>62148.9</v>
      </c>
      <c r="H206" s="145">
        <v>2.92</v>
      </c>
      <c r="I206" s="117">
        <f t="shared" si="65"/>
        <v>3.65</v>
      </c>
      <c r="J206" s="145">
        <f t="shared" si="66"/>
        <v>226843.48</v>
      </c>
      <c r="K206" s="118" t="e">
        <f t="shared" si="67"/>
        <v>#N/A</v>
      </c>
      <c r="L206" s="51"/>
    </row>
    <row r="207" spans="2:12">
      <c r="B207" s="142"/>
      <c r="C207" s="143"/>
      <c r="D207" s="143"/>
      <c r="E207" s="144" t="s">
        <v>136</v>
      </c>
      <c r="F207" s="143"/>
      <c r="G207" s="145"/>
      <c r="H207" s="145"/>
      <c r="I207" s="117"/>
      <c r="J207" s="145"/>
      <c r="K207" s="146"/>
      <c r="L207" s="51"/>
    </row>
    <row r="208" spans="2:12">
      <c r="B208" s="89" t="s">
        <v>44</v>
      </c>
      <c r="C208" s="90"/>
      <c r="D208" s="90"/>
      <c r="E208" s="106" t="s">
        <v>45</v>
      </c>
      <c r="F208" s="90"/>
      <c r="G208" s="90"/>
      <c r="H208" s="90"/>
      <c r="I208" s="90"/>
      <c r="J208" s="107">
        <f>J210+J218</f>
        <v>27359448.460000005</v>
      </c>
      <c r="K208" s="108" t="e">
        <f>K210+K218</f>
        <v>#N/A</v>
      </c>
      <c r="L208" s="51"/>
    </row>
    <row r="209" spans="2:13" outlineLevel="1">
      <c r="B209" s="137"/>
      <c r="C209" s="138"/>
      <c r="D209" s="138"/>
      <c r="E209" s="139" t="s">
        <v>136</v>
      </c>
      <c r="F209" s="138"/>
      <c r="G209" s="140"/>
      <c r="H209" s="138"/>
      <c r="I209" s="138"/>
      <c r="J209" s="140"/>
      <c r="K209" s="141"/>
      <c r="L209" s="51"/>
    </row>
    <row r="210" spans="2:13" outlineLevel="1">
      <c r="B210" s="147" t="s">
        <v>46</v>
      </c>
      <c r="C210" s="148"/>
      <c r="D210" s="148"/>
      <c r="E210" s="149" t="s">
        <v>47</v>
      </c>
      <c r="F210" s="148"/>
      <c r="G210" s="150"/>
      <c r="H210" s="148"/>
      <c r="I210" s="148"/>
      <c r="J210" s="150">
        <f>SUM(J211:J216)</f>
        <v>601049.23</v>
      </c>
      <c r="K210" s="151" t="e">
        <f>SUM(K211:K216)</f>
        <v>#N/A</v>
      </c>
      <c r="L210" s="51"/>
    </row>
    <row r="211" spans="2:13" ht="25.5" outlineLevel="1">
      <c r="B211" s="142" t="s">
        <v>48</v>
      </c>
      <c r="C211" s="143" t="s">
        <v>49</v>
      </c>
      <c r="D211" s="143" t="s">
        <v>24</v>
      </c>
      <c r="E211" s="144" t="s">
        <v>50</v>
      </c>
      <c r="F211" s="143" t="s">
        <v>21</v>
      </c>
      <c r="G211" s="145">
        <f>VLOOKUP(B211,'OBRA 04 - MEMÓRIA'!$A:$O,15,0)</f>
        <v>4143.26</v>
      </c>
      <c r="H211" s="145">
        <v>1.25</v>
      </c>
      <c r="I211" s="117">
        <f t="shared" ref="I211:I216" si="68">TRUNC(H211*(1+$H$2),2)</f>
        <v>1.56</v>
      </c>
      <c r="J211" s="145">
        <f t="shared" ref="J211:J216" si="69">TRUNC(G211*I211,2)</f>
        <v>6463.48</v>
      </c>
      <c r="K211" s="118" t="e">
        <f t="shared" ref="K211:K216" si="70">J211/$J$291</f>
        <v>#N/A</v>
      </c>
      <c r="L211" s="51"/>
    </row>
    <row r="212" spans="2:13" ht="51" outlineLevel="1">
      <c r="B212" s="142" t="s">
        <v>51</v>
      </c>
      <c r="C212" s="143" t="s">
        <v>52</v>
      </c>
      <c r="D212" s="143" t="s">
        <v>24</v>
      </c>
      <c r="E212" s="144" t="s">
        <v>53</v>
      </c>
      <c r="F212" s="143" t="s">
        <v>28</v>
      </c>
      <c r="G212" s="145">
        <f>VLOOKUP(B212,'OBRA 04 - MEMÓRIA'!$A:$O,15,0)</f>
        <v>828.65200000000004</v>
      </c>
      <c r="H212" s="145">
        <v>95.63</v>
      </c>
      <c r="I212" s="117">
        <f t="shared" si="68"/>
        <v>119.53</v>
      </c>
      <c r="J212" s="145">
        <f t="shared" si="69"/>
        <v>99048.77</v>
      </c>
      <c r="K212" s="118" t="e">
        <f t="shared" si="70"/>
        <v>#N/A</v>
      </c>
      <c r="L212" s="51"/>
    </row>
    <row r="213" spans="2:13" ht="38.25" outlineLevel="1">
      <c r="B213" s="142" t="s">
        <v>411</v>
      </c>
      <c r="C213" s="143" t="s">
        <v>307</v>
      </c>
      <c r="D213" s="143" t="s">
        <v>24</v>
      </c>
      <c r="E213" s="144" t="s">
        <v>308</v>
      </c>
      <c r="F213" s="143" t="s">
        <v>28</v>
      </c>
      <c r="G213" s="145">
        <f>VLOOKUP(B213,'OBRA 04 - MEMÓRIA'!$A:$O,15,0)</f>
        <v>517.90750000000003</v>
      </c>
      <c r="H213" s="145">
        <v>60.92</v>
      </c>
      <c r="I213" s="117">
        <f t="shared" si="68"/>
        <v>76.150000000000006</v>
      </c>
      <c r="J213" s="145">
        <f t="shared" si="69"/>
        <v>39438.65</v>
      </c>
      <c r="K213" s="118" t="e">
        <f t="shared" si="70"/>
        <v>#N/A</v>
      </c>
      <c r="L213" s="51"/>
    </row>
    <row r="214" spans="2:13" ht="51" outlineLevel="1">
      <c r="B214" s="142" t="s">
        <v>309</v>
      </c>
      <c r="C214" s="156">
        <v>96397</v>
      </c>
      <c r="D214" s="143" t="s">
        <v>24</v>
      </c>
      <c r="E214" s="144" t="s">
        <v>412</v>
      </c>
      <c r="F214" s="143" t="s">
        <v>28</v>
      </c>
      <c r="G214" s="145">
        <f>VLOOKUP(B214,'OBRA 04 - MEMÓRIA'!$A:$O,15,0)</f>
        <v>828.65200000000004</v>
      </c>
      <c r="H214" s="157">
        <v>236.97</v>
      </c>
      <c r="I214" s="117">
        <f t="shared" si="68"/>
        <v>296.20999999999998</v>
      </c>
      <c r="J214" s="145">
        <f t="shared" si="69"/>
        <v>245455</v>
      </c>
      <c r="K214" s="118" t="e">
        <f t="shared" si="70"/>
        <v>#N/A</v>
      </c>
      <c r="L214" s="51"/>
    </row>
    <row r="215" spans="2:13" ht="63.75" outlineLevel="1">
      <c r="B215" s="142" t="s">
        <v>326</v>
      </c>
      <c r="C215" s="143" t="s">
        <v>42</v>
      </c>
      <c r="D215" s="143" t="s">
        <v>24</v>
      </c>
      <c r="E215" s="144" t="s">
        <v>43</v>
      </c>
      <c r="F215" s="143" t="s">
        <v>28</v>
      </c>
      <c r="G215" s="145">
        <f>VLOOKUP(B215,'OBRA 04 - MEMÓRIA'!$A:$O,15,0)</f>
        <v>2071.63</v>
      </c>
      <c r="H215" s="145">
        <v>7.67</v>
      </c>
      <c r="I215" s="117">
        <f t="shared" si="68"/>
        <v>9.58</v>
      </c>
      <c r="J215" s="145">
        <f t="shared" si="69"/>
        <v>19846.21</v>
      </c>
      <c r="K215" s="118" t="e">
        <f t="shared" si="70"/>
        <v>#N/A</v>
      </c>
      <c r="L215" s="51"/>
    </row>
    <row r="216" spans="2:13" ht="38.25" outlineLevel="1">
      <c r="B216" s="142" t="s">
        <v>327</v>
      </c>
      <c r="C216" s="143" t="s">
        <v>56</v>
      </c>
      <c r="D216" s="143" t="s">
        <v>24</v>
      </c>
      <c r="E216" s="144" t="s">
        <v>57</v>
      </c>
      <c r="F216" s="143" t="s">
        <v>36</v>
      </c>
      <c r="G216" s="145">
        <f>VLOOKUP(B216,'OBRA 04 - MEMÓRIA'!$A:$O,15,0)</f>
        <v>62148.9</v>
      </c>
      <c r="H216" s="145">
        <v>2.46</v>
      </c>
      <c r="I216" s="117">
        <f t="shared" si="68"/>
        <v>3.07</v>
      </c>
      <c r="J216" s="145">
        <f t="shared" si="69"/>
        <v>190797.12</v>
      </c>
      <c r="K216" s="118" t="e">
        <f t="shared" si="70"/>
        <v>#N/A</v>
      </c>
      <c r="L216" s="51"/>
    </row>
    <row r="217" spans="2:13" outlineLevel="1">
      <c r="B217" s="142"/>
      <c r="C217" s="143"/>
      <c r="D217" s="143"/>
      <c r="E217" s="144" t="s">
        <v>136</v>
      </c>
      <c r="F217" s="143"/>
      <c r="G217" s="145"/>
      <c r="H217" s="145"/>
      <c r="I217" s="117"/>
      <c r="J217" s="145"/>
      <c r="K217" s="146"/>
      <c r="L217" s="51"/>
    </row>
    <row r="218" spans="2:13" outlineLevel="1">
      <c r="B218" s="147" t="s">
        <v>58</v>
      </c>
      <c r="C218" s="148"/>
      <c r="D218" s="148"/>
      <c r="E218" s="149" t="s">
        <v>59</v>
      </c>
      <c r="F218" s="148"/>
      <c r="G218" s="150"/>
      <c r="H218" s="148"/>
      <c r="I218" s="148"/>
      <c r="J218" s="150">
        <f>SUM(J220:J230)</f>
        <v>26758399.230000004</v>
      </c>
      <c r="K218" s="151" t="e">
        <f>SUM(K220:K230)</f>
        <v>#N/A</v>
      </c>
      <c r="L218" s="51"/>
    </row>
    <row r="219" spans="2:13" outlineLevel="1">
      <c r="B219" s="137"/>
      <c r="C219" s="138"/>
      <c r="D219" s="138"/>
      <c r="E219" s="139" t="s">
        <v>136</v>
      </c>
      <c r="F219" s="138"/>
      <c r="G219" s="140"/>
      <c r="H219" s="138"/>
      <c r="I219" s="138"/>
      <c r="J219" s="140"/>
      <c r="K219" s="141"/>
      <c r="L219" s="51"/>
    </row>
    <row r="220" spans="2:13" ht="25.5" outlineLevel="1">
      <c r="B220" s="142" t="s">
        <v>335</v>
      </c>
      <c r="C220" s="143">
        <v>4011484</v>
      </c>
      <c r="D220" s="143" t="s">
        <v>27</v>
      </c>
      <c r="E220" s="144" t="s">
        <v>566</v>
      </c>
      <c r="F220" s="156" t="s">
        <v>28</v>
      </c>
      <c r="G220" s="145">
        <f>VLOOKUP(B220,'OBRA 04 - MEMÓRIA'!$A:$O,15,0)</f>
        <v>1296.135</v>
      </c>
      <c r="H220" s="145" t="s">
        <v>413</v>
      </c>
      <c r="I220" s="117">
        <v>145.88</v>
      </c>
      <c r="J220" s="145">
        <f t="shared" ref="J220:J230" si="71">TRUNC(G220*I220,2)</f>
        <v>189080.17</v>
      </c>
      <c r="K220" s="118" t="e">
        <f t="shared" ref="K220:K230" si="72">J220/$J$291</f>
        <v>#N/A</v>
      </c>
      <c r="L220" s="51"/>
    </row>
    <row r="221" spans="2:13" outlineLevel="1">
      <c r="B221" s="142" t="s">
        <v>336</v>
      </c>
      <c r="C221" s="143" t="s">
        <v>62</v>
      </c>
      <c r="D221" s="143" t="s">
        <v>27</v>
      </c>
      <c r="E221" s="144" t="s">
        <v>563</v>
      </c>
      <c r="F221" s="143" t="s">
        <v>21</v>
      </c>
      <c r="G221" s="145">
        <f>VLOOKUP(B221,'OBRA 04 - MEMÓRIA'!$A:$O,15,0)</f>
        <v>4143.26</v>
      </c>
      <c r="H221" s="145">
        <v>0.4</v>
      </c>
      <c r="I221" s="117">
        <f t="shared" ref="I221:I230" si="73">TRUNC(H221*(1+$H$2),2)</f>
        <v>0.5</v>
      </c>
      <c r="J221" s="145">
        <f t="shared" si="71"/>
        <v>2071.63</v>
      </c>
      <c r="K221" s="118" t="e">
        <f t="shared" si="72"/>
        <v>#N/A</v>
      </c>
      <c r="L221" s="51"/>
      <c r="M221" s="81"/>
    </row>
    <row r="222" spans="2:13" outlineLevel="1">
      <c r="B222" s="142" t="s">
        <v>337</v>
      </c>
      <c r="C222" s="143" t="s">
        <v>63</v>
      </c>
      <c r="D222" s="143" t="s">
        <v>27</v>
      </c>
      <c r="E222" s="144" t="s">
        <v>564</v>
      </c>
      <c r="F222" s="143" t="s">
        <v>21</v>
      </c>
      <c r="G222" s="145">
        <f>VLOOKUP(B222,'OBRA 04 - MEMÓRIA'!$A:$O,15,0)</f>
        <v>8463.7099999999991</v>
      </c>
      <c r="H222" s="145">
        <v>0.28000000000000003</v>
      </c>
      <c r="I222" s="117">
        <f t="shared" si="73"/>
        <v>0.35</v>
      </c>
      <c r="J222" s="145">
        <f t="shared" si="71"/>
        <v>2962.29</v>
      </c>
      <c r="K222" s="118" t="e">
        <f t="shared" si="72"/>
        <v>#N/A</v>
      </c>
      <c r="L222" s="51"/>
      <c r="M222" s="81"/>
    </row>
    <row r="223" spans="2:13" ht="25.5" outlineLevel="1">
      <c r="B223" s="142" t="s">
        <v>338</v>
      </c>
      <c r="C223" s="143" t="s">
        <v>60</v>
      </c>
      <c r="D223" s="143" t="s">
        <v>27</v>
      </c>
      <c r="E223" s="144" t="s">
        <v>565</v>
      </c>
      <c r="F223" s="143" t="s">
        <v>61</v>
      </c>
      <c r="G223" s="145">
        <f>VLOOKUP(B223,'OBRA 04 - MEMÓRIA'!$A:$O,15,0)</f>
        <v>1015.6451999999999</v>
      </c>
      <c r="H223" s="145">
        <v>193.45</v>
      </c>
      <c r="I223" s="117">
        <f t="shared" si="73"/>
        <v>241.81</v>
      </c>
      <c r="J223" s="145">
        <f t="shared" si="71"/>
        <v>245593.16</v>
      </c>
      <c r="K223" s="118" t="e">
        <f t="shared" si="72"/>
        <v>#N/A</v>
      </c>
      <c r="L223" s="51"/>
      <c r="M223" s="81"/>
    </row>
    <row r="224" spans="2:13" ht="38.25" outlineLevel="1">
      <c r="B224" s="142" t="s">
        <v>339</v>
      </c>
      <c r="C224" s="143" t="s">
        <v>56</v>
      </c>
      <c r="D224" s="143" t="s">
        <v>24</v>
      </c>
      <c r="E224" s="144" t="s">
        <v>57</v>
      </c>
      <c r="F224" s="143" t="s">
        <v>36</v>
      </c>
      <c r="G224" s="145">
        <f>VLOOKUP(B224,'OBRA 04 - MEMÓRIA'!$A:$O,15,0)</f>
        <v>12695.565000000001</v>
      </c>
      <c r="H224" s="145">
        <v>2.46</v>
      </c>
      <c r="I224" s="117">
        <f t="shared" si="73"/>
        <v>3.07</v>
      </c>
      <c r="J224" s="145">
        <f t="shared" si="71"/>
        <v>38975.379999999997</v>
      </c>
      <c r="K224" s="118" t="e">
        <f t="shared" si="72"/>
        <v>#N/A</v>
      </c>
      <c r="L224" s="51"/>
      <c r="M224" s="81"/>
    </row>
    <row r="225" spans="2:13" ht="51" outlineLevel="1">
      <c r="B225" s="142" t="s">
        <v>340</v>
      </c>
      <c r="C225" s="143" t="s">
        <v>64</v>
      </c>
      <c r="D225" s="143" t="s">
        <v>24</v>
      </c>
      <c r="E225" s="144" t="s">
        <v>65</v>
      </c>
      <c r="F225" s="143" t="s">
        <v>66</v>
      </c>
      <c r="G225" s="145">
        <f>VLOOKUP(B225,'OBRA 04 - MEMÓRIA'!$A:$O,15,0)</f>
        <v>9721.0125000000007</v>
      </c>
      <c r="H225" s="145">
        <v>1.42</v>
      </c>
      <c r="I225" s="117">
        <f t="shared" si="73"/>
        <v>1.77</v>
      </c>
      <c r="J225" s="145">
        <f t="shared" si="71"/>
        <v>17206.189999999999</v>
      </c>
      <c r="K225" s="118" t="e">
        <f t="shared" si="72"/>
        <v>#N/A</v>
      </c>
      <c r="L225" s="51"/>
      <c r="M225" s="81"/>
    </row>
    <row r="226" spans="2:13" ht="51" outlineLevel="1">
      <c r="B226" s="142" t="s">
        <v>341</v>
      </c>
      <c r="C226" s="143" t="s">
        <v>67</v>
      </c>
      <c r="D226" s="143" t="s">
        <v>24</v>
      </c>
      <c r="E226" s="144" t="s">
        <v>68</v>
      </c>
      <c r="F226" s="143" t="s">
        <v>66</v>
      </c>
      <c r="G226" s="145">
        <f>VLOOKUP(B226,'OBRA 04 - MEMÓRIA'!$A:$O,15,0)</f>
        <v>2240.8159934400001</v>
      </c>
      <c r="H226" s="145">
        <v>0.55000000000000004</v>
      </c>
      <c r="I226" s="117">
        <f t="shared" si="73"/>
        <v>0.68</v>
      </c>
      <c r="J226" s="145">
        <f t="shared" si="71"/>
        <v>1523.75</v>
      </c>
      <c r="K226" s="118" t="e">
        <f t="shared" si="72"/>
        <v>#N/A</v>
      </c>
      <c r="L226" s="51"/>
      <c r="M226" s="81"/>
    </row>
    <row r="227" spans="2:13" ht="25.5" outlineLevel="1">
      <c r="B227" s="142" t="s">
        <v>342</v>
      </c>
      <c r="C227" s="143" t="s">
        <v>69</v>
      </c>
      <c r="D227" s="143" t="s">
        <v>19</v>
      </c>
      <c r="E227" s="144" t="s">
        <v>70</v>
      </c>
      <c r="F227" s="143" t="s">
        <v>21</v>
      </c>
      <c r="G227" s="145">
        <f>VLOOKUP(B227,'OBRA 04 - MEMÓRIA'!$A:$O,15,0)</f>
        <v>35106.117230559998</v>
      </c>
      <c r="H227" s="145">
        <v>0.56000000000000005</v>
      </c>
      <c r="I227" s="117">
        <f t="shared" si="73"/>
        <v>0.7</v>
      </c>
      <c r="J227" s="145">
        <f t="shared" si="71"/>
        <v>24574.28</v>
      </c>
      <c r="K227" s="118" t="e">
        <f t="shared" si="72"/>
        <v>#N/A</v>
      </c>
      <c r="L227" s="51"/>
      <c r="M227" s="81"/>
    </row>
    <row r="228" spans="2:13" outlineLevel="1">
      <c r="B228" s="142" t="s">
        <v>343</v>
      </c>
      <c r="C228" s="143" t="s">
        <v>303</v>
      </c>
      <c r="D228" s="143" t="s">
        <v>303</v>
      </c>
      <c r="E228" s="144" t="s">
        <v>304</v>
      </c>
      <c r="F228" s="143" t="s">
        <v>306</v>
      </c>
      <c r="G228" s="145">
        <f>VLOOKUP(B228,'OBRA 04 - MEMÓRIA'!$A:$O,15,0)</f>
        <v>8463.7099999999991</v>
      </c>
      <c r="H228" s="145">
        <v>2476.5828477621599</v>
      </c>
      <c r="I228" s="117">
        <f t="shared" si="73"/>
        <v>3095.72</v>
      </c>
      <c r="J228" s="145">
        <f t="shared" si="71"/>
        <v>26201276.32</v>
      </c>
      <c r="K228" s="118" t="e">
        <f t="shared" si="72"/>
        <v>#N/A</v>
      </c>
      <c r="L228" s="51"/>
      <c r="M228" s="81"/>
    </row>
    <row r="229" spans="2:13" ht="25.5" outlineLevel="1">
      <c r="B229" s="142" t="s">
        <v>344</v>
      </c>
      <c r="C229" s="143" t="s">
        <v>303</v>
      </c>
      <c r="D229" s="143" t="s">
        <v>303</v>
      </c>
      <c r="E229" s="144" t="s">
        <v>305</v>
      </c>
      <c r="F229" s="143" t="s">
        <v>306</v>
      </c>
      <c r="G229" s="145">
        <f>VLOOKUP(B229,'OBRA 04 - MEMÓRIA'!$A:$O,15,0)</f>
        <v>3.8086694999999997</v>
      </c>
      <c r="H229" s="145">
        <v>2154.5899369827707</v>
      </c>
      <c r="I229" s="117">
        <f t="shared" si="73"/>
        <v>2693.23</v>
      </c>
      <c r="J229" s="145">
        <f t="shared" si="71"/>
        <v>10257.620000000001</v>
      </c>
      <c r="K229" s="118" t="e">
        <f t="shared" si="72"/>
        <v>#N/A</v>
      </c>
      <c r="L229" s="51"/>
      <c r="M229" s="81"/>
    </row>
    <row r="230" spans="2:13" outlineLevel="1">
      <c r="B230" s="142" t="s">
        <v>420</v>
      </c>
      <c r="C230" s="143" t="s">
        <v>303</v>
      </c>
      <c r="D230" s="143" t="s">
        <v>303</v>
      </c>
      <c r="E230" s="144" t="s">
        <v>310</v>
      </c>
      <c r="F230" s="143" t="s">
        <v>306</v>
      </c>
      <c r="G230" s="145">
        <f>VLOOKUP(B230,'OBRA 04 - MEMÓRIA'!$A:$O,15,0)</f>
        <v>5.3862379999999996</v>
      </c>
      <c r="H230" s="145">
        <v>3695.1146119195641</v>
      </c>
      <c r="I230" s="117">
        <f t="shared" si="73"/>
        <v>4618.8900000000003</v>
      </c>
      <c r="J230" s="145">
        <f t="shared" si="71"/>
        <v>24878.44</v>
      </c>
      <c r="K230" s="118" t="e">
        <f t="shared" si="72"/>
        <v>#N/A</v>
      </c>
      <c r="L230" s="51"/>
      <c r="M230" s="81"/>
    </row>
    <row r="231" spans="2:13">
      <c r="B231" s="142"/>
      <c r="C231" s="143"/>
      <c r="D231" s="143"/>
      <c r="E231" s="144" t="s">
        <v>136</v>
      </c>
      <c r="F231" s="143"/>
      <c r="G231" s="145"/>
      <c r="H231" s="145"/>
      <c r="I231" s="117"/>
      <c r="J231" s="145"/>
      <c r="K231" s="146"/>
      <c r="L231" s="51"/>
      <c r="M231" s="81"/>
    </row>
    <row r="232" spans="2:13">
      <c r="B232" s="89" t="s">
        <v>71</v>
      </c>
      <c r="C232" s="90"/>
      <c r="D232" s="90"/>
      <c r="E232" s="106" t="s">
        <v>72</v>
      </c>
      <c r="F232" s="90"/>
      <c r="G232" s="90"/>
      <c r="H232" s="90"/>
      <c r="I232" s="90"/>
      <c r="J232" s="107">
        <f>SUM(J234:J235)</f>
        <v>134655.56</v>
      </c>
      <c r="K232" s="108" t="e">
        <f>SUM(K234:K235)</f>
        <v>#N/A</v>
      </c>
      <c r="L232" s="51"/>
    </row>
    <row r="233" spans="2:13" outlineLevel="1">
      <c r="B233" s="137"/>
      <c r="C233" s="138"/>
      <c r="D233" s="138"/>
      <c r="E233" s="139" t="s">
        <v>136</v>
      </c>
      <c r="F233" s="138"/>
      <c r="G233" s="140"/>
      <c r="H233" s="138"/>
      <c r="I233" s="138"/>
      <c r="J233" s="140"/>
      <c r="K233" s="141"/>
      <c r="L233" s="51"/>
    </row>
    <row r="234" spans="2:13" ht="51" outlineLevel="1">
      <c r="B234" s="142" t="s">
        <v>73</v>
      </c>
      <c r="C234" s="143" t="s">
        <v>74</v>
      </c>
      <c r="D234" s="143" t="s">
        <v>24</v>
      </c>
      <c r="E234" s="144" t="s">
        <v>75</v>
      </c>
      <c r="F234" s="143" t="s">
        <v>76</v>
      </c>
      <c r="G234" s="145">
        <f>VLOOKUP(B234,'OBRA 04 - MEMÓRIA'!$A:$O,15,0)</f>
        <v>1362.0000000000002</v>
      </c>
      <c r="H234" s="145">
        <v>54.54</v>
      </c>
      <c r="I234" s="117">
        <f t="shared" ref="I234:I235" si="74">TRUNC(H234*(1+$H$2),2)</f>
        <v>68.17</v>
      </c>
      <c r="J234" s="145">
        <f t="shared" ref="J234:J235" si="75">TRUNC(G234*I234,2)</f>
        <v>92847.54</v>
      </c>
      <c r="K234" s="118" t="e">
        <f t="shared" ref="K234:K235" si="76">J234/$J$291</f>
        <v>#N/A</v>
      </c>
      <c r="L234" s="51"/>
    </row>
    <row r="235" spans="2:13" ht="38.25" outlineLevel="1">
      <c r="B235" s="142" t="s">
        <v>77</v>
      </c>
      <c r="C235" s="143" t="s">
        <v>78</v>
      </c>
      <c r="D235" s="143" t="s">
        <v>24</v>
      </c>
      <c r="E235" s="144" t="s">
        <v>79</v>
      </c>
      <c r="F235" s="143" t="s">
        <v>76</v>
      </c>
      <c r="G235" s="145">
        <f>VLOOKUP(B235,'OBRA 04 - MEMÓRIA'!$A:$O,15,0)</f>
        <v>825.43000000000006</v>
      </c>
      <c r="H235" s="145">
        <v>40.520000000000003</v>
      </c>
      <c r="I235" s="117">
        <f t="shared" si="74"/>
        <v>50.65</v>
      </c>
      <c r="J235" s="145">
        <f t="shared" si="75"/>
        <v>41808.019999999997</v>
      </c>
      <c r="K235" s="118" t="e">
        <f t="shared" si="76"/>
        <v>#N/A</v>
      </c>
      <c r="L235" s="51"/>
    </row>
    <row r="236" spans="2:13">
      <c r="B236" s="142"/>
      <c r="C236" s="143"/>
      <c r="D236" s="143"/>
      <c r="E236" s="144" t="s">
        <v>136</v>
      </c>
      <c r="F236" s="143"/>
      <c r="G236" s="145"/>
      <c r="H236" s="145"/>
      <c r="I236" s="117"/>
      <c r="J236" s="145"/>
      <c r="K236" s="146"/>
      <c r="L236" s="51"/>
    </row>
    <row r="237" spans="2:13">
      <c r="B237" s="89" t="s">
        <v>80</v>
      </c>
      <c r="C237" s="90"/>
      <c r="D237" s="90"/>
      <c r="E237" s="106" t="s">
        <v>81</v>
      </c>
      <c r="F237" s="90"/>
      <c r="G237" s="90"/>
      <c r="H237" s="90"/>
      <c r="I237" s="90"/>
      <c r="J237" s="107">
        <f>SUM(J239:J242)</f>
        <v>141038.67000000001</v>
      </c>
      <c r="K237" s="108" t="e">
        <f>SUM(K239:K242)</f>
        <v>#N/A</v>
      </c>
      <c r="L237" s="51"/>
    </row>
    <row r="238" spans="2:13" outlineLevel="1">
      <c r="B238" s="137"/>
      <c r="C238" s="138"/>
      <c r="D238" s="138"/>
      <c r="E238" s="139" t="s">
        <v>136</v>
      </c>
      <c r="F238" s="138"/>
      <c r="G238" s="140"/>
      <c r="H238" s="138"/>
      <c r="I238" s="138"/>
      <c r="J238" s="140"/>
      <c r="K238" s="141"/>
      <c r="L238" s="51"/>
    </row>
    <row r="239" spans="2:13" ht="38.25" outlineLevel="1">
      <c r="B239" s="142" t="s">
        <v>372</v>
      </c>
      <c r="C239" s="143" t="s">
        <v>82</v>
      </c>
      <c r="D239" s="143" t="s">
        <v>24</v>
      </c>
      <c r="E239" s="144" t="s">
        <v>83</v>
      </c>
      <c r="F239" s="143" t="s">
        <v>21</v>
      </c>
      <c r="G239" s="145">
        <f>VLOOKUP(B239,'OBRA 04 - MEMÓRIA'!$A:$O,15,0)</f>
        <v>170.57</v>
      </c>
      <c r="H239" s="145">
        <v>82.46</v>
      </c>
      <c r="I239" s="117">
        <f t="shared" ref="I239:I242" si="77">TRUNC(H239*(1+$H$2),2)</f>
        <v>103.07</v>
      </c>
      <c r="J239" s="145">
        <f t="shared" ref="J239:J242" si="78">TRUNC(G239*I239,2)</f>
        <v>17580.64</v>
      </c>
      <c r="K239" s="118" t="e">
        <f t="shared" ref="K239:K242" si="79">J239/$J$291</f>
        <v>#N/A</v>
      </c>
      <c r="L239" s="51"/>
    </row>
    <row r="240" spans="2:13" ht="51" outlineLevel="1">
      <c r="B240" s="142" t="s">
        <v>373</v>
      </c>
      <c r="C240" s="143" t="s">
        <v>422</v>
      </c>
      <c r="D240" s="143" t="s">
        <v>24</v>
      </c>
      <c r="E240" s="144" t="s">
        <v>423</v>
      </c>
      <c r="F240" s="143" t="s">
        <v>21</v>
      </c>
      <c r="G240" s="145">
        <f>VLOOKUP(B240,'OBRA 04 - MEMÓRIA'!$A:$O,15,0)</f>
        <v>1242.79</v>
      </c>
      <c r="H240" s="145">
        <v>78.73</v>
      </c>
      <c r="I240" s="117">
        <f t="shared" si="77"/>
        <v>98.41</v>
      </c>
      <c r="J240" s="145">
        <f t="shared" si="78"/>
        <v>122302.96</v>
      </c>
      <c r="K240" s="118" t="e">
        <f t="shared" si="79"/>
        <v>#N/A</v>
      </c>
      <c r="L240" s="51"/>
    </row>
    <row r="241" spans="2:12" ht="63.75" outlineLevel="1">
      <c r="B241" s="142" t="s">
        <v>374</v>
      </c>
      <c r="C241" s="143" t="s">
        <v>42</v>
      </c>
      <c r="D241" s="143" t="s">
        <v>24</v>
      </c>
      <c r="E241" s="144" t="s">
        <v>43</v>
      </c>
      <c r="F241" s="143" t="s">
        <v>28</v>
      </c>
      <c r="G241" s="145">
        <f>VLOOKUP(B241,'OBRA 04 - MEMÓRIA'!$A:$O,15,0)</f>
        <v>11.359961999999999</v>
      </c>
      <c r="H241" s="145">
        <v>7.67</v>
      </c>
      <c r="I241" s="117">
        <f t="shared" si="77"/>
        <v>9.58</v>
      </c>
      <c r="J241" s="145">
        <f t="shared" si="78"/>
        <v>108.82</v>
      </c>
      <c r="K241" s="118" t="e">
        <f t="shared" si="79"/>
        <v>#N/A</v>
      </c>
      <c r="L241" s="51"/>
    </row>
    <row r="242" spans="2:12" ht="38.25" outlineLevel="1">
      <c r="B242" s="142" t="s">
        <v>424</v>
      </c>
      <c r="C242" s="143" t="s">
        <v>56</v>
      </c>
      <c r="D242" s="143" t="s">
        <v>24</v>
      </c>
      <c r="E242" s="144" t="s">
        <v>57</v>
      </c>
      <c r="F242" s="143" t="s">
        <v>36</v>
      </c>
      <c r="G242" s="145">
        <f>VLOOKUP(B242,'OBRA 04 - MEMÓRIA'!$A:$O,15,0)</f>
        <v>340.79885999999999</v>
      </c>
      <c r="H242" s="145">
        <v>2.46</v>
      </c>
      <c r="I242" s="117">
        <f t="shared" si="77"/>
        <v>3.07</v>
      </c>
      <c r="J242" s="145">
        <f t="shared" si="78"/>
        <v>1046.25</v>
      </c>
      <c r="K242" s="118" t="e">
        <f t="shared" si="79"/>
        <v>#N/A</v>
      </c>
      <c r="L242" s="51"/>
    </row>
    <row r="243" spans="2:12">
      <c r="B243" s="142"/>
      <c r="C243" s="143"/>
      <c r="D243" s="143"/>
      <c r="E243" s="144" t="s">
        <v>136</v>
      </c>
      <c r="F243" s="143"/>
      <c r="G243" s="145"/>
      <c r="H243" s="145"/>
      <c r="I243" s="117"/>
      <c r="J243" s="145"/>
      <c r="K243" s="146"/>
      <c r="L243" s="51"/>
    </row>
    <row r="244" spans="2:12">
      <c r="B244" s="89" t="s">
        <v>482</v>
      </c>
      <c r="C244" s="90"/>
      <c r="D244" s="90"/>
      <c r="E244" s="106" t="s">
        <v>329</v>
      </c>
      <c r="F244" s="90"/>
      <c r="G244" s="90"/>
      <c r="H244" s="90"/>
      <c r="I244" s="90"/>
      <c r="J244" s="107" t="e">
        <f>J246</f>
        <v>#N/A</v>
      </c>
      <c r="K244" s="108" t="e">
        <f>K246</f>
        <v>#N/A</v>
      </c>
      <c r="L244" s="51"/>
    </row>
    <row r="245" spans="2:12" outlineLevel="1">
      <c r="B245" s="137"/>
      <c r="C245" s="138"/>
      <c r="D245" s="138"/>
      <c r="E245" s="139" t="s">
        <v>136</v>
      </c>
      <c r="F245" s="138"/>
      <c r="G245" s="140"/>
      <c r="H245" s="138"/>
      <c r="I245" s="138"/>
      <c r="J245" s="140"/>
      <c r="K245" s="141"/>
      <c r="L245" s="51"/>
    </row>
    <row r="246" spans="2:12" ht="51" outlineLevel="1">
      <c r="B246" s="142" t="s">
        <v>86</v>
      </c>
      <c r="C246" s="143" t="s">
        <v>330</v>
      </c>
      <c r="D246" s="143" t="s">
        <v>24</v>
      </c>
      <c r="E246" s="144" t="s">
        <v>331</v>
      </c>
      <c r="F246" s="143" t="s">
        <v>76</v>
      </c>
      <c r="G246" s="145" t="e">
        <f>VLOOKUP(B246,'OBRA 04 - MEMÓRIA'!$A:$O,15,0)</f>
        <v>#N/A</v>
      </c>
      <c r="H246" s="145">
        <v>6.62</v>
      </c>
      <c r="I246" s="117">
        <f t="shared" ref="I246" si="80">TRUNC(H246*(1+$H$2),2)</f>
        <v>8.27</v>
      </c>
      <c r="J246" s="145" t="e">
        <f>TRUNC(G246*I246,2)</f>
        <v>#N/A</v>
      </c>
      <c r="K246" s="118" t="e">
        <f>J246/$J$291</f>
        <v>#N/A</v>
      </c>
      <c r="L246" s="51"/>
    </row>
    <row r="247" spans="2:12">
      <c r="B247" s="142"/>
      <c r="C247" s="143"/>
      <c r="D247" s="143"/>
      <c r="E247" s="144" t="s">
        <v>136</v>
      </c>
      <c r="F247" s="143"/>
      <c r="G247" s="145"/>
      <c r="H247" s="145"/>
      <c r="I247" s="117"/>
      <c r="J247" s="145"/>
      <c r="K247" s="146"/>
      <c r="L247" s="51"/>
    </row>
    <row r="248" spans="2:12">
      <c r="B248" s="89">
        <v>8</v>
      </c>
      <c r="C248" s="90"/>
      <c r="D248" s="90"/>
      <c r="E248" s="106" t="s">
        <v>87</v>
      </c>
      <c r="F248" s="90"/>
      <c r="G248" s="90"/>
      <c r="H248" s="90"/>
      <c r="I248" s="90"/>
      <c r="J248" s="107" t="e">
        <f>J250</f>
        <v>#N/A</v>
      </c>
      <c r="K248" s="108" t="e">
        <f>K250</f>
        <v>#N/A</v>
      </c>
      <c r="L248" s="51"/>
    </row>
    <row r="249" spans="2:12" outlineLevel="1">
      <c r="B249" s="137"/>
      <c r="C249" s="138"/>
      <c r="D249" s="138"/>
      <c r="E249" s="139" t="s">
        <v>136</v>
      </c>
      <c r="F249" s="138"/>
      <c r="G249" s="140"/>
      <c r="H249" s="138"/>
      <c r="I249" s="138"/>
      <c r="J249" s="140"/>
      <c r="K249" s="141"/>
      <c r="L249" s="51"/>
    </row>
    <row r="250" spans="2:12" outlineLevel="1">
      <c r="B250" s="142" t="s">
        <v>483</v>
      </c>
      <c r="C250" s="143" t="s">
        <v>88</v>
      </c>
      <c r="D250" s="143" t="s">
        <v>19</v>
      </c>
      <c r="E250" s="144" t="s">
        <v>89</v>
      </c>
      <c r="F250" s="143" t="s">
        <v>90</v>
      </c>
      <c r="G250" s="145" t="e">
        <f>VLOOKUP(B250,'OBRA 04 - MEMÓRIA'!$A:$O,15,0)</f>
        <v>#N/A</v>
      </c>
      <c r="H250" s="145">
        <v>50804.55</v>
      </c>
      <c r="I250" s="117">
        <f t="shared" ref="I250" si="81">TRUNC(H250*(1+$H$2),2)</f>
        <v>63505.68</v>
      </c>
      <c r="J250" s="145" t="e">
        <f>TRUNC(G250*I250,2)</f>
        <v>#N/A</v>
      </c>
      <c r="K250" s="118" t="e">
        <f>J250/$J$291</f>
        <v>#N/A</v>
      </c>
      <c r="L250" s="51"/>
    </row>
    <row r="251" spans="2:12">
      <c r="B251" s="152"/>
      <c r="C251" s="153"/>
      <c r="D251" s="153"/>
      <c r="E251" s="154" t="s">
        <v>136</v>
      </c>
      <c r="F251" s="153"/>
      <c r="G251" s="158"/>
      <c r="H251" s="153"/>
      <c r="I251" s="153"/>
      <c r="J251" s="153"/>
      <c r="K251" s="155"/>
      <c r="L251" s="51"/>
    </row>
    <row r="252" spans="2:12" ht="15">
      <c r="B252" s="97" t="s">
        <v>545</v>
      </c>
      <c r="C252" s="98"/>
      <c r="D252" s="98"/>
      <c r="E252" s="99" t="s">
        <v>536</v>
      </c>
      <c r="F252" s="98"/>
      <c r="G252" s="98"/>
      <c r="H252" s="98"/>
      <c r="I252" s="98"/>
      <c r="J252" s="100" t="e">
        <f>SUM(J254,J263,J276,J281,J287)</f>
        <v>#REF!</v>
      </c>
      <c r="K252" s="101" t="e">
        <f>SUM(K254,K263,K276,K281,K287)</f>
        <v>#REF!</v>
      </c>
      <c r="L252" s="51"/>
    </row>
    <row r="253" spans="2:12" ht="15">
      <c r="B253" s="124"/>
      <c r="C253" s="125"/>
      <c r="D253" s="125"/>
      <c r="E253" s="126" t="s">
        <v>136</v>
      </c>
      <c r="F253" s="125"/>
      <c r="G253" s="125"/>
      <c r="H253" s="125"/>
      <c r="I253" s="125"/>
      <c r="J253" s="127"/>
      <c r="K253" s="128"/>
      <c r="L253" s="51"/>
    </row>
    <row r="254" spans="2:12">
      <c r="B254" s="89" t="s">
        <v>16</v>
      </c>
      <c r="C254" s="90"/>
      <c r="D254" s="90"/>
      <c r="E254" s="106" t="s">
        <v>17</v>
      </c>
      <c r="F254" s="90"/>
      <c r="G254" s="90"/>
      <c r="H254" s="90"/>
      <c r="I254" s="90"/>
      <c r="J254" s="107" t="e">
        <f>SUM(J256:J261)</f>
        <v>#REF!</v>
      </c>
      <c r="K254" s="108" t="e">
        <f>SUM(K256:K261)</f>
        <v>#REF!</v>
      </c>
      <c r="L254" s="51"/>
    </row>
    <row r="255" spans="2:12" outlineLevel="1">
      <c r="B255" s="102"/>
      <c r="C255" s="103"/>
      <c r="D255" s="103"/>
      <c r="E255" s="159" t="s">
        <v>136</v>
      </c>
      <c r="F255" s="103"/>
      <c r="G255" s="103"/>
      <c r="H255" s="103"/>
      <c r="I255" s="103"/>
      <c r="J255" s="160"/>
      <c r="K255" s="161"/>
      <c r="L255" s="51"/>
    </row>
    <row r="256" spans="2:12" outlineLevel="1">
      <c r="B256" s="142" t="s">
        <v>18</v>
      </c>
      <c r="C256" s="143" t="s">
        <v>302</v>
      </c>
      <c r="D256" s="143" t="s">
        <v>19</v>
      </c>
      <c r="E256" s="144" t="s">
        <v>20</v>
      </c>
      <c r="F256" s="143" t="s">
        <v>21</v>
      </c>
      <c r="G256" s="145" t="e">
        <f>VLOOKUP(B256,#REF!,15,0)</f>
        <v>#REF!</v>
      </c>
      <c r="H256" s="145">
        <v>371.36</v>
      </c>
      <c r="I256" s="117">
        <f t="shared" ref="I256:I261" si="82">TRUNC(H256*(1+$H$2),2)</f>
        <v>464.2</v>
      </c>
      <c r="J256" s="145" t="e">
        <f>TRUNC(G256*I256,2)</f>
        <v>#REF!</v>
      </c>
      <c r="K256" s="118" t="e">
        <f t="shared" ref="K256:K261" si="83">J256/$J$291</f>
        <v>#REF!</v>
      </c>
      <c r="L256" s="51"/>
    </row>
    <row r="257" spans="2:12" ht="38.25" outlineLevel="1">
      <c r="B257" s="142" t="s">
        <v>410</v>
      </c>
      <c r="C257" s="143" t="s">
        <v>23</v>
      </c>
      <c r="D257" s="143" t="s">
        <v>24</v>
      </c>
      <c r="E257" s="144" t="s">
        <v>25</v>
      </c>
      <c r="F257" s="143" t="s">
        <v>21</v>
      </c>
      <c r="G257" s="145" t="e">
        <f>VLOOKUP(B257,#REF!,15,0)</f>
        <v>#REF!</v>
      </c>
      <c r="H257" s="145">
        <v>22.63</v>
      </c>
      <c r="I257" s="117">
        <f t="shared" si="82"/>
        <v>28.28</v>
      </c>
      <c r="J257" s="145" t="e">
        <f t="shared" ref="J257:J261" si="84">TRUNC(G257*I257,2)</f>
        <v>#REF!</v>
      </c>
      <c r="K257" s="118" t="e">
        <f t="shared" si="83"/>
        <v>#REF!</v>
      </c>
      <c r="L257" s="51"/>
    </row>
    <row r="258" spans="2:12" outlineLevel="1">
      <c r="B258" s="142" t="s">
        <v>332</v>
      </c>
      <c r="C258" s="143" t="s">
        <v>29</v>
      </c>
      <c r="D258" s="143" t="s">
        <v>30</v>
      </c>
      <c r="E258" s="144" t="s">
        <v>560</v>
      </c>
      <c r="F258" s="143" t="s">
        <v>31</v>
      </c>
      <c r="G258" s="145" t="e">
        <f>VLOOKUP(B258,#REF!,15,0)</f>
        <v>#REF!</v>
      </c>
      <c r="H258" s="145">
        <v>9.8000000000000007</v>
      </c>
      <c r="I258" s="117">
        <f t="shared" si="82"/>
        <v>12.25</v>
      </c>
      <c r="J258" s="145" t="e">
        <f t="shared" si="84"/>
        <v>#REF!</v>
      </c>
      <c r="K258" s="118" t="e">
        <f t="shared" si="83"/>
        <v>#REF!</v>
      </c>
      <c r="L258" s="51"/>
    </row>
    <row r="259" spans="2:12" outlineLevel="1">
      <c r="B259" s="142" t="s">
        <v>333</v>
      </c>
      <c r="C259" s="143" t="s">
        <v>362</v>
      </c>
      <c r="D259" s="143" t="s">
        <v>27</v>
      </c>
      <c r="E259" s="144" t="s">
        <v>561</v>
      </c>
      <c r="F259" s="143" t="s">
        <v>28</v>
      </c>
      <c r="G259" s="145" t="e">
        <f>VLOOKUP(B259,#REF!,15,0)</f>
        <v>#REF!</v>
      </c>
      <c r="H259" s="145">
        <v>395.45</v>
      </c>
      <c r="I259" s="117">
        <f t="shared" si="82"/>
        <v>494.31</v>
      </c>
      <c r="J259" s="145" t="e">
        <f t="shared" si="84"/>
        <v>#REF!</v>
      </c>
      <c r="K259" s="118" t="e">
        <f t="shared" si="83"/>
        <v>#REF!</v>
      </c>
      <c r="L259" s="51"/>
    </row>
    <row r="260" spans="2:12" ht="51" outlineLevel="1">
      <c r="B260" s="142" t="s">
        <v>334</v>
      </c>
      <c r="C260" s="143" t="s">
        <v>32</v>
      </c>
      <c r="D260" s="143" t="s">
        <v>24</v>
      </c>
      <c r="E260" s="144" t="s">
        <v>33</v>
      </c>
      <c r="F260" s="143" t="s">
        <v>28</v>
      </c>
      <c r="G260" s="145" t="e">
        <f>VLOOKUP(B260,#REF!,15,0)</f>
        <v>#REF!</v>
      </c>
      <c r="H260" s="145">
        <v>9.3800000000000008</v>
      </c>
      <c r="I260" s="117">
        <f t="shared" si="82"/>
        <v>11.72</v>
      </c>
      <c r="J260" s="145" t="e">
        <f t="shared" si="84"/>
        <v>#REF!</v>
      </c>
      <c r="K260" s="118" t="e">
        <f t="shared" si="83"/>
        <v>#REF!</v>
      </c>
      <c r="L260" s="51"/>
    </row>
    <row r="261" spans="2:12" ht="38.25" outlineLevel="1">
      <c r="B261" s="142" t="s">
        <v>364</v>
      </c>
      <c r="C261" s="143" t="s">
        <v>34</v>
      </c>
      <c r="D261" s="143" t="s">
        <v>24</v>
      </c>
      <c r="E261" s="144" t="s">
        <v>35</v>
      </c>
      <c r="F261" s="143" t="s">
        <v>36</v>
      </c>
      <c r="G261" s="145" t="e">
        <f>VLOOKUP(B261,#REF!,15,0)</f>
        <v>#REF!</v>
      </c>
      <c r="H261" s="145">
        <v>2.92</v>
      </c>
      <c r="I261" s="117">
        <f t="shared" si="82"/>
        <v>3.65</v>
      </c>
      <c r="J261" s="145" t="e">
        <f t="shared" si="84"/>
        <v>#REF!</v>
      </c>
      <c r="K261" s="118" t="e">
        <f t="shared" si="83"/>
        <v>#REF!</v>
      </c>
      <c r="L261" s="51"/>
    </row>
    <row r="262" spans="2:12">
      <c r="B262" s="142"/>
      <c r="C262" s="143"/>
      <c r="D262" s="143"/>
      <c r="E262" s="144" t="s">
        <v>136</v>
      </c>
      <c r="F262" s="143"/>
      <c r="G262" s="145"/>
      <c r="H262" s="145"/>
      <c r="I262" s="117"/>
      <c r="J262" s="145"/>
      <c r="K262" s="146"/>
      <c r="L262" s="51"/>
    </row>
    <row r="263" spans="2:12">
      <c r="B263" s="89">
        <v>2</v>
      </c>
      <c r="C263" s="90"/>
      <c r="D263" s="90"/>
      <c r="E263" s="106" t="s">
        <v>45</v>
      </c>
      <c r="F263" s="90"/>
      <c r="G263" s="90"/>
      <c r="H263" s="90"/>
      <c r="I263" s="90"/>
      <c r="J263" s="107" t="e">
        <f>SUM(J265:J274)</f>
        <v>#REF!</v>
      </c>
      <c r="K263" s="108" t="e">
        <f>SUM(K265:K274)</f>
        <v>#REF!</v>
      </c>
      <c r="L263" s="51"/>
    </row>
    <row r="264" spans="2:12" outlineLevel="1">
      <c r="B264" s="102"/>
      <c r="C264" s="103"/>
      <c r="D264" s="103"/>
      <c r="E264" s="159" t="s">
        <v>136</v>
      </c>
      <c r="F264" s="103"/>
      <c r="G264" s="103"/>
      <c r="H264" s="103"/>
      <c r="I264" s="103"/>
      <c r="J264" s="160"/>
      <c r="K264" s="161"/>
      <c r="L264" s="51"/>
    </row>
    <row r="265" spans="2:12" outlineLevel="1">
      <c r="B265" s="142" t="s">
        <v>517</v>
      </c>
      <c r="C265" s="143" t="s">
        <v>62</v>
      </c>
      <c r="D265" s="143" t="s">
        <v>27</v>
      </c>
      <c r="E265" s="144" t="s">
        <v>563</v>
      </c>
      <c r="F265" s="143" t="s">
        <v>21</v>
      </c>
      <c r="G265" s="145" t="e">
        <f>VLOOKUP(B265,#REF!,15,0)</f>
        <v>#REF!</v>
      </c>
      <c r="H265" s="145">
        <v>0.4</v>
      </c>
      <c r="I265" s="117">
        <f t="shared" ref="I265:I274" si="85">TRUNC(H265*(1+$H$2),2)</f>
        <v>0.5</v>
      </c>
      <c r="J265" s="145" t="e">
        <f t="shared" ref="J265:J274" si="86">TRUNC(G265*I265,2)</f>
        <v>#REF!</v>
      </c>
      <c r="K265" s="118" t="e">
        <f t="shared" ref="K265:K274" si="87">J265/$J$291</f>
        <v>#REF!</v>
      </c>
      <c r="L265" s="51"/>
    </row>
    <row r="266" spans="2:12" outlineLevel="1">
      <c r="B266" s="142" t="s">
        <v>514</v>
      </c>
      <c r="C266" s="143" t="s">
        <v>63</v>
      </c>
      <c r="D266" s="143" t="s">
        <v>27</v>
      </c>
      <c r="E266" s="144" t="s">
        <v>564</v>
      </c>
      <c r="F266" s="143" t="s">
        <v>21</v>
      </c>
      <c r="G266" s="145" t="e">
        <f>VLOOKUP(B266,#REF!,15,0)</f>
        <v>#REF!</v>
      </c>
      <c r="H266" s="145">
        <v>0.28000000000000003</v>
      </c>
      <c r="I266" s="117">
        <f t="shared" si="85"/>
        <v>0.35</v>
      </c>
      <c r="J266" s="145" t="e">
        <f t="shared" si="86"/>
        <v>#REF!</v>
      </c>
      <c r="K266" s="118" t="e">
        <f t="shared" si="87"/>
        <v>#REF!</v>
      </c>
      <c r="L266" s="51"/>
    </row>
    <row r="267" spans="2:12" ht="25.5" outlineLevel="1">
      <c r="B267" s="142" t="s">
        <v>396</v>
      </c>
      <c r="C267" s="143" t="s">
        <v>60</v>
      </c>
      <c r="D267" s="143" t="s">
        <v>27</v>
      </c>
      <c r="E267" s="144" t="s">
        <v>565</v>
      </c>
      <c r="F267" s="143" t="s">
        <v>61</v>
      </c>
      <c r="G267" s="145" t="e">
        <f>VLOOKUP(B267,#REF!,15,0)</f>
        <v>#REF!</v>
      </c>
      <c r="H267" s="145">
        <v>193.45</v>
      </c>
      <c r="I267" s="117">
        <f t="shared" si="85"/>
        <v>241.81</v>
      </c>
      <c r="J267" s="145" t="e">
        <f t="shared" si="86"/>
        <v>#REF!</v>
      </c>
      <c r="K267" s="118" t="e">
        <f t="shared" si="87"/>
        <v>#REF!</v>
      </c>
      <c r="L267" s="51"/>
    </row>
    <row r="268" spans="2:12" ht="38.25" outlineLevel="1">
      <c r="B268" s="142" t="s">
        <v>518</v>
      </c>
      <c r="C268" s="143" t="s">
        <v>56</v>
      </c>
      <c r="D268" s="143" t="s">
        <v>24</v>
      </c>
      <c r="E268" s="144" t="s">
        <v>57</v>
      </c>
      <c r="F268" s="143" t="s">
        <v>36</v>
      </c>
      <c r="G268" s="145" t="e">
        <f>VLOOKUP(B268,#REF!,15,0)</f>
        <v>#REF!</v>
      </c>
      <c r="H268" s="145">
        <v>2.46</v>
      </c>
      <c r="I268" s="117">
        <f t="shared" si="85"/>
        <v>3.07</v>
      </c>
      <c r="J268" s="145" t="e">
        <f t="shared" si="86"/>
        <v>#REF!</v>
      </c>
      <c r="K268" s="118" t="e">
        <f t="shared" si="87"/>
        <v>#REF!</v>
      </c>
      <c r="L268" s="51"/>
    </row>
    <row r="269" spans="2:12" ht="51" outlineLevel="1">
      <c r="B269" s="142" t="s">
        <v>519</v>
      </c>
      <c r="C269" s="143" t="s">
        <v>64</v>
      </c>
      <c r="D269" s="143" t="s">
        <v>24</v>
      </c>
      <c r="E269" s="144" t="s">
        <v>65</v>
      </c>
      <c r="F269" s="143" t="s">
        <v>66</v>
      </c>
      <c r="G269" s="145" t="e">
        <f>VLOOKUP(B269,#REF!,15,0)</f>
        <v>#REF!</v>
      </c>
      <c r="H269" s="145">
        <v>1.42</v>
      </c>
      <c r="I269" s="117">
        <f t="shared" si="85"/>
        <v>1.77</v>
      </c>
      <c r="J269" s="145" t="e">
        <f t="shared" si="86"/>
        <v>#REF!</v>
      </c>
      <c r="K269" s="118" t="e">
        <f t="shared" si="87"/>
        <v>#REF!</v>
      </c>
      <c r="L269" s="51"/>
    </row>
    <row r="270" spans="2:12" ht="51" outlineLevel="1">
      <c r="B270" s="142" t="s">
        <v>520</v>
      </c>
      <c r="C270" s="143" t="s">
        <v>67</v>
      </c>
      <c r="D270" s="143" t="s">
        <v>24</v>
      </c>
      <c r="E270" s="144" t="s">
        <v>68</v>
      </c>
      <c r="F270" s="143" t="s">
        <v>66</v>
      </c>
      <c r="G270" s="145" t="e">
        <f>VLOOKUP(B270,#REF!,15,0)</f>
        <v>#REF!</v>
      </c>
      <c r="H270" s="145">
        <v>0.55000000000000004</v>
      </c>
      <c r="I270" s="117">
        <f t="shared" si="85"/>
        <v>0.68</v>
      </c>
      <c r="J270" s="145" t="e">
        <f t="shared" si="86"/>
        <v>#REF!</v>
      </c>
      <c r="K270" s="118" t="e">
        <f t="shared" si="87"/>
        <v>#REF!</v>
      </c>
      <c r="L270" s="51"/>
    </row>
    <row r="271" spans="2:12" ht="25.5" outlineLevel="1">
      <c r="B271" s="142" t="s">
        <v>521</v>
      </c>
      <c r="C271" s="143" t="s">
        <v>69</v>
      </c>
      <c r="D271" s="143" t="s">
        <v>19</v>
      </c>
      <c r="E271" s="144" t="s">
        <v>70</v>
      </c>
      <c r="F271" s="143" t="s">
        <v>21</v>
      </c>
      <c r="G271" s="145" t="e">
        <f>VLOOKUP(B271,#REF!,15,0)</f>
        <v>#REF!</v>
      </c>
      <c r="H271" s="145">
        <v>0.56000000000000005</v>
      </c>
      <c r="I271" s="117">
        <f t="shared" si="85"/>
        <v>0.7</v>
      </c>
      <c r="J271" s="145" t="e">
        <f t="shared" si="86"/>
        <v>#REF!</v>
      </c>
      <c r="K271" s="118" t="e">
        <f t="shared" si="87"/>
        <v>#REF!</v>
      </c>
      <c r="L271" s="51"/>
    </row>
    <row r="272" spans="2:12" outlineLevel="1">
      <c r="B272" s="142" t="s">
        <v>522</v>
      </c>
      <c r="C272" s="143" t="s">
        <v>303</v>
      </c>
      <c r="D272" s="143" t="s">
        <v>303</v>
      </c>
      <c r="E272" s="144" t="s">
        <v>304</v>
      </c>
      <c r="F272" s="143" t="s">
        <v>306</v>
      </c>
      <c r="G272" s="145" t="e">
        <f>VLOOKUP(B272,#REF!,15,0)</f>
        <v>#REF!</v>
      </c>
      <c r="H272" s="145">
        <v>2476.5828477621599</v>
      </c>
      <c r="I272" s="117">
        <f t="shared" si="85"/>
        <v>3095.72</v>
      </c>
      <c r="J272" s="145" t="e">
        <f t="shared" si="86"/>
        <v>#REF!</v>
      </c>
      <c r="K272" s="118" t="e">
        <f t="shared" si="87"/>
        <v>#REF!</v>
      </c>
      <c r="L272" s="51"/>
    </row>
    <row r="273" spans="2:12" ht="25.5" outlineLevel="1">
      <c r="B273" s="142" t="s">
        <v>523</v>
      </c>
      <c r="C273" s="143" t="s">
        <v>303</v>
      </c>
      <c r="D273" s="143" t="s">
        <v>303</v>
      </c>
      <c r="E273" s="144" t="s">
        <v>305</v>
      </c>
      <c r="F273" s="143" t="s">
        <v>306</v>
      </c>
      <c r="G273" s="145" t="e">
        <f>VLOOKUP(B273,#REF!,15,0)</f>
        <v>#REF!</v>
      </c>
      <c r="H273" s="145">
        <v>2154.5899369827707</v>
      </c>
      <c r="I273" s="117">
        <f t="shared" si="85"/>
        <v>2693.23</v>
      </c>
      <c r="J273" s="145" t="e">
        <f t="shared" si="86"/>
        <v>#REF!</v>
      </c>
      <c r="K273" s="118" t="e">
        <f t="shared" si="87"/>
        <v>#REF!</v>
      </c>
      <c r="L273" s="51"/>
    </row>
    <row r="274" spans="2:12" outlineLevel="1">
      <c r="B274" s="142" t="s">
        <v>524</v>
      </c>
      <c r="C274" s="143" t="s">
        <v>303</v>
      </c>
      <c r="D274" s="143" t="s">
        <v>303</v>
      </c>
      <c r="E274" s="144" t="s">
        <v>310</v>
      </c>
      <c r="F274" s="143" t="s">
        <v>306</v>
      </c>
      <c r="G274" s="145" t="e">
        <f>VLOOKUP(B274,#REF!,15,0)</f>
        <v>#REF!</v>
      </c>
      <c r="H274" s="145">
        <v>3695.1146119195641</v>
      </c>
      <c r="I274" s="117">
        <f t="shared" si="85"/>
        <v>4618.8900000000003</v>
      </c>
      <c r="J274" s="145" t="e">
        <f t="shared" si="86"/>
        <v>#REF!</v>
      </c>
      <c r="K274" s="118" t="e">
        <f t="shared" si="87"/>
        <v>#REF!</v>
      </c>
      <c r="L274" s="51"/>
    </row>
    <row r="275" spans="2:12">
      <c r="B275" s="142"/>
      <c r="C275" s="143"/>
      <c r="D275" s="143"/>
      <c r="E275" s="144" t="s">
        <v>136</v>
      </c>
      <c r="F275" s="143"/>
      <c r="G275" s="145"/>
      <c r="H275" s="145"/>
      <c r="I275" s="117"/>
      <c r="J275" s="145"/>
      <c r="K275" s="146"/>
      <c r="L275" s="51"/>
    </row>
    <row r="276" spans="2:12">
      <c r="B276" s="89">
        <v>3</v>
      </c>
      <c r="C276" s="90"/>
      <c r="D276" s="90"/>
      <c r="E276" s="106" t="s">
        <v>72</v>
      </c>
      <c r="F276" s="90"/>
      <c r="G276" s="90"/>
      <c r="H276" s="90"/>
      <c r="I276" s="90"/>
      <c r="J276" s="107" t="e">
        <f>SUM(J278:J279)</f>
        <v>#REF!</v>
      </c>
      <c r="K276" s="108" t="e">
        <f>SUM(K278:K279)</f>
        <v>#REF!</v>
      </c>
      <c r="L276" s="51"/>
    </row>
    <row r="277" spans="2:12" outlineLevel="1">
      <c r="B277" s="102"/>
      <c r="C277" s="103"/>
      <c r="D277" s="103"/>
      <c r="E277" s="159" t="s">
        <v>136</v>
      </c>
      <c r="F277" s="103"/>
      <c r="G277" s="103"/>
      <c r="H277" s="103"/>
      <c r="I277" s="103"/>
      <c r="J277" s="160"/>
      <c r="K277" s="161"/>
      <c r="L277" s="51"/>
    </row>
    <row r="278" spans="2:12" ht="51" outlineLevel="1">
      <c r="B278" s="142" t="s">
        <v>46</v>
      </c>
      <c r="C278" s="143" t="s">
        <v>74</v>
      </c>
      <c r="D278" s="143" t="s">
        <v>24</v>
      </c>
      <c r="E278" s="144" t="s">
        <v>75</v>
      </c>
      <c r="F278" s="143" t="s">
        <v>76</v>
      </c>
      <c r="G278" s="145" t="e">
        <f>VLOOKUP(B278,#REF!,15,0)</f>
        <v>#REF!</v>
      </c>
      <c r="H278" s="145">
        <v>54.54</v>
      </c>
      <c r="I278" s="117">
        <f t="shared" ref="I278:I279" si="88">TRUNC(H278*(1+$H$2),2)</f>
        <v>68.17</v>
      </c>
      <c r="J278" s="145" t="e">
        <f t="shared" ref="J278:J279" si="89">TRUNC(G278*I278,2)</f>
        <v>#REF!</v>
      </c>
      <c r="K278" s="118" t="e">
        <f t="shared" ref="K278:K279" si="90">J278/$J$291</f>
        <v>#REF!</v>
      </c>
      <c r="L278" s="51"/>
    </row>
    <row r="279" spans="2:12" ht="38.25" outlineLevel="1">
      <c r="B279" s="142" t="s">
        <v>525</v>
      </c>
      <c r="C279" s="143" t="s">
        <v>78</v>
      </c>
      <c r="D279" s="143" t="s">
        <v>24</v>
      </c>
      <c r="E279" s="144" t="s">
        <v>79</v>
      </c>
      <c r="F279" s="143" t="s">
        <v>76</v>
      </c>
      <c r="G279" s="145" t="e">
        <f>VLOOKUP(B279,#REF!,15,0)</f>
        <v>#REF!</v>
      </c>
      <c r="H279" s="145">
        <v>40.520000000000003</v>
      </c>
      <c r="I279" s="117">
        <f t="shared" si="88"/>
        <v>50.65</v>
      </c>
      <c r="J279" s="145" t="e">
        <f t="shared" si="89"/>
        <v>#REF!</v>
      </c>
      <c r="K279" s="118" t="e">
        <f t="shared" si="90"/>
        <v>#REF!</v>
      </c>
      <c r="L279" s="51"/>
    </row>
    <row r="280" spans="2:12">
      <c r="B280" s="142"/>
      <c r="C280" s="143"/>
      <c r="D280" s="143"/>
      <c r="E280" s="144" t="s">
        <v>136</v>
      </c>
      <c r="F280" s="143"/>
      <c r="G280" s="145"/>
      <c r="H280" s="145"/>
      <c r="I280" s="117"/>
      <c r="J280" s="145"/>
      <c r="K280" s="146"/>
      <c r="L280" s="51"/>
    </row>
    <row r="281" spans="2:12">
      <c r="B281" s="89">
        <v>4</v>
      </c>
      <c r="C281" s="90"/>
      <c r="D281" s="90"/>
      <c r="E281" s="106" t="s">
        <v>81</v>
      </c>
      <c r="F281" s="90"/>
      <c r="G281" s="90"/>
      <c r="H281" s="90"/>
      <c r="I281" s="90"/>
      <c r="J281" s="107" t="e">
        <f>SUM(J283:J285)</f>
        <v>#REF!</v>
      </c>
      <c r="K281" s="108" t="e">
        <f>SUM(K283:K285)</f>
        <v>#REF!</v>
      </c>
      <c r="L281" s="51"/>
    </row>
    <row r="282" spans="2:12" outlineLevel="1">
      <c r="B282" s="102"/>
      <c r="C282" s="103"/>
      <c r="D282" s="103"/>
      <c r="E282" s="159" t="s">
        <v>136</v>
      </c>
      <c r="F282" s="103"/>
      <c r="G282" s="103"/>
      <c r="H282" s="103"/>
      <c r="I282" s="103"/>
      <c r="J282" s="160"/>
      <c r="K282" s="161"/>
      <c r="L282" s="51"/>
    </row>
    <row r="283" spans="2:12" ht="38.25" outlineLevel="1">
      <c r="B283" s="142" t="s">
        <v>526</v>
      </c>
      <c r="C283" s="143" t="s">
        <v>82</v>
      </c>
      <c r="D283" s="143" t="s">
        <v>24</v>
      </c>
      <c r="E283" s="144" t="s">
        <v>83</v>
      </c>
      <c r="F283" s="143" t="s">
        <v>21</v>
      </c>
      <c r="G283" s="145" t="e">
        <f>VLOOKUP(B283,#REF!,15,0)</f>
        <v>#REF!</v>
      </c>
      <c r="H283" s="145">
        <v>82.46</v>
      </c>
      <c r="I283" s="117">
        <f t="shared" ref="I283:I285" si="91">TRUNC(H283*(1+$H$2),2)</f>
        <v>103.07</v>
      </c>
      <c r="J283" s="145" t="e">
        <f t="shared" ref="J283:J285" si="92">TRUNC(G283*I283,2)</f>
        <v>#REF!</v>
      </c>
      <c r="K283" s="118" t="e">
        <f t="shared" ref="K283:K285" si="93">J283/$J$291</f>
        <v>#REF!</v>
      </c>
      <c r="L283" s="51"/>
    </row>
    <row r="284" spans="2:12" ht="63.75" outlineLevel="1">
      <c r="B284" s="142" t="s">
        <v>527</v>
      </c>
      <c r="C284" s="143" t="s">
        <v>42</v>
      </c>
      <c r="D284" s="143" t="s">
        <v>24</v>
      </c>
      <c r="E284" s="144" t="s">
        <v>43</v>
      </c>
      <c r="F284" s="143" t="s">
        <v>28</v>
      </c>
      <c r="G284" s="145" t="e">
        <f>VLOOKUP(B284,#REF!,15,0)</f>
        <v>#REF!</v>
      </c>
      <c r="H284" s="145">
        <v>7.67</v>
      </c>
      <c r="I284" s="117">
        <f t="shared" si="91"/>
        <v>9.58</v>
      </c>
      <c r="J284" s="145" t="e">
        <f t="shared" si="92"/>
        <v>#REF!</v>
      </c>
      <c r="K284" s="118" t="e">
        <f t="shared" si="93"/>
        <v>#REF!</v>
      </c>
      <c r="L284" s="51"/>
    </row>
    <row r="285" spans="2:12" ht="38.25" outlineLevel="1">
      <c r="B285" s="142" t="s">
        <v>528</v>
      </c>
      <c r="C285" s="143" t="s">
        <v>56</v>
      </c>
      <c r="D285" s="143" t="s">
        <v>24</v>
      </c>
      <c r="E285" s="144" t="s">
        <v>57</v>
      </c>
      <c r="F285" s="143" t="s">
        <v>36</v>
      </c>
      <c r="G285" s="145" t="e">
        <f>VLOOKUP(B285,#REF!,15,0)</f>
        <v>#REF!</v>
      </c>
      <c r="H285" s="145">
        <v>2.46</v>
      </c>
      <c r="I285" s="117">
        <f t="shared" si="91"/>
        <v>3.07</v>
      </c>
      <c r="J285" s="145" t="e">
        <f t="shared" si="92"/>
        <v>#REF!</v>
      </c>
      <c r="K285" s="118" t="e">
        <f t="shared" si="93"/>
        <v>#REF!</v>
      </c>
      <c r="L285" s="51"/>
    </row>
    <row r="286" spans="2:12">
      <c r="B286" s="142"/>
      <c r="C286" s="143"/>
      <c r="D286" s="143"/>
      <c r="E286" s="144" t="s">
        <v>136</v>
      </c>
      <c r="F286" s="143"/>
      <c r="G286" s="145"/>
      <c r="H286" s="145"/>
      <c r="I286" s="117"/>
      <c r="J286" s="145"/>
      <c r="K286" s="146"/>
      <c r="L286" s="51"/>
    </row>
    <row r="287" spans="2:12">
      <c r="B287" s="89">
        <v>5</v>
      </c>
      <c r="C287" s="90"/>
      <c r="D287" s="90"/>
      <c r="E287" s="106" t="s">
        <v>87</v>
      </c>
      <c r="F287" s="90"/>
      <c r="G287" s="90"/>
      <c r="H287" s="90"/>
      <c r="I287" s="90"/>
      <c r="J287" s="107" t="e">
        <f>J289</f>
        <v>#REF!</v>
      </c>
      <c r="K287" s="108" t="e">
        <f>K289</f>
        <v>#REF!</v>
      </c>
      <c r="L287" s="51"/>
    </row>
    <row r="288" spans="2:12" outlineLevel="1">
      <c r="B288" s="102"/>
      <c r="C288" s="103"/>
      <c r="D288" s="103"/>
      <c r="E288" s="159" t="s">
        <v>136</v>
      </c>
      <c r="F288" s="103"/>
      <c r="G288" s="103"/>
      <c r="H288" s="103"/>
      <c r="I288" s="103"/>
      <c r="J288" s="160"/>
      <c r="K288" s="161"/>
      <c r="L288" s="51"/>
    </row>
    <row r="289" spans="2:12" outlineLevel="1">
      <c r="B289" s="142" t="s">
        <v>529</v>
      </c>
      <c r="C289" s="143" t="s">
        <v>88</v>
      </c>
      <c r="D289" s="143" t="s">
        <v>19</v>
      </c>
      <c r="E289" s="144" t="s">
        <v>89</v>
      </c>
      <c r="F289" s="143" t="s">
        <v>90</v>
      </c>
      <c r="G289" s="145" t="e">
        <f>VLOOKUP(B289,#REF!,15,0)</f>
        <v>#REF!</v>
      </c>
      <c r="H289" s="145">
        <v>50804.55</v>
      </c>
      <c r="I289" s="117">
        <f t="shared" ref="I289" si="94">TRUNC(H289*(1+$H$2),2)</f>
        <v>63505.68</v>
      </c>
      <c r="J289" s="145" t="e">
        <f>TRUNC(G289*I289,2)</f>
        <v>#REF!</v>
      </c>
      <c r="K289" s="118" t="e">
        <f>J289/$J$291</f>
        <v>#REF!</v>
      </c>
      <c r="L289" s="51"/>
    </row>
    <row r="290" spans="2:12">
      <c r="B290" s="152"/>
      <c r="C290" s="153"/>
      <c r="D290" s="153"/>
      <c r="E290" s="154"/>
      <c r="F290" s="153"/>
      <c r="G290" s="153"/>
      <c r="H290" s="153"/>
      <c r="I290" s="153"/>
      <c r="J290" s="153"/>
      <c r="K290" s="155"/>
    </row>
    <row r="291" spans="2:12" ht="15.75" thickBot="1">
      <c r="B291" s="162"/>
      <c r="C291" s="163"/>
      <c r="D291" s="163"/>
      <c r="E291" s="164" t="s">
        <v>546</v>
      </c>
      <c r="F291" s="163"/>
      <c r="G291" s="163"/>
      <c r="H291" s="163"/>
      <c r="I291" s="163"/>
      <c r="J291" s="165" t="e">
        <f>SUM(J7,J65,J124,J191,J252)</f>
        <v>#N/A</v>
      </c>
      <c r="K291" s="166" t="e">
        <f>SUM(K252,K191,K124,K65,K7)</f>
        <v>#REF!</v>
      </c>
    </row>
    <row r="292" spans="2:12" ht="15" thickTop="1"/>
  </sheetData>
  <autoFilter ref="B6:K291"/>
  <mergeCells count="3">
    <mergeCell ref="I1:K1"/>
    <mergeCell ref="I2:K2"/>
    <mergeCell ref="B4:K4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K441"/>
  <sheetViews>
    <sheetView showOutlineSymbols="0" showWhiteSpace="0" zoomScale="70" zoomScaleNormal="70" workbookViewId="0">
      <selection activeCell="J441" sqref="A1:J441"/>
    </sheetView>
  </sheetViews>
  <sheetFormatPr defaultRowHeight="14.25"/>
  <cols>
    <col min="1" max="1" width="11.125" bestFit="1" customWidth="1"/>
    <col min="2" max="2" width="15.375" style="84" customWidth="1"/>
    <col min="3" max="3" width="8" bestFit="1" customWidth="1"/>
    <col min="4" max="4" width="60" bestFit="1" customWidth="1"/>
    <col min="5" max="5" width="15" bestFit="1" customWidth="1"/>
    <col min="6" max="6" width="12" bestFit="1" customWidth="1"/>
    <col min="7" max="7" width="11.75" bestFit="1" customWidth="1"/>
    <col min="8" max="8" width="14" bestFit="1" customWidth="1"/>
    <col min="9" max="9" width="13" bestFit="1" customWidth="1"/>
    <col min="10" max="10" width="34.75" customWidth="1"/>
    <col min="11" max="11" width="31.5" hidden="1" customWidth="1"/>
  </cols>
  <sheetData>
    <row r="1" spans="1:11" ht="24">
      <c r="A1" s="982"/>
      <c r="B1" s="983"/>
      <c r="C1" s="983"/>
      <c r="D1" s="1076" t="s">
        <v>788</v>
      </c>
      <c r="E1" s="1077"/>
      <c r="F1" s="1078"/>
      <c r="G1" s="807" t="s">
        <v>774</v>
      </c>
      <c r="H1" s="808" t="s">
        <v>775</v>
      </c>
      <c r="I1" s="1072"/>
      <c r="J1" s="1073"/>
    </row>
    <row r="2" spans="1:11" ht="54.6" customHeight="1">
      <c r="A2" s="983"/>
      <c r="B2" s="983"/>
      <c r="C2" s="983"/>
      <c r="D2" s="984" t="s">
        <v>631</v>
      </c>
      <c r="E2" s="985"/>
      <c r="F2" s="986"/>
      <c r="G2" s="814">
        <v>0.2097</v>
      </c>
      <c r="H2" s="815">
        <v>0.14019999999999999</v>
      </c>
      <c r="I2" s="1074"/>
      <c r="J2" s="1075"/>
    </row>
    <row r="3" spans="1:11" ht="15.6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1" ht="15.6" customHeight="1">
      <c r="A4" s="977" t="s">
        <v>733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1" ht="21" customHeight="1">
      <c r="A5" s="1093" t="s">
        <v>91</v>
      </c>
      <c r="B5" s="1094"/>
      <c r="C5" s="1094"/>
      <c r="D5" s="1094"/>
      <c r="E5" s="1094"/>
      <c r="F5" s="1094"/>
      <c r="G5" s="1094"/>
      <c r="H5" s="1094"/>
      <c r="I5" s="1094"/>
      <c r="J5" s="1095"/>
    </row>
    <row r="6" spans="1:11">
      <c r="A6" s="486" t="s">
        <v>16</v>
      </c>
      <c r="B6" s="668"/>
      <c r="C6" s="487"/>
      <c r="D6" s="487" t="s">
        <v>17</v>
      </c>
      <c r="E6" s="487"/>
      <c r="F6" s="1091"/>
      <c r="G6" s="1091"/>
      <c r="H6" s="488"/>
      <c r="I6" s="487"/>
      <c r="J6" s="489">
        <f>J18+J29+J48+J58+J89+J99+J107</f>
        <v>126807.04999999999</v>
      </c>
      <c r="K6" s="78">
        <f>J10+J11</f>
        <v>68.22</v>
      </c>
    </row>
    <row r="7" spans="1:11" ht="15">
      <c r="A7" s="490" t="s">
        <v>18</v>
      </c>
      <c r="B7" s="31" t="s">
        <v>7</v>
      </c>
      <c r="C7" s="31" t="s">
        <v>8</v>
      </c>
      <c r="D7" s="31" t="s">
        <v>9</v>
      </c>
      <c r="E7" s="1089" t="s">
        <v>92</v>
      </c>
      <c r="F7" s="1089"/>
      <c r="G7" s="31" t="s">
        <v>10</v>
      </c>
      <c r="H7" s="31" t="s">
        <v>11</v>
      </c>
      <c r="I7" s="31" t="s">
        <v>12</v>
      </c>
      <c r="J7" s="516" t="s">
        <v>14</v>
      </c>
    </row>
    <row r="8" spans="1:11">
      <c r="A8" s="492" t="s">
        <v>93</v>
      </c>
      <c r="B8" s="4" t="s">
        <v>302</v>
      </c>
      <c r="C8" s="27" t="s">
        <v>19</v>
      </c>
      <c r="D8" s="27" t="s">
        <v>20</v>
      </c>
      <c r="E8" s="1079" t="s">
        <v>94</v>
      </c>
      <c r="F8" s="1079"/>
      <c r="G8" s="4" t="s">
        <v>21</v>
      </c>
      <c r="H8" s="5">
        <v>1</v>
      </c>
      <c r="I8" s="6">
        <v>371.36</v>
      </c>
      <c r="J8" s="493">
        <f>SUM(J9:J15)</f>
        <v>374.03189999999995</v>
      </c>
    </row>
    <row r="9" spans="1:11" ht="38.25">
      <c r="A9" s="494" t="s">
        <v>95</v>
      </c>
      <c r="B9" s="8" t="s">
        <v>96</v>
      </c>
      <c r="C9" s="23" t="s">
        <v>24</v>
      </c>
      <c r="D9" s="23" t="s">
        <v>97</v>
      </c>
      <c r="E9" s="1080" t="s">
        <v>98</v>
      </c>
      <c r="F9" s="1080"/>
      <c r="G9" s="8" t="s">
        <v>28</v>
      </c>
      <c r="H9" s="9">
        <v>0.01</v>
      </c>
      <c r="I9" s="10">
        <v>406.72</v>
      </c>
      <c r="J9" s="495">
        <f>I9*H9</f>
        <v>4.0672000000000006</v>
      </c>
    </row>
    <row r="10" spans="1:11" ht="25.5">
      <c r="A10" s="494" t="s">
        <v>95</v>
      </c>
      <c r="B10" s="8" t="s">
        <v>99</v>
      </c>
      <c r="C10" s="23" t="s">
        <v>24</v>
      </c>
      <c r="D10" s="23" t="s">
        <v>100</v>
      </c>
      <c r="E10" s="1080" t="s">
        <v>101</v>
      </c>
      <c r="F10" s="1080"/>
      <c r="G10" s="8" t="s">
        <v>102</v>
      </c>
      <c r="H10" s="9">
        <v>1</v>
      </c>
      <c r="I10" s="10">
        <v>26.12</v>
      </c>
      <c r="J10" s="495">
        <f t="shared" ref="J10:J15" si="0">I10*H10</f>
        <v>26.12</v>
      </c>
    </row>
    <row r="11" spans="1:11" ht="25.5">
      <c r="A11" s="494" t="s">
        <v>95</v>
      </c>
      <c r="B11" s="8" t="s">
        <v>103</v>
      </c>
      <c r="C11" s="23" t="s">
        <v>24</v>
      </c>
      <c r="D11" s="23" t="s">
        <v>104</v>
      </c>
      <c r="E11" s="1080" t="s">
        <v>101</v>
      </c>
      <c r="F11" s="1080"/>
      <c r="G11" s="8" t="s">
        <v>102</v>
      </c>
      <c r="H11" s="9">
        <v>2</v>
      </c>
      <c r="I11" s="10">
        <v>21.05</v>
      </c>
      <c r="J11" s="495">
        <f t="shared" si="0"/>
        <v>42.1</v>
      </c>
    </row>
    <row r="12" spans="1:11" ht="25.5">
      <c r="A12" s="496" t="s">
        <v>105</v>
      </c>
      <c r="B12" s="11" t="s">
        <v>106</v>
      </c>
      <c r="C12" s="24" t="s">
        <v>24</v>
      </c>
      <c r="D12" s="24" t="s">
        <v>107</v>
      </c>
      <c r="E12" s="1087" t="s">
        <v>108</v>
      </c>
      <c r="F12" s="1087"/>
      <c r="G12" s="11" t="s">
        <v>76</v>
      </c>
      <c r="H12" s="12">
        <v>4</v>
      </c>
      <c r="I12" s="13">
        <v>10.66</v>
      </c>
      <c r="J12" s="497">
        <f t="shared" si="0"/>
        <v>42.64</v>
      </c>
    </row>
    <row r="13" spans="1:11" ht="25.5">
      <c r="A13" s="496" t="s">
        <v>105</v>
      </c>
      <c r="B13" s="11" t="s">
        <v>109</v>
      </c>
      <c r="C13" s="24" t="s">
        <v>24</v>
      </c>
      <c r="D13" s="24" t="s">
        <v>110</v>
      </c>
      <c r="E13" s="1087" t="s">
        <v>108</v>
      </c>
      <c r="F13" s="1087"/>
      <c r="G13" s="11" t="s">
        <v>21</v>
      </c>
      <c r="H13" s="12">
        <v>1</v>
      </c>
      <c r="I13" s="13">
        <v>250</v>
      </c>
      <c r="J13" s="497">
        <f t="shared" si="0"/>
        <v>250</v>
      </c>
      <c r="K13">
        <v>452.46638942999999</v>
      </c>
    </row>
    <row r="14" spans="1:11">
      <c r="A14" s="496" t="s">
        <v>105</v>
      </c>
      <c r="B14" s="11" t="s">
        <v>111</v>
      </c>
      <c r="C14" s="24" t="s">
        <v>24</v>
      </c>
      <c r="D14" s="24" t="s">
        <v>112</v>
      </c>
      <c r="E14" s="1087" t="s">
        <v>108</v>
      </c>
      <c r="F14" s="1087"/>
      <c r="G14" s="11" t="s">
        <v>113</v>
      </c>
      <c r="H14" s="12">
        <v>0.11</v>
      </c>
      <c r="I14" s="13">
        <v>15.77</v>
      </c>
      <c r="J14" s="497">
        <f t="shared" si="0"/>
        <v>1.7346999999999999</v>
      </c>
      <c r="K14">
        <f>J17*H18</f>
        <v>2714.7983365799996</v>
      </c>
    </row>
    <row r="15" spans="1:11" ht="38.25">
      <c r="A15" s="496" t="s">
        <v>105</v>
      </c>
      <c r="B15" s="11" t="s">
        <v>114</v>
      </c>
      <c r="C15" s="24" t="s">
        <v>24</v>
      </c>
      <c r="D15" s="24" t="s">
        <v>115</v>
      </c>
      <c r="E15" s="1087" t="s">
        <v>108</v>
      </c>
      <c r="F15" s="1087"/>
      <c r="G15" s="11" t="s">
        <v>76</v>
      </c>
      <c r="H15" s="12">
        <v>1</v>
      </c>
      <c r="I15" s="13">
        <v>7.37</v>
      </c>
      <c r="J15" s="497">
        <f t="shared" si="0"/>
        <v>7.37</v>
      </c>
    </row>
    <row r="16" spans="1:11">
      <c r="A16" s="498"/>
      <c r="B16" s="20"/>
      <c r="C16" s="499"/>
      <c r="D16" s="499"/>
      <c r="E16" s="499" t="s">
        <v>116</v>
      </c>
      <c r="F16" s="500">
        <v>52.77</v>
      </c>
      <c r="G16" s="499" t="s">
        <v>117</v>
      </c>
      <c r="H16" s="500">
        <v>0</v>
      </c>
      <c r="I16" s="499" t="s">
        <v>118</v>
      </c>
      <c r="J16" s="501">
        <v>52.77</v>
      </c>
    </row>
    <row r="17" spans="1:11">
      <c r="A17" s="498"/>
      <c r="B17" s="20"/>
      <c r="C17" s="499"/>
      <c r="D17" s="499"/>
      <c r="E17" s="499" t="s">
        <v>119</v>
      </c>
      <c r="F17" s="500">
        <f>J17-J8</f>
        <v>78.434489429999985</v>
      </c>
      <c r="G17" s="499"/>
      <c r="H17" s="1082" t="s">
        <v>120</v>
      </c>
      <c r="I17" s="1082"/>
      <c r="J17" s="502">
        <f>J8*(1+G2)</f>
        <v>452.46638942999994</v>
      </c>
    </row>
    <row r="18" spans="1:11" ht="15" thickBot="1">
      <c r="A18" s="503"/>
      <c r="B18" s="666"/>
      <c r="C18" s="14"/>
      <c r="D18" s="14"/>
      <c r="E18" s="14"/>
      <c r="F18" s="14"/>
      <c r="G18" s="14" t="s">
        <v>121</v>
      </c>
      <c r="H18" s="504">
        <f>'OBRA 01 - MEMÓRIA'!O8</f>
        <v>6</v>
      </c>
      <c r="I18" s="14" t="s">
        <v>122</v>
      </c>
      <c r="J18" s="505">
        <f>TRUNC(H18*J17,2)</f>
        <v>2714.79</v>
      </c>
    </row>
    <row r="19" spans="1:11" ht="15" thickTop="1">
      <c r="A19" s="506"/>
      <c r="B19" s="230"/>
      <c r="C19" s="15"/>
      <c r="D19" s="15"/>
      <c r="E19" s="15"/>
      <c r="F19" s="15"/>
      <c r="G19" s="15"/>
      <c r="H19" s="15"/>
      <c r="I19" s="15"/>
      <c r="J19" s="507"/>
    </row>
    <row r="20" spans="1:11" ht="15">
      <c r="A20" s="490" t="s">
        <v>22</v>
      </c>
      <c r="B20" s="31" t="s">
        <v>7</v>
      </c>
      <c r="C20" s="26" t="s">
        <v>8</v>
      </c>
      <c r="D20" s="26" t="s">
        <v>9</v>
      </c>
      <c r="E20" s="1092" t="s">
        <v>92</v>
      </c>
      <c r="F20" s="1092"/>
      <c r="G20" s="31" t="s">
        <v>10</v>
      </c>
      <c r="H20" s="29" t="s">
        <v>11</v>
      </c>
      <c r="I20" s="29" t="s">
        <v>12</v>
      </c>
      <c r="J20" s="491" t="s">
        <v>14</v>
      </c>
    </row>
    <row r="21" spans="1:11" ht="25.5">
      <c r="A21" s="492" t="s">
        <v>93</v>
      </c>
      <c r="B21" s="4" t="s">
        <v>23</v>
      </c>
      <c r="C21" s="27" t="s">
        <v>24</v>
      </c>
      <c r="D21" s="27" t="s">
        <v>25</v>
      </c>
      <c r="E21" s="1079" t="s">
        <v>94</v>
      </c>
      <c r="F21" s="1079"/>
      <c r="G21" s="4" t="s">
        <v>21</v>
      </c>
      <c r="H21" s="5">
        <v>1</v>
      </c>
      <c r="I21" s="6">
        <v>22.63</v>
      </c>
      <c r="J21" s="493">
        <f>SUM(J22:J26)</f>
        <v>22.650455999999998</v>
      </c>
    </row>
    <row r="22" spans="1:11" ht="38.25">
      <c r="A22" s="494" t="s">
        <v>95</v>
      </c>
      <c r="B22" s="8" t="s">
        <v>123</v>
      </c>
      <c r="C22" s="23" t="s">
        <v>24</v>
      </c>
      <c r="D22" s="23" t="s">
        <v>124</v>
      </c>
      <c r="E22" s="1080" t="s">
        <v>125</v>
      </c>
      <c r="F22" s="1080"/>
      <c r="G22" s="8" t="s">
        <v>126</v>
      </c>
      <c r="H22" s="9">
        <v>3.2599999999999997E-2</v>
      </c>
      <c r="I22" s="10">
        <v>216.97</v>
      </c>
      <c r="J22" s="495">
        <f>H22*I22</f>
        <v>7.0732219999999995</v>
      </c>
    </row>
    <row r="23" spans="1:11" ht="38.25">
      <c r="A23" s="494" t="s">
        <v>95</v>
      </c>
      <c r="B23" s="8" t="s">
        <v>127</v>
      </c>
      <c r="C23" s="23" t="s">
        <v>24</v>
      </c>
      <c r="D23" s="23" t="s">
        <v>128</v>
      </c>
      <c r="E23" s="1080" t="s">
        <v>125</v>
      </c>
      <c r="F23" s="1080"/>
      <c r="G23" s="8" t="s">
        <v>129</v>
      </c>
      <c r="H23" s="9">
        <v>8.9599999999999999E-2</v>
      </c>
      <c r="I23" s="10">
        <v>94.82</v>
      </c>
      <c r="J23" s="495">
        <f t="shared" ref="J23:J26" si="1">H23*I23</f>
        <v>8.4958719999999985</v>
      </c>
    </row>
    <row r="24" spans="1:11" ht="25.5">
      <c r="A24" s="494" t="s">
        <v>95</v>
      </c>
      <c r="B24" s="8" t="s">
        <v>130</v>
      </c>
      <c r="C24" s="23" t="s">
        <v>24</v>
      </c>
      <c r="D24" s="23" t="s">
        <v>131</v>
      </c>
      <c r="E24" s="1080" t="s">
        <v>101</v>
      </c>
      <c r="F24" s="1080"/>
      <c r="G24" s="8" t="s">
        <v>102</v>
      </c>
      <c r="H24" s="9">
        <v>0.24329999999999999</v>
      </c>
      <c r="I24" s="10">
        <v>26.5</v>
      </c>
      <c r="J24" s="495">
        <f t="shared" si="1"/>
        <v>6.4474499999999999</v>
      </c>
      <c r="K24">
        <v>27.400256623200001</v>
      </c>
    </row>
    <row r="25" spans="1:11" ht="51">
      <c r="A25" s="494" t="s">
        <v>95</v>
      </c>
      <c r="B25" s="8" t="s">
        <v>132</v>
      </c>
      <c r="C25" s="23" t="s">
        <v>24</v>
      </c>
      <c r="D25" s="23" t="s">
        <v>133</v>
      </c>
      <c r="E25" s="1080" t="s">
        <v>125</v>
      </c>
      <c r="F25" s="1080"/>
      <c r="G25" s="8" t="s">
        <v>126</v>
      </c>
      <c r="H25" s="9">
        <v>5.2400000000000002E-2</v>
      </c>
      <c r="I25" s="10">
        <v>10.55</v>
      </c>
      <c r="J25" s="495">
        <f t="shared" si="1"/>
        <v>0.55282000000000009</v>
      </c>
    </row>
    <row r="26" spans="1:11" ht="51">
      <c r="A26" s="494" t="s">
        <v>95</v>
      </c>
      <c r="B26" s="8" t="s">
        <v>134</v>
      </c>
      <c r="C26" s="23" t="s">
        <v>24</v>
      </c>
      <c r="D26" s="23" t="s">
        <v>135</v>
      </c>
      <c r="E26" s="1080" t="s">
        <v>125</v>
      </c>
      <c r="F26" s="1080"/>
      <c r="G26" s="8" t="s">
        <v>129</v>
      </c>
      <c r="H26" s="9">
        <v>8.3599999999999994E-2</v>
      </c>
      <c r="I26" s="10">
        <v>0.97</v>
      </c>
      <c r="J26" s="495">
        <f t="shared" si="1"/>
        <v>8.1091999999999997E-2</v>
      </c>
    </row>
    <row r="27" spans="1:11" ht="18" customHeight="1">
      <c r="A27" s="498"/>
      <c r="B27" s="20"/>
      <c r="C27" s="499"/>
      <c r="D27" s="499"/>
      <c r="E27" s="499" t="s">
        <v>116</v>
      </c>
      <c r="F27" s="500">
        <v>9.2100000000000009</v>
      </c>
      <c r="G27" s="499" t="s">
        <v>117</v>
      </c>
      <c r="H27" s="500">
        <v>0</v>
      </c>
      <c r="I27" s="499" t="s">
        <v>118</v>
      </c>
      <c r="J27" s="501">
        <v>9.2100000000000009</v>
      </c>
    </row>
    <row r="28" spans="1:11" ht="24" customHeight="1">
      <c r="A28" s="498"/>
      <c r="B28" s="20"/>
      <c r="C28" s="499"/>
      <c r="D28" s="499"/>
      <c r="E28" s="499" t="s">
        <v>119</v>
      </c>
      <c r="F28" s="500">
        <f>J28-J21</f>
        <v>4.7498006231999987</v>
      </c>
      <c r="G28" s="499"/>
      <c r="H28" s="1082" t="s">
        <v>120</v>
      </c>
      <c r="I28" s="1082"/>
      <c r="J28" s="508">
        <f>J21*(1+G2)</f>
        <v>27.400256623199997</v>
      </c>
    </row>
    <row r="29" spans="1:11" ht="15" customHeight="1" thickBot="1">
      <c r="A29" s="503"/>
      <c r="B29" s="666"/>
      <c r="C29" s="14"/>
      <c r="D29" s="14"/>
      <c r="E29" s="14"/>
      <c r="F29" s="14"/>
      <c r="G29" s="14" t="s">
        <v>121</v>
      </c>
      <c r="H29" s="504">
        <f>'OBRA 01 - SINTÉTICA'!F9</f>
        <v>2946</v>
      </c>
      <c r="I29" s="14" t="s">
        <v>122</v>
      </c>
      <c r="J29" s="505">
        <f>TRUNC(H29*J28,2)</f>
        <v>80721.149999999994</v>
      </c>
    </row>
    <row r="30" spans="1:11" ht="15" customHeight="1" thickTop="1">
      <c r="A30" s="506"/>
      <c r="B30" s="230"/>
      <c r="C30" s="15"/>
      <c r="D30" s="15"/>
      <c r="E30" s="15"/>
      <c r="F30" s="15"/>
      <c r="G30" s="15"/>
      <c r="H30" s="15"/>
      <c r="I30" s="15"/>
      <c r="J30" s="507"/>
    </row>
    <row r="31" spans="1:11" ht="26.1" customHeight="1">
      <c r="A31" s="490" t="s">
        <v>26</v>
      </c>
      <c r="B31" s="31" t="s">
        <v>7</v>
      </c>
      <c r="C31" s="26" t="s">
        <v>8</v>
      </c>
      <c r="D31" s="26" t="s">
        <v>9</v>
      </c>
      <c r="E31" s="1092" t="s">
        <v>92</v>
      </c>
      <c r="F31" s="1092"/>
      <c r="G31" s="31" t="s">
        <v>10</v>
      </c>
      <c r="H31" s="29" t="s">
        <v>11</v>
      </c>
      <c r="I31" s="29" t="s">
        <v>12</v>
      </c>
      <c r="J31" s="491" t="s">
        <v>14</v>
      </c>
    </row>
    <row r="32" spans="1:11" ht="20.100000000000001" customHeight="1">
      <c r="A32" s="492" t="s">
        <v>93</v>
      </c>
      <c r="B32" s="4" t="s">
        <v>361</v>
      </c>
      <c r="C32" s="27" t="s">
        <v>27</v>
      </c>
      <c r="D32" s="27" t="s">
        <v>559</v>
      </c>
      <c r="E32" s="1079" t="s">
        <v>136</v>
      </c>
      <c r="F32" s="1079"/>
      <c r="G32" s="4" t="s">
        <v>21</v>
      </c>
      <c r="H32" s="5">
        <v>1</v>
      </c>
      <c r="I32" s="6">
        <v>3.98</v>
      </c>
      <c r="J32" s="509">
        <f>J45</f>
        <v>3.9131663089420776</v>
      </c>
    </row>
    <row r="33" spans="1:11" ht="20.100000000000001" customHeight="1">
      <c r="A33" s="1096" t="s">
        <v>137</v>
      </c>
      <c r="B33" s="1089" t="s">
        <v>7</v>
      </c>
      <c r="C33" s="1092" t="s">
        <v>8</v>
      </c>
      <c r="D33" s="1092" t="s">
        <v>138</v>
      </c>
      <c r="E33" s="1085" t="s">
        <v>139</v>
      </c>
      <c r="F33" s="1089" t="s">
        <v>140</v>
      </c>
      <c r="G33" s="1085"/>
      <c r="H33" s="1089" t="s">
        <v>141</v>
      </c>
      <c r="I33" s="1085"/>
      <c r="J33" s="1103" t="s">
        <v>142</v>
      </c>
    </row>
    <row r="34" spans="1:11" ht="24" customHeight="1">
      <c r="A34" s="1097"/>
      <c r="B34" s="1089"/>
      <c r="C34" s="1085"/>
      <c r="D34" s="1085"/>
      <c r="E34" s="1085"/>
      <c r="F34" s="29" t="s">
        <v>143</v>
      </c>
      <c r="G34" s="29" t="s">
        <v>144</v>
      </c>
      <c r="H34" s="29" t="s">
        <v>143</v>
      </c>
      <c r="I34" s="29" t="s">
        <v>144</v>
      </c>
      <c r="J34" s="1103"/>
    </row>
    <row r="35" spans="1:11" ht="20.100000000000001" customHeight="1">
      <c r="A35" s="496" t="s">
        <v>105</v>
      </c>
      <c r="B35" s="11" t="s">
        <v>377</v>
      </c>
      <c r="C35" s="24" t="s">
        <v>27</v>
      </c>
      <c r="D35" s="24" t="s">
        <v>378</v>
      </c>
      <c r="E35" s="12">
        <v>0.28891</v>
      </c>
      <c r="F35" s="13">
        <v>1</v>
      </c>
      <c r="G35" s="13">
        <v>0</v>
      </c>
      <c r="H35" s="30">
        <v>0.7087</v>
      </c>
      <c r="I35" s="30">
        <v>0.48180000000000001</v>
      </c>
      <c r="J35" s="510">
        <f>E35*((F35*H35)+(G35*I35))</f>
        <v>0.20475051699999999</v>
      </c>
    </row>
    <row r="36" spans="1:11" ht="20.100000000000001" customHeight="1">
      <c r="A36" s="1083"/>
      <c r="B36" s="1084"/>
      <c r="C36" s="1084"/>
      <c r="D36" s="1084"/>
      <c r="E36" s="1084"/>
      <c r="F36" s="1084" t="s">
        <v>145</v>
      </c>
      <c r="G36" s="1084"/>
      <c r="H36" s="1084"/>
      <c r="I36" s="1084"/>
      <c r="J36" s="511">
        <f>J35</f>
        <v>0.20475051699999999</v>
      </c>
    </row>
    <row r="37" spans="1:11" ht="20.100000000000001" customHeight="1">
      <c r="A37" s="490" t="s">
        <v>146</v>
      </c>
      <c r="B37" s="31" t="s">
        <v>7</v>
      </c>
      <c r="C37" s="26" t="s">
        <v>8</v>
      </c>
      <c r="D37" s="26" t="s">
        <v>147</v>
      </c>
      <c r="E37" s="29" t="s">
        <v>139</v>
      </c>
      <c r="F37" s="1085" t="s">
        <v>148</v>
      </c>
      <c r="G37" s="1085"/>
      <c r="H37" s="1085"/>
      <c r="I37" s="1085"/>
      <c r="J37" s="491" t="s">
        <v>142</v>
      </c>
    </row>
    <row r="38" spans="1:11" ht="20.100000000000001" customHeight="1">
      <c r="A38" s="496" t="s">
        <v>105</v>
      </c>
      <c r="B38" s="11">
        <v>88316</v>
      </c>
      <c r="C38" s="24" t="s">
        <v>24</v>
      </c>
      <c r="D38" s="24" t="s">
        <v>149</v>
      </c>
      <c r="E38" s="12">
        <v>0.28891</v>
      </c>
      <c r="F38" s="24"/>
      <c r="G38" s="24"/>
      <c r="H38" s="24"/>
      <c r="I38" s="30">
        <v>21.05</v>
      </c>
      <c r="J38" s="510">
        <f>E38*I38</f>
        <v>6.0815555000000003</v>
      </c>
    </row>
    <row r="39" spans="1:11" ht="20.100000000000001" customHeight="1">
      <c r="A39" s="1083"/>
      <c r="B39" s="1084"/>
      <c r="C39" s="1084"/>
      <c r="D39" s="1084"/>
      <c r="E39" s="1084"/>
      <c r="F39" s="1084" t="s">
        <v>150</v>
      </c>
      <c r="G39" s="1084"/>
      <c r="H39" s="1084"/>
      <c r="I39" s="1084"/>
      <c r="J39" s="511">
        <f>J38</f>
        <v>6.0815555000000003</v>
      </c>
    </row>
    <row r="40" spans="1:11" ht="20.100000000000001" customHeight="1">
      <c r="A40" s="1083"/>
      <c r="B40" s="1084"/>
      <c r="C40" s="1084"/>
      <c r="D40" s="1084"/>
      <c r="E40" s="1084"/>
      <c r="F40" s="1084" t="s">
        <v>151</v>
      </c>
      <c r="G40" s="1084"/>
      <c r="H40" s="1084"/>
      <c r="I40" s="1084"/>
      <c r="J40" s="511">
        <v>0</v>
      </c>
    </row>
    <row r="41" spans="1:11" ht="20.100000000000001" customHeight="1">
      <c r="A41" s="1083"/>
      <c r="B41" s="1084"/>
      <c r="C41" s="1084"/>
      <c r="D41" s="1084"/>
      <c r="E41" s="1084"/>
      <c r="F41" s="1084" t="s">
        <v>152</v>
      </c>
      <c r="G41" s="1084"/>
      <c r="H41" s="1084"/>
      <c r="I41" s="1084"/>
      <c r="J41" s="511">
        <f>J39+J36</f>
        <v>6.2863060170000002</v>
      </c>
    </row>
    <row r="42" spans="1:11">
      <c r="A42" s="1083"/>
      <c r="B42" s="1084"/>
      <c r="C42" s="1084"/>
      <c r="D42" s="1084"/>
      <c r="E42" s="1084"/>
      <c r="F42" s="1084" t="s">
        <v>153</v>
      </c>
      <c r="G42" s="1084"/>
      <c r="H42" s="1084"/>
      <c r="I42" s="1084"/>
      <c r="J42" s="511">
        <v>0</v>
      </c>
    </row>
    <row r="43" spans="1:11">
      <c r="A43" s="1083"/>
      <c r="B43" s="1084"/>
      <c r="C43" s="1084"/>
      <c r="D43" s="1084"/>
      <c r="E43" s="1084"/>
      <c r="F43" s="1084" t="s">
        <v>154</v>
      </c>
      <c r="G43" s="1084"/>
      <c r="H43" s="1084"/>
      <c r="I43" s="1084"/>
      <c r="J43" s="511">
        <v>0</v>
      </c>
      <c r="K43">
        <v>4.7337572839273001</v>
      </c>
    </row>
    <row r="44" spans="1:11">
      <c r="A44" s="1083"/>
      <c r="B44" s="1084"/>
      <c r="C44" s="1084"/>
      <c r="D44" s="1084"/>
      <c r="E44" s="1084"/>
      <c r="F44" s="1084" t="s">
        <v>155</v>
      </c>
      <c r="G44" s="1084"/>
      <c r="H44" s="1084"/>
      <c r="I44" s="1084"/>
      <c r="J44" s="511">
        <v>1.6064499999999999</v>
      </c>
    </row>
    <row r="45" spans="1:11">
      <c r="A45" s="1083"/>
      <c r="B45" s="1084"/>
      <c r="C45" s="1084"/>
      <c r="D45" s="1084"/>
      <c r="E45" s="1084"/>
      <c r="F45" s="1084" t="s">
        <v>156</v>
      </c>
      <c r="G45" s="1084"/>
      <c r="H45" s="1084"/>
      <c r="I45" s="1084"/>
      <c r="J45" s="511">
        <f>J41/J44</f>
        <v>3.9131663089420776</v>
      </c>
    </row>
    <row r="46" spans="1:11">
      <c r="A46" s="498"/>
      <c r="B46" s="20"/>
      <c r="C46" s="499"/>
      <c r="D46" s="499"/>
      <c r="E46" s="499" t="s">
        <v>116</v>
      </c>
      <c r="F46" s="500">
        <v>3.8460845883781007</v>
      </c>
      <c r="G46" s="499" t="s">
        <v>117</v>
      </c>
      <c r="H46" s="500">
        <v>0</v>
      </c>
      <c r="I46" s="499" t="s">
        <v>118</v>
      </c>
      <c r="J46" s="501">
        <v>3.8460845883781007</v>
      </c>
    </row>
    <row r="47" spans="1:11">
      <c r="A47" s="498"/>
      <c r="B47" s="20"/>
      <c r="C47" s="499"/>
      <c r="D47" s="499"/>
      <c r="E47" s="499" t="s">
        <v>119</v>
      </c>
      <c r="F47" s="500">
        <f>J47-J32</f>
        <v>0.8205909749851541</v>
      </c>
      <c r="G47" s="499"/>
      <c r="H47" s="1082" t="s">
        <v>120</v>
      </c>
      <c r="I47" s="1082"/>
      <c r="J47" s="512">
        <f>J32*(1+G2)</f>
        <v>4.7337572839272317</v>
      </c>
    </row>
    <row r="48" spans="1:11" ht="15" thickBot="1">
      <c r="A48" s="503"/>
      <c r="B48" s="666"/>
      <c r="C48" s="14"/>
      <c r="D48" s="14"/>
      <c r="E48" s="14"/>
      <c r="F48" s="14"/>
      <c r="G48" s="14" t="s">
        <v>121</v>
      </c>
      <c r="H48" s="504">
        <f>'OBRA 01 - SINTÉTICA'!F10</f>
        <v>380.8</v>
      </c>
      <c r="I48" s="14" t="s">
        <v>122</v>
      </c>
      <c r="J48" s="505">
        <f>TRUNC(H48*J47,2)</f>
        <v>1802.61</v>
      </c>
    </row>
    <row r="49" spans="1:11" ht="15" thickTop="1">
      <c r="A49" s="506"/>
      <c r="B49" s="230"/>
      <c r="C49" s="15"/>
      <c r="D49" s="15"/>
      <c r="E49" s="15"/>
      <c r="F49" s="15"/>
      <c r="G49" s="15"/>
      <c r="H49" s="15"/>
      <c r="I49" s="15"/>
      <c r="J49" s="507"/>
    </row>
    <row r="50" spans="1:11" ht="15">
      <c r="A50" s="490" t="s">
        <v>333</v>
      </c>
      <c r="B50" s="31" t="s">
        <v>7</v>
      </c>
      <c r="C50" s="26" t="s">
        <v>8</v>
      </c>
      <c r="D50" s="26" t="s">
        <v>9</v>
      </c>
      <c r="E50" s="1092" t="s">
        <v>92</v>
      </c>
      <c r="F50" s="1092"/>
      <c r="G50" s="31" t="s">
        <v>10</v>
      </c>
      <c r="H50" s="29" t="s">
        <v>11</v>
      </c>
      <c r="I50" s="29" t="s">
        <v>12</v>
      </c>
      <c r="J50" s="491" t="s">
        <v>14</v>
      </c>
    </row>
    <row r="51" spans="1:11">
      <c r="A51" s="492" t="s">
        <v>93</v>
      </c>
      <c r="B51" s="4" t="s">
        <v>29</v>
      </c>
      <c r="C51" s="27" t="s">
        <v>30</v>
      </c>
      <c r="D51" s="27" t="s">
        <v>560</v>
      </c>
      <c r="E51" s="1079" t="s">
        <v>173</v>
      </c>
      <c r="F51" s="1079"/>
      <c r="G51" s="4" t="s">
        <v>31</v>
      </c>
      <c r="H51" s="5">
        <v>1</v>
      </c>
      <c r="I51" s="6">
        <v>9.8000000000000007</v>
      </c>
      <c r="J51" s="493">
        <f>SUM(J52:J55)</f>
        <v>9.8135000000000012</v>
      </c>
    </row>
    <row r="52" spans="1:11" ht="25.5">
      <c r="A52" s="494" t="s">
        <v>95</v>
      </c>
      <c r="B52" s="8" t="s">
        <v>174</v>
      </c>
      <c r="C52" s="23" t="s">
        <v>30</v>
      </c>
      <c r="D52" s="23" t="s">
        <v>175</v>
      </c>
      <c r="E52" s="1080" t="s">
        <v>176</v>
      </c>
      <c r="F52" s="1080"/>
      <c r="G52" s="8" t="s">
        <v>177</v>
      </c>
      <c r="H52" s="9">
        <v>0.5</v>
      </c>
      <c r="I52" s="222">
        <v>3.79</v>
      </c>
      <c r="J52" s="495">
        <f>H52*I52</f>
        <v>1.895</v>
      </c>
    </row>
    <row r="53" spans="1:11" ht="25.5">
      <c r="A53" s="494" t="s">
        <v>95</v>
      </c>
      <c r="B53" s="8" t="s">
        <v>178</v>
      </c>
      <c r="C53" s="23" t="s">
        <v>30</v>
      </c>
      <c r="D53" s="23" t="s">
        <v>179</v>
      </c>
      <c r="E53" s="1080" t="s">
        <v>176</v>
      </c>
      <c r="F53" s="1080"/>
      <c r="G53" s="8" t="s">
        <v>177</v>
      </c>
      <c r="H53" s="9">
        <v>0.05</v>
      </c>
      <c r="I53" s="10">
        <v>3.66</v>
      </c>
      <c r="J53" s="495">
        <f t="shared" ref="J53:J55" si="2">H53*I53</f>
        <v>0.18300000000000002</v>
      </c>
      <c r="K53">
        <v>11.85506</v>
      </c>
    </row>
    <row r="54" spans="1:11">
      <c r="A54" s="496" t="s">
        <v>105</v>
      </c>
      <c r="B54" s="11" t="s">
        <v>180</v>
      </c>
      <c r="C54" s="24" t="s">
        <v>30</v>
      </c>
      <c r="D54" s="24" t="s">
        <v>181</v>
      </c>
      <c r="E54" s="1087" t="s">
        <v>147</v>
      </c>
      <c r="F54" s="1087"/>
      <c r="G54" s="11" t="s">
        <v>177</v>
      </c>
      <c r="H54" s="12">
        <v>0.05</v>
      </c>
      <c r="I54" s="13">
        <v>18.21</v>
      </c>
      <c r="J54" s="495">
        <f t="shared" si="2"/>
        <v>0.91050000000000009</v>
      </c>
    </row>
    <row r="55" spans="1:11">
      <c r="A55" s="496" t="s">
        <v>105</v>
      </c>
      <c r="B55" s="11" t="s">
        <v>182</v>
      </c>
      <c r="C55" s="24" t="s">
        <v>30</v>
      </c>
      <c r="D55" s="24" t="s">
        <v>183</v>
      </c>
      <c r="E55" s="1087" t="s">
        <v>147</v>
      </c>
      <c r="F55" s="1087"/>
      <c r="G55" s="11" t="s">
        <v>177</v>
      </c>
      <c r="H55" s="12">
        <v>0.5</v>
      </c>
      <c r="I55" s="13">
        <v>13.65</v>
      </c>
      <c r="J55" s="495">
        <f t="shared" si="2"/>
        <v>6.8250000000000002</v>
      </c>
    </row>
    <row r="56" spans="1:11" ht="18" customHeight="1">
      <c r="A56" s="498"/>
      <c r="B56" s="20"/>
      <c r="C56" s="499"/>
      <c r="D56" s="499"/>
      <c r="E56" s="499" t="s">
        <v>116</v>
      </c>
      <c r="F56" s="500">
        <v>7.73</v>
      </c>
      <c r="G56" s="499" t="s">
        <v>117</v>
      </c>
      <c r="H56" s="500">
        <v>0</v>
      </c>
      <c r="I56" s="499" t="s">
        <v>118</v>
      </c>
      <c r="J56" s="501">
        <v>7.73</v>
      </c>
    </row>
    <row r="57" spans="1:11" ht="24" customHeight="1">
      <c r="A57" s="498"/>
      <c r="B57" s="20"/>
      <c r="C57" s="499"/>
      <c r="D57" s="499"/>
      <c r="E57" s="499" t="s">
        <v>119</v>
      </c>
      <c r="F57" s="500">
        <v>2.4500000000000002</v>
      </c>
      <c r="G57" s="499"/>
      <c r="H57" s="1082" t="s">
        <v>120</v>
      </c>
      <c r="I57" s="1082"/>
      <c r="J57" s="513">
        <f>J51*(1+G2)</f>
        <v>11.871390950000002</v>
      </c>
    </row>
    <row r="58" spans="1:11" ht="15" customHeight="1" thickBot="1">
      <c r="A58" s="503"/>
      <c r="B58" s="666"/>
      <c r="C58" s="14"/>
      <c r="D58" s="14"/>
      <c r="E58" s="14"/>
      <c r="F58" s="14"/>
      <c r="G58" s="14" t="s">
        <v>121</v>
      </c>
      <c r="H58" s="504">
        <f>'OBRA 01 - SINTÉTICA'!F11</f>
        <v>732</v>
      </c>
      <c r="I58" s="14" t="s">
        <v>122</v>
      </c>
      <c r="J58" s="505">
        <f>TRUNC(H58*J57,2)</f>
        <v>8689.85</v>
      </c>
    </row>
    <row r="59" spans="1:11" ht="15" customHeight="1" thickTop="1">
      <c r="A59" s="506"/>
      <c r="B59" s="230"/>
      <c r="C59" s="15"/>
      <c r="D59" s="15"/>
      <c r="E59" s="15"/>
      <c r="F59" s="15"/>
      <c r="G59" s="15"/>
      <c r="H59" s="15"/>
      <c r="I59" s="15"/>
      <c r="J59" s="507"/>
    </row>
    <row r="60" spans="1:11" ht="26.1" customHeight="1">
      <c r="A60" s="490" t="s">
        <v>334</v>
      </c>
      <c r="B60" s="31" t="s">
        <v>7</v>
      </c>
      <c r="C60" s="26" t="s">
        <v>8</v>
      </c>
      <c r="D60" s="26" t="s">
        <v>9</v>
      </c>
      <c r="E60" s="1092" t="s">
        <v>92</v>
      </c>
      <c r="F60" s="1092"/>
      <c r="G60" s="31" t="s">
        <v>10</v>
      </c>
      <c r="H60" s="29" t="s">
        <v>11</v>
      </c>
      <c r="I60" s="29" t="s">
        <v>12</v>
      </c>
      <c r="J60" s="491" t="s">
        <v>14</v>
      </c>
    </row>
    <row r="61" spans="1:11" ht="26.1" customHeight="1">
      <c r="A61" s="492" t="s">
        <v>93</v>
      </c>
      <c r="B61" s="4" t="s">
        <v>362</v>
      </c>
      <c r="C61" s="27" t="s">
        <v>27</v>
      </c>
      <c r="D61" s="27" t="s">
        <v>561</v>
      </c>
      <c r="E61" s="1079" t="s">
        <v>136</v>
      </c>
      <c r="F61" s="1079"/>
      <c r="G61" s="4" t="s">
        <v>28</v>
      </c>
      <c r="H61" s="5">
        <v>1</v>
      </c>
      <c r="I61" s="6">
        <v>395.45</v>
      </c>
      <c r="J61" s="493">
        <f>SUM(J76+J79+J82)</f>
        <v>391.38085807040079</v>
      </c>
    </row>
    <row r="62" spans="1:11" ht="26.1" customHeight="1">
      <c r="A62" s="1096" t="s">
        <v>137</v>
      </c>
      <c r="B62" s="1089" t="s">
        <v>7</v>
      </c>
      <c r="C62" s="1092" t="s">
        <v>8</v>
      </c>
      <c r="D62" s="1092" t="s">
        <v>138</v>
      </c>
      <c r="E62" s="1085" t="s">
        <v>139</v>
      </c>
      <c r="F62" s="1089" t="s">
        <v>140</v>
      </c>
      <c r="G62" s="1085"/>
      <c r="H62" s="1089" t="s">
        <v>141</v>
      </c>
      <c r="I62" s="1085"/>
      <c r="J62" s="1103" t="s">
        <v>142</v>
      </c>
    </row>
    <row r="63" spans="1:11" ht="20.100000000000001" customHeight="1">
      <c r="A63" s="1097"/>
      <c r="B63" s="1089"/>
      <c r="C63" s="1085"/>
      <c r="D63" s="1085"/>
      <c r="E63" s="1085"/>
      <c r="F63" s="29" t="s">
        <v>143</v>
      </c>
      <c r="G63" s="29" t="s">
        <v>144</v>
      </c>
      <c r="H63" s="29" t="s">
        <v>143</v>
      </c>
      <c r="I63" s="29" t="s">
        <v>144</v>
      </c>
      <c r="J63" s="1103"/>
    </row>
    <row r="64" spans="1:11" ht="20.100000000000001" customHeight="1">
      <c r="A64" s="496" t="s">
        <v>105</v>
      </c>
      <c r="B64" s="11" t="s">
        <v>379</v>
      </c>
      <c r="C64" s="24" t="s">
        <v>27</v>
      </c>
      <c r="D64" s="24" t="s">
        <v>380</v>
      </c>
      <c r="E64" s="12">
        <v>1</v>
      </c>
      <c r="F64" s="13">
        <v>1</v>
      </c>
      <c r="G64" s="13">
        <v>0</v>
      </c>
      <c r="H64" s="30">
        <v>42.369300000000003</v>
      </c>
      <c r="I64" s="30">
        <v>10.2737</v>
      </c>
      <c r="J64" s="510">
        <f>(E64*((F64*H64)+(G64*I64)))</f>
        <v>42.369300000000003</v>
      </c>
    </row>
    <row r="65" spans="1:10" ht="24" customHeight="1">
      <c r="A65" s="496" t="s">
        <v>105</v>
      </c>
      <c r="B65" s="11" t="s">
        <v>381</v>
      </c>
      <c r="C65" s="24" t="s">
        <v>27</v>
      </c>
      <c r="D65" s="24" t="s">
        <v>382</v>
      </c>
      <c r="E65" s="12">
        <v>1</v>
      </c>
      <c r="F65" s="13">
        <v>1</v>
      </c>
      <c r="G65" s="13">
        <v>0</v>
      </c>
      <c r="H65" s="30">
        <v>30.914100000000001</v>
      </c>
      <c r="I65" s="30">
        <v>28.729399999999998</v>
      </c>
      <c r="J65" s="510">
        <f t="shared" ref="J65:J66" si="3">(E65*((F65*H65)+(G65*I65)))</f>
        <v>30.914100000000001</v>
      </c>
    </row>
    <row r="66" spans="1:10" ht="20.100000000000001" customHeight="1">
      <c r="A66" s="496" t="s">
        <v>105</v>
      </c>
      <c r="B66" s="11" t="s">
        <v>377</v>
      </c>
      <c r="C66" s="24" t="s">
        <v>27</v>
      </c>
      <c r="D66" s="24" t="s">
        <v>378</v>
      </c>
      <c r="E66" s="12">
        <v>0.59458</v>
      </c>
      <c r="F66" s="13">
        <v>1</v>
      </c>
      <c r="G66" s="13">
        <v>0</v>
      </c>
      <c r="H66" s="30">
        <v>0.7087</v>
      </c>
      <c r="I66" s="30">
        <v>0.48180000000000001</v>
      </c>
      <c r="J66" s="510">
        <f t="shared" si="3"/>
        <v>0.42137884599999997</v>
      </c>
    </row>
    <row r="67" spans="1:10" ht="20.100000000000001" customHeight="1">
      <c r="A67" s="1083"/>
      <c r="B67" s="1084"/>
      <c r="C67" s="1084"/>
      <c r="D67" s="1084"/>
      <c r="E67" s="1084"/>
      <c r="F67" s="1084" t="s">
        <v>145</v>
      </c>
      <c r="G67" s="1084"/>
      <c r="H67" s="1084"/>
      <c r="I67" s="1084"/>
      <c r="J67" s="511">
        <f>SUM(J64:J66)</f>
        <v>73.704778845999996</v>
      </c>
    </row>
    <row r="68" spans="1:10" ht="20.100000000000001" customHeight="1">
      <c r="A68" s="490" t="s">
        <v>146</v>
      </c>
      <c r="B68" s="31" t="s">
        <v>7</v>
      </c>
      <c r="C68" s="26" t="s">
        <v>8</v>
      </c>
      <c r="D68" s="26" t="s">
        <v>147</v>
      </c>
      <c r="E68" s="29" t="s">
        <v>139</v>
      </c>
      <c r="F68" s="1085" t="s">
        <v>148</v>
      </c>
      <c r="G68" s="1085"/>
      <c r="H68" s="1085"/>
      <c r="I68" s="1085"/>
      <c r="J68" s="491" t="s">
        <v>142</v>
      </c>
    </row>
    <row r="69" spans="1:10" ht="20.100000000000001" customHeight="1">
      <c r="A69" s="496" t="s">
        <v>105</v>
      </c>
      <c r="B69" s="11">
        <v>88316</v>
      </c>
      <c r="C69" s="24" t="s">
        <v>24</v>
      </c>
      <c r="D69" s="24" t="s">
        <v>149</v>
      </c>
      <c r="E69" s="12">
        <v>0.59458</v>
      </c>
      <c r="F69" s="24"/>
      <c r="G69" s="24"/>
      <c r="H69" s="24"/>
      <c r="I69" s="30">
        <v>21.05</v>
      </c>
      <c r="J69" s="510">
        <f>I69*E69</f>
        <v>12.515909000000001</v>
      </c>
    </row>
    <row r="70" spans="1:10" ht="20.100000000000001" customHeight="1">
      <c r="A70" s="1083"/>
      <c r="B70" s="1084"/>
      <c r="C70" s="1084"/>
      <c r="D70" s="1084"/>
      <c r="E70" s="1084"/>
      <c r="F70" s="1084" t="s">
        <v>150</v>
      </c>
      <c r="G70" s="1084"/>
      <c r="H70" s="1084"/>
      <c r="I70" s="1084"/>
      <c r="J70" s="511">
        <f>J69</f>
        <v>12.515909000000001</v>
      </c>
    </row>
    <row r="71" spans="1:10" ht="20.100000000000001" customHeight="1">
      <c r="A71" s="1083"/>
      <c r="B71" s="1084"/>
      <c r="C71" s="1084"/>
      <c r="D71" s="1084"/>
      <c r="E71" s="1084"/>
      <c r="F71" s="1084" t="s">
        <v>151</v>
      </c>
      <c r="G71" s="1084"/>
      <c r="H71" s="1084"/>
      <c r="I71" s="1084"/>
      <c r="J71" s="511">
        <v>0</v>
      </c>
    </row>
    <row r="72" spans="1:10" ht="20.100000000000001" customHeight="1">
      <c r="A72" s="1083"/>
      <c r="B72" s="1084"/>
      <c r="C72" s="1084"/>
      <c r="D72" s="1084"/>
      <c r="E72" s="1084"/>
      <c r="F72" s="1084" t="s">
        <v>152</v>
      </c>
      <c r="G72" s="1084"/>
      <c r="H72" s="1084"/>
      <c r="I72" s="1084"/>
      <c r="J72" s="511">
        <f>J70+J67</f>
        <v>86.220687846000004</v>
      </c>
    </row>
    <row r="73" spans="1:10" ht="20.100000000000001" customHeight="1">
      <c r="A73" s="1083"/>
      <c r="B73" s="1084"/>
      <c r="C73" s="1084"/>
      <c r="D73" s="1084"/>
      <c r="E73" s="1084"/>
      <c r="F73" s="1084" t="s">
        <v>153</v>
      </c>
      <c r="G73" s="1084"/>
      <c r="H73" s="1084"/>
      <c r="I73" s="1084"/>
      <c r="J73" s="511">
        <v>0</v>
      </c>
    </row>
    <row r="74" spans="1:10" ht="24" customHeight="1">
      <c r="A74" s="1083"/>
      <c r="B74" s="1084"/>
      <c r="C74" s="1084"/>
      <c r="D74" s="1084"/>
      <c r="E74" s="1084"/>
      <c r="F74" s="1084" t="s">
        <v>154</v>
      </c>
      <c r="G74" s="1084"/>
      <c r="H74" s="1084"/>
      <c r="I74" s="1084"/>
      <c r="J74" s="511">
        <v>0</v>
      </c>
    </row>
    <row r="75" spans="1:10" ht="20.100000000000001" customHeight="1">
      <c r="A75" s="1083"/>
      <c r="B75" s="1084"/>
      <c r="C75" s="1084"/>
      <c r="D75" s="1084"/>
      <c r="E75" s="1084"/>
      <c r="F75" s="1084" t="s">
        <v>155</v>
      </c>
      <c r="G75" s="1084"/>
      <c r="H75" s="1084"/>
      <c r="I75" s="1084"/>
      <c r="J75" s="511">
        <v>0.46704000000000001</v>
      </c>
    </row>
    <row r="76" spans="1:10" ht="20.100000000000001" customHeight="1">
      <c r="A76" s="1083"/>
      <c r="B76" s="1084"/>
      <c r="C76" s="1084"/>
      <c r="D76" s="1084"/>
      <c r="E76" s="1084"/>
      <c r="F76" s="1084" t="s">
        <v>156</v>
      </c>
      <c r="G76" s="1084"/>
      <c r="H76" s="1084"/>
      <c r="I76" s="1084"/>
      <c r="J76" s="511">
        <f>J72/J75</f>
        <v>184.61092807040083</v>
      </c>
    </row>
    <row r="77" spans="1:10" ht="39" customHeight="1">
      <c r="A77" s="490" t="s">
        <v>157</v>
      </c>
      <c r="B77" s="31" t="s">
        <v>8</v>
      </c>
      <c r="C77" s="26" t="s">
        <v>7</v>
      </c>
      <c r="D77" s="26" t="s">
        <v>108</v>
      </c>
      <c r="E77" s="29" t="s">
        <v>139</v>
      </c>
      <c r="F77" s="29" t="s">
        <v>158</v>
      </c>
      <c r="G77" s="1085" t="s">
        <v>159</v>
      </c>
      <c r="H77" s="1085"/>
      <c r="I77" s="1085"/>
      <c r="J77" s="491" t="s">
        <v>142</v>
      </c>
    </row>
    <row r="78" spans="1:10" ht="20.100000000000001" customHeight="1">
      <c r="A78" s="496" t="s">
        <v>105</v>
      </c>
      <c r="B78" s="11" t="s">
        <v>27</v>
      </c>
      <c r="C78" s="24" t="s">
        <v>383</v>
      </c>
      <c r="D78" s="24" t="s">
        <v>384</v>
      </c>
      <c r="E78" s="12">
        <v>0.3</v>
      </c>
      <c r="F78" s="11" t="s">
        <v>84</v>
      </c>
      <c r="G78" s="1086">
        <v>421.55309999999997</v>
      </c>
      <c r="H78" s="1086"/>
      <c r="I78" s="1087"/>
      <c r="J78" s="510">
        <f>G78*E78</f>
        <v>126.46592999999999</v>
      </c>
    </row>
    <row r="79" spans="1:10" ht="20.100000000000001" customHeight="1">
      <c r="A79" s="1083"/>
      <c r="B79" s="1084"/>
      <c r="C79" s="1084"/>
      <c r="D79" s="1084"/>
      <c r="E79" s="1084"/>
      <c r="F79" s="1084" t="s">
        <v>160</v>
      </c>
      <c r="G79" s="1084"/>
      <c r="H79" s="1084"/>
      <c r="I79" s="1084"/>
      <c r="J79" s="511">
        <f>J78</f>
        <v>126.46592999999999</v>
      </c>
    </row>
    <row r="80" spans="1:10" ht="20.100000000000001" customHeight="1">
      <c r="A80" s="490" t="s">
        <v>161</v>
      </c>
      <c r="B80" s="31" t="s">
        <v>8</v>
      </c>
      <c r="C80" s="26" t="s">
        <v>105</v>
      </c>
      <c r="D80" s="26" t="s">
        <v>162</v>
      </c>
      <c r="E80" s="29" t="s">
        <v>7</v>
      </c>
      <c r="F80" s="29" t="s">
        <v>139</v>
      </c>
      <c r="G80" s="31" t="s">
        <v>158</v>
      </c>
      <c r="H80" s="1085" t="s">
        <v>159</v>
      </c>
      <c r="I80" s="1085"/>
      <c r="J80" s="491" t="s">
        <v>142</v>
      </c>
    </row>
    <row r="81" spans="1:11" ht="50.1" customHeight="1">
      <c r="A81" s="494" t="s">
        <v>163</v>
      </c>
      <c r="B81" s="8" t="s">
        <v>27</v>
      </c>
      <c r="C81" s="23" t="s">
        <v>385</v>
      </c>
      <c r="D81" s="23" t="s">
        <v>386</v>
      </c>
      <c r="E81" s="7">
        <v>5915433</v>
      </c>
      <c r="F81" s="9">
        <v>2.4</v>
      </c>
      <c r="G81" s="8" t="s">
        <v>61</v>
      </c>
      <c r="H81" s="1088">
        <v>33.46</v>
      </c>
      <c r="I81" s="1080"/>
      <c r="J81" s="514">
        <f>H81*F81</f>
        <v>80.304000000000002</v>
      </c>
    </row>
    <row r="82" spans="1:11" ht="20.100000000000001" customHeight="1">
      <c r="A82" s="1083"/>
      <c r="B82" s="1084"/>
      <c r="C82" s="1084"/>
      <c r="D82" s="1084"/>
      <c r="E82" s="1084"/>
      <c r="F82" s="1084" t="s">
        <v>164</v>
      </c>
      <c r="G82" s="1084"/>
      <c r="H82" s="1084"/>
      <c r="I82" s="1084"/>
      <c r="J82" s="511">
        <f>J81</f>
        <v>80.304000000000002</v>
      </c>
    </row>
    <row r="83" spans="1:11" ht="15">
      <c r="A83" s="490" t="s">
        <v>165</v>
      </c>
      <c r="B83" s="31" t="s">
        <v>8</v>
      </c>
      <c r="C83" s="26" t="s">
        <v>105</v>
      </c>
      <c r="D83" s="26" t="s">
        <v>166</v>
      </c>
      <c r="E83" s="29" t="s">
        <v>139</v>
      </c>
      <c r="F83" s="29" t="s">
        <v>158</v>
      </c>
      <c r="G83" s="1089" t="s">
        <v>167</v>
      </c>
      <c r="H83" s="1085"/>
      <c r="I83" s="1085"/>
      <c r="J83" s="491" t="s">
        <v>142</v>
      </c>
    </row>
    <row r="84" spans="1:11" ht="15">
      <c r="A84" s="515"/>
      <c r="B84" s="31"/>
      <c r="C84" s="31"/>
      <c r="D84" s="31"/>
      <c r="E84" s="31"/>
      <c r="F84" s="31"/>
      <c r="G84" s="31" t="s">
        <v>168</v>
      </c>
      <c r="H84" s="31" t="s">
        <v>169</v>
      </c>
      <c r="I84" s="31" t="s">
        <v>170</v>
      </c>
      <c r="J84" s="516"/>
      <c r="K84">
        <v>473.453424007764</v>
      </c>
    </row>
    <row r="85" spans="1:11" ht="38.25">
      <c r="A85" s="494" t="s">
        <v>166</v>
      </c>
      <c r="B85" s="8" t="s">
        <v>27</v>
      </c>
      <c r="C85" s="23" t="s">
        <v>385</v>
      </c>
      <c r="D85" s="23" t="s">
        <v>387</v>
      </c>
      <c r="E85" s="9">
        <v>2.4</v>
      </c>
      <c r="F85" s="8" t="s">
        <v>171</v>
      </c>
      <c r="G85" s="7" t="s">
        <v>388</v>
      </c>
      <c r="H85" s="7" t="s">
        <v>389</v>
      </c>
      <c r="I85" s="7" t="s">
        <v>390</v>
      </c>
      <c r="J85" s="514">
        <v>0</v>
      </c>
    </row>
    <row r="86" spans="1:11">
      <c r="A86" s="1083"/>
      <c r="B86" s="1084"/>
      <c r="C86" s="1084"/>
      <c r="D86" s="1084"/>
      <c r="E86" s="1084"/>
      <c r="F86" s="1084" t="s">
        <v>172</v>
      </c>
      <c r="G86" s="1084"/>
      <c r="H86" s="1084"/>
      <c r="I86" s="1084"/>
      <c r="J86" s="511">
        <v>0</v>
      </c>
    </row>
    <row r="87" spans="1:11">
      <c r="A87" s="498"/>
      <c r="B87" s="20"/>
      <c r="C87" s="499"/>
      <c r="D87" s="499"/>
      <c r="E87" s="499" t="s">
        <v>116</v>
      </c>
      <c r="F87" s="500">
        <v>53.39015155187932</v>
      </c>
      <c r="G87" s="499" t="s">
        <v>117</v>
      </c>
      <c r="H87" s="500">
        <v>0</v>
      </c>
      <c r="I87" s="499" t="s">
        <v>118</v>
      </c>
      <c r="J87" s="501">
        <v>53.39015155187932</v>
      </c>
    </row>
    <row r="88" spans="1:11">
      <c r="A88" s="498"/>
      <c r="B88" s="20"/>
      <c r="C88" s="499"/>
      <c r="D88" s="499"/>
      <c r="E88" s="499" t="s">
        <v>119</v>
      </c>
      <c r="F88" s="500">
        <f>J88-J61</f>
        <v>82.072565937363038</v>
      </c>
      <c r="G88" s="499"/>
      <c r="H88" s="1082" t="s">
        <v>120</v>
      </c>
      <c r="I88" s="1082"/>
      <c r="J88" s="517">
        <f>J61*(1+G2)</f>
        <v>473.45342400776383</v>
      </c>
    </row>
    <row r="89" spans="1:11" ht="39.6" customHeight="1" thickBot="1">
      <c r="A89" s="503"/>
      <c r="B89" s="666"/>
      <c r="C89" s="14"/>
      <c r="D89" s="14"/>
      <c r="E89" s="14"/>
      <c r="F89" s="14"/>
      <c r="G89" s="14" t="s">
        <v>121</v>
      </c>
      <c r="H89" s="504">
        <f>'OBRA 01 - SINTÉTICA'!F12</f>
        <v>4.5</v>
      </c>
      <c r="I89" s="14" t="s">
        <v>122</v>
      </c>
      <c r="J89" s="505">
        <f>TRUNC(H89*J88,2)</f>
        <v>2130.54</v>
      </c>
    </row>
    <row r="90" spans="1:11" ht="26.45" customHeight="1" thickTop="1">
      <c r="A90" s="506"/>
      <c r="B90" s="230"/>
      <c r="C90" s="15"/>
      <c r="D90" s="15"/>
      <c r="E90" s="15"/>
      <c r="F90" s="15"/>
      <c r="G90" s="15"/>
      <c r="H90" s="15"/>
      <c r="I90" s="15"/>
      <c r="J90" s="507"/>
    </row>
    <row r="91" spans="1:11" ht="39.6" customHeight="1">
      <c r="A91" s="490" t="s">
        <v>326</v>
      </c>
      <c r="B91" s="31" t="s">
        <v>7</v>
      </c>
      <c r="C91" s="26" t="s">
        <v>8</v>
      </c>
      <c r="D91" s="26" t="s">
        <v>9</v>
      </c>
      <c r="E91" s="1092" t="s">
        <v>92</v>
      </c>
      <c r="F91" s="1092"/>
      <c r="G91" s="31" t="s">
        <v>10</v>
      </c>
      <c r="H91" s="29" t="s">
        <v>11</v>
      </c>
      <c r="I91" s="29" t="s">
        <v>12</v>
      </c>
      <c r="J91" s="491" t="s">
        <v>14</v>
      </c>
    </row>
    <row r="92" spans="1:11" ht="26.45" customHeight="1">
      <c r="A92" s="492" t="s">
        <v>93</v>
      </c>
      <c r="B92" s="4" t="s">
        <v>42</v>
      </c>
      <c r="C92" s="27" t="s">
        <v>24</v>
      </c>
      <c r="D92" s="27" t="s">
        <v>659</v>
      </c>
      <c r="E92" s="1079" t="s">
        <v>184</v>
      </c>
      <c r="F92" s="1079"/>
      <c r="G92" s="4" t="s">
        <v>28</v>
      </c>
      <c r="H92" s="5">
        <v>1</v>
      </c>
      <c r="I92" s="6">
        <v>7.79</v>
      </c>
      <c r="J92" s="509">
        <f>SUM(J93:J96)</f>
        <v>7.8073019999999991</v>
      </c>
    </row>
    <row r="93" spans="1:11" ht="51">
      <c r="A93" s="494" t="s">
        <v>95</v>
      </c>
      <c r="B93" s="8" t="s">
        <v>185</v>
      </c>
      <c r="C93" s="23" t="s">
        <v>24</v>
      </c>
      <c r="D93" s="23" t="s">
        <v>186</v>
      </c>
      <c r="E93" s="1080" t="s">
        <v>125</v>
      </c>
      <c r="F93" s="1080"/>
      <c r="G93" s="8" t="s">
        <v>126</v>
      </c>
      <c r="H93" s="9">
        <v>2.2499999999999999E-2</v>
      </c>
      <c r="I93" s="10">
        <v>186.94</v>
      </c>
      <c r="J93" s="495">
        <f>H93*I93</f>
        <v>4.2061500000000001</v>
      </c>
    </row>
    <row r="94" spans="1:11" ht="13.9" customHeight="1">
      <c r="A94" s="494" t="s">
        <v>95</v>
      </c>
      <c r="B94" s="8" t="s">
        <v>187</v>
      </c>
      <c r="C94" s="23" t="s">
        <v>24</v>
      </c>
      <c r="D94" s="23" t="s">
        <v>188</v>
      </c>
      <c r="E94" s="1080" t="s">
        <v>125</v>
      </c>
      <c r="F94" s="1080"/>
      <c r="G94" s="8" t="s">
        <v>129</v>
      </c>
      <c r="H94" s="9">
        <v>1.8499999999999999E-2</v>
      </c>
      <c r="I94" s="10">
        <v>62.47</v>
      </c>
      <c r="J94" s="495">
        <f t="shared" ref="J94:J96" si="4">H94*I94</f>
        <v>1.1556949999999999</v>
      </c>
      <c r="K94">
        <v>11.482559498400001</v>
      </c>
    </row>
    <row r="95" spans="1:11" ht="38.25">
      <c r="A95" s="494" t="s">
        <v>95</v>
      </c>
      <c r="B95" s="8" t="s">
        <v>200</v>
      </c>
      <c r="C95" s="23" t="s">
        <v>24</v>
      </c>
      <c r="D95" s="172" t="s">
        <v>201</v>
      </c>
      <c r="E95" s="1081" t="s">
        <v>125</v>
      </c>
      <c r="F95" s="1081"/>
      <c r="G95" s="173" t="s">
        <v>126</v>
      </c>
      <c r="H95" s="174">
        <v>4.1999999999999997E-3</v>
      </c>
      <c r="I95" s="10">
        <v>257.7</v>
      </c>
      <c r="J95" s="495">
        <f t="shared" si="4"/>
        <v>1.0823399999999999</v>
      </c>
    </row>
    <row r="96" spans="1:11" ht="38.25">
      <c r="A96" s="494" t="s">
        <v>95</v>
      </c>
      <c r="B96" s="8" t="s">
        <v>202</v>
      </c>
      <c r="C96" s="23" t="s">
        <v>24</v>
      </c>
      <c r="D96" s="23" t="s">
        <v>203</v>
      </c>
      <c r="E96" s="1080" t="s">
        <v>125</v>
      </c>
      <c r="F96" s="1080"/>
      <c r="G96" s="8" t="s">
        <v>129</v>
      </c>
      <c r="H96" s="9">
        <v>1.3299999999999999E-2</v>
      </c>
      <c r="I96" s="10">
        <v>102.49</v>
      </c>
      <c r="J96" s="495">
        <f t="shared" si="4"/>
        <v>1.3631169999999999</v>
      </c>
    </row>
    <row r="97" spans="1:11">
      <c r="A97" s="498"/>
      <c r="B97" s="20"/>
      <c r="C97" s="499"/>
      <c r="D97" s="499"/>
      <c r="E97" s="499" t="s">
        <v>116</v>
      </c>
      <c r="F97" s="500">
        <v>1.4</v>
      </c>
      <c r="G97" s="499" t="s">
        <v>117</v>
      </c>
      <c r="H97" s="500">
        <v>0</v>
      </c>
      <c r="I97" s="499" t="s">
        <v>118</v>
      </c>
      <c r="J97" s="501">
        <v>1.4</v>
      </c>
    </row>
    <row r="98" spans="1:11">
      <c r="A98" s="498"/>
      <c r="B98" s="20"/>
      <c r="C98" s="499"/>
      <c r="D98" s="499"/>
      <c r="E98" s="499" t="s">
        <v>119</v>
      </c>
      <c r="F98" s="500">
        <v>1.91</v>
      </c>
      <c r="G98" s="499"/>
      <c r="H98" s="1082" t="s">
        <v>120</v>
      </c>
      <c r="I98" s="1082"/>
      <c r="J98" s="508">
        <f>J92*(1+G2)</f>
        <v>9.444493229399999</v>
      </c>
    </row>
    <row r="99" spans="1:11" ht="15" thickBot="1">
      <c r="A99" s="503"/>
      <c r="B99" s="666"/>
      <c r="C99" s="14"/>
      <c r="D99" s="14"/>
      <c r="E99" s="14"/>
      <c r="F99" s="14"/>
      <c r="G99" s="14" t="s">
        <v>121</v>
      </c>
      <c r="H99" s="504">
        <f>'OBRA 01 - MEMÓRIA'!O18</f>
        <v>262.02500000000003</v>
      </c>
      <c r="I99" s="14" t="s">
        <v>122</v>
      </c>
      <c r="J99" s="505">
        <f>TRUNC(H99*J98,2)</f>
        <v>2474.69</v>
      </c>
    </row>
    <row r="100" spans="1:11" ht="15" thickTop="1">
      <c r="A100" s="506"/>
      <c r="B100" s="230"/>
      <c r="C100" s="15"/>
      <c r="D100" s="15"/>
      <c r="E100" s="15"/>
      <c r="F100" s="15"/>
      <c r="G100" s="15"/>
      <c r="H100" s="15"/>
      <c r="I100" s="15"/>
      <c r="J100" s="507"/>
    </row>
    <row r="101" spans="1:11" ht="15">
      <c r="A101" s="490" t="s">
        <v>365</v>
      </c>
      <c r="B101" s="31" t="s">
        <v>7</v>
      </c>
      <c r="C101" s="26" t="s">
        <v>8</v>
      </c>
      <c r="D101" s="26" t="s">
        <v>9</v>
      </c>
      <c r="E101" s="1092" t="s">
        <v>92</v>
      </c>
      <c r="F101" s="1092"/>
      <c r="G101" s="31" t="s">
        <v>10</v>
      </c>
      <c r="H101" s="29" t="s">
        <v>11</v>
      </c>
      <c r="I101" s="29" t="s">
        <v>12</v>
      </c>
      <c r="J101" s="491" t="s">
        <v>14</v>
      </c>
    </row>
    <row r="102" spans="1:11" ht="38.25">
      <c r="A102" s="492" t="s">
        <v>93</v>
      </c>
      <c r="B102" s="4" t="s">
        <v>34</v>
      </c>
      <c r="C102" s="27" t="s">
        <v>24</v>
      </c>
      <c r="D102" s="27" t="s">
        <v>656</v>
      </c>
      <c r="E102" s="1079" t="s">
        <v>184</v>
      </c>
      <c r="F102" s="1079"/>
      <c r="G102" s="4" t="s">
        <v>36</v>
      </c>
      <c r="H102" s="5">
        <v>1</v>
      </c>
      <c r="I102" s="6">
        <v>2.92</v>
      </c>
      <c r="J102" s="509">
        <f>J103+J104</f>
        <v>2.9732859999999999</v>
      </c>
      <c r="K102" s="233">
        <v>3.5951025911999999</v>
      </c>
    </row>
    <row r="103" spans="1:11" ht="51">
      <c r="A103" s="494" t="s">
        <v>95</v>
      </c>
      <c r="B103" s="8">
        <v>67826</v>
      </c>
      <c r="C103" s="23" t="s">
        <v>24</v>
      </c>
      <c r="D103" s="23" t="s">
        <v>186</v>
      </c>
      <c r="E103" s="1080" t="s">
        <v>125</v>
      </c>
      <c r="F103" s="1080"/>
      <c r="G103" s="8" t="s">
        <v>126</v>
      </c>
      <c r="H103" s="9">
        <v>1.3899999999999999E-2</v>
      </c>
      <c r="I103" s="10">
        <v>186.94</v>
      </c>
      <c r="J103" s="495">
        <f>H103*I103</f>
        <v>2.5984659999999997</v>
      </c>
    </row>
    <row r="104" spans="1:11" ht="51">
      <c r="A104" s="494" t="s">
        <v>95</v>
      </c>
      <c r="B104" s="8" t="s">
        <v>187</v>
      </c>
      <c r="C104" s="23" t="s">
        <v>24</v>
      </c>
      <c r="D104" s="23" t="s">
        <v>655</v>
      </c>
      <c r="E104" s="1080" t="s">
        <v>125</v>
      </c>
      <c r="F104" s="1080"/>
      <c r="G104" s="8" t="s">
        <v>129</v>
      </c>
      <c r="H104" s="9">
        <v>6.0000000000000001E-3</v>
      </c>
      <c r="I104" s="10">
        <v>62.47</v>
      </c>
      <c r="J104" s="495">
        <f>H104*I104</f>
        <v>0.37481999999999999</v>
      </c>
    </row>
    <row r="105" spans="1:11">
      <c r="A105" s="498"/>
      <c r="B105" s="20"/>
      <c r="C105" s="499"/>
      <c r="D105" s="499"/>
      <c r="E105" s="499" t="s">
        <v>116</v>
      </c>
      <c r="F105" s="500">
        <v>0.41</v>
      </c>
      <c r="G105" s="499" t="s">
        <v>117</v>
      </c>
      <c r="H105" s="500">
        <v>0</v>
      </c>
      <c r="I105" s="499" t="s">
        <v>118</v>
      </c>
      <c r="J105" s="501">
        <v>0.41</v>
      </c>
    </row>
    <row r="106" spans="1:11">
      <c r="A106" s="498"/>
      <c r="B106" s="20"/>
      <c r="C106" s="499"/>
      <c r="D106" s="499"/>
      <c r="E106" s="499" t="s">
        <v>119</v>
      </c>
      <c r="F106" s="500">
        <f>J106-J102</f>
        <v>0.62349807420000003</v>
      </c>
      <c r="G106" s="499"/>
      <c r="H106" s="1082" t="s">
        <v>120</v>
      </c>
      <c r="I106" s="1082"/>
      <c r="J106" s="508">
        <f>J102*(1+G2)</f>
        <v>3.5967840741999999</v>
      </c>
    </row>
    <row r="107" spans="1:11" ht="15" thickBot="1">
      <c r="A107" s="503"/>
      <c r="B107" s="666"/>
      <c r="C107" s="14"/>
      <c r="D107" s="14"/>
      <c r="E107" s="14"/>
      <c r="F107" s="14"/>
      <c r="G107" s="14" t="s">
        <v>121</v>
      </c>
      <c r="H107" s="504">
        <f>'OBRA 01 - SINTÉTICA'!F14</f>
        <v>7860.7500000000009</v>
      </c>
      <c r="I107" s="14" t="s">
        <v>122</v>
      </c>
      <c r="J107" s="505">
        <f>TRUNC(H107*J106,2)</f>
        <v>28273.42</v>
      </c>
    </row>
    <row r="108" spans="1:11" ht="15" thickTop="1">
      <c r="A108" s="506"/>
      <c r="B108" s="230"/>
      <c r="C108" s="15"/>
      <c r="D108" s="15"/>
      <c r="E108" s="15"/>
      <c r="F108" s="15"/>
      <c r="G108" s="15"/>
      <c r="H108" s="15"/>
      <c r="I108" s="15"/>
      <c r="J108" s="507"/>
    </row>
    <row r="109" spans="1:11">
      <c r="A109" s="518" t="s">
        <v>37</v>
      </c>
      <c r="B109" s="229"/>
      <c r="C109" s="25"/>
      <c r="D109" s="25" t="s">
        <v>38</v>
      </c>
      <c r="E109" s="25"/>
      <c r="F109" s="1090"/>
      <c r="G109" s="1090"/>
      <c r="H109" s="1"/>
      <c r="I109" s="25"/>
      <c r="J109" s="519">
        <f>J118+J141+J149</f>
        <v>124420.61</v>
      </c>
    </row>
    <row r="110" spans="1:11" ht="15">
      <c r="A110" s="490" t="s">
        <v>39</v>
      </c>
      <c r="B110" s="31" t="s">
        <v>7</v>
      </c>
      <c r="C110" s="26" t="s">
        <v>8</v>
      </c>
      <c r="D110" s="26" t="s">
        <v>9</v>
      </c>
      <c r="E110" s="1092" t="s">
        <v>92</v>
      </c>
      <c r="F110" s="1092"/>
      <c r="G110" s="31" t="s">
        <v>10</v>
      </c>
      <c r="H110" s="29" t="s">
        <v>11</v>
      </c>
      <c r="I110" s="29" t="s">
        <v>12</v>
      </c>
      <c r="J110" s="491" t="s">
        <v>14</v>
      </c>
    </row>
    <row r="111" spans="1:11" ht="38.25">
      <c r="A111" s="492" t="s">
        <v>93</v>
      </c>
      <c r="B111" s="4">
        <v>101124</v>
      </c>
      <c r="C111" s="27" t="s">
        <v>24</v>
      </c>
      <c r="D111" s="27" t="s">
        <v>397</v>
      </c>
      <c r="E111" s="1079" t="s">
        <v>189</v>
      </c>
      <c r="F111" s="1079"/>
      <c r="G111" s="4" t="s">
        <v>28</v>
      </c>
      <c r="H111" s="5">
        <v>1</v>
      </c>
      <c r="I111" s="6">
        <v>15.26</v>
      </c>
      <c r="J111" s="509">
        <f>SUM(J112:J115)</f>
        <v>15.327324999999998</v>
      </c>
    </row>
    <row r="112" spans="1:11" ht="25.5">
      <c r="A112" s="494" t="s">
        <v>95</v>
      </c>
      <c r="B112" s="8" t="s">
        <v>398</v>
      </c>
      <c r="C112" s="23" t="s">
        <v>24</v>
      </c>
      <c r="D112" s="23" t="s">
        <v>104</v>
      </c>
      <c r="E112" s="1080" t="s">
        <v>125</v>
      </c>
      <c r="F112" s="1080"/>
      <c r="G112" s="8" t="s">
        <v>102</v>
      </c>
      <c r="H112" s="9" t="s">
        <v>405</v>
      </c>
      <c r="I112" s="10" t="s">
        <v>406</v>
      </c>
      <c r="J112" s="495">
        <f>I112*H112</f>
        <v>0.65254999999999996</v>
      </c>
    </row>
    <row r="113" spans="1:11" ht="25.5">
      <c r="A113" s="494" t="s">
        <v>95</v>
      </c>
      <c r="B113" s="8" t="s">
        <v>399</v>
      </c>
      <c r="C113" s="23" t="s">
        <v>24</v>
      </c>
      <c r="D113" s="23" t="s">
        <v>401</v>
      </c>
      <c r="E113" s="1080" t="s">
        <v>125</v>
      </c>
      <c r="F113" s="1080"/>
      <c r="G113" s="8" t="s">
        <v>126</v>
      </c>
      <c r="H113" s="9" t="s">
        <v>407</v>
      </c>
      <c r="I113" s="10">
        <v>80.77</v>
      </c>
      <c r="J113" s="495">
        <f t="shared" ref="J113:J115" si="5">I113*H113</f>
        <v>1.5750149999999998</v>
      </c>
      <c r="K113">
        <v>18.541465052500001</v>
      </c>
    </row>
    <row r="114" spans="1:11" ht="25.5">
      <c r="A114" s="494" t="s">
        <v>95</v>
      </c>
      <c r="B114" s="8" t="s">
        <v>400</v>
      </c>
      <c r="C114" s="23" t="s">
        <v>24</v>
      </c>
      <c r="D114" s="23" t="s">
        <v>402</v>
      </c>
      <c r="E114" s="1080" t="s">
        <v>101</v>
      </c>
      <c r="F114" s="1080"/>
      <c r="G114" s="8" t="s">
        <v>129</v>
      </c>
      <c r="H114" s="9" t="s">
        <v>408</v>
      </c>
      <c r="I114" s="10">
        <v>203.24</v>
      </c>
      <c r="J114" s="495">
        <f t="shared" si="5"/>
        <v>2.3372600000000001</v>
      </c>
    </row>
    <row r="115" spans="1:11" ht="51">
      <c r="A115" s="494" t="s">
        <v>95</v>
      </c>
      <c r="B115" s="8">
        <v>100974</v>
      </c>
      <c r="C115" s="23" t="s">
        <v>24</v>
      </c>
      <c r="D115" s="23" t="s">
        <v>403</v>
      </c>
      <c r="E115" s="1080" t="s">
        <v>184</v>
      </c>
      <c r="F115" s="1080"/>
      <c r="G115" s="8" t="s">
        <v>404</v>
      </c>
      <c r="H115" s="9" t="s">
        <v>409</v>
      </c>
      <c r="I115" s="10">
        <v>8.61</v>
      </c>
      <c r="J115" s="495">
        <f t="shared" si="5"/>
        <v>10.762499999999999</v>
      </c>
    </row>
    <row r="116" spans="1:11">
      <c r="A116" s="498"/>
      <c r="B116" s="20"/>
      <c r="C116" s="499"/>
      <c r="D116" s="499"/>
      <c r="E116" s="499" t="s">
        <v>116</v>
      </c>
      <c r="F116" s="500">
        <v>1.3</v>
      </c>
      <c r="G116" s="499" t="s">
        <v>117</v>
      </c>
      <c r="H116" s="500">
        <v>0</v>
      </c>
      <c r="I116" s="499" t="s">
        <v>118</v>
      </c>
      <c r="J116" s="501">
        <v>1.3</v>
      </c>
    </row>
    <row r="117" spans="1:11">
      <c r="A117" s="498"/>
      <c r="B117" s="20"/>
      <c r="C117" s="499"/>
      <c r="D117" s="499"/>
      <c r="E117" s="499" t="s">
        <v>119</v>
      </c>
      <c r="F117" s="500">
        <f>J117-J111</f>
        <v>3.2141400524999995</v>
      </c>
      <c r="G117" s="499"/>
      <c r="H117" s="1082" t="s">
        <v>120</v>
      </c>
      <c r="I117" s="1082"/>
      <c r="J117" s="508">
        <f>J111*(1+G2)</f>
        <v>18.541465052499998</v>
      </c>
    </row>
    <row r="118" spans="1:11" ht="15" thickBot="1">
      <c r="A118" s="503"/>
      <c r="B118" s="666"/>
      <c r="C118" s="14"/>
      <c r="D118" s="14"/>
      <c r="E118" s="14"/>
      <c r="F118" s="14"/>
      <c r="G118" s="14" t="s">
        <v>121</v>
      </c>
      <c r="H118" s="504">
        <f>'OBRA 01 - MEMÓRIA'!O26</f>
        <v>780.80000000000007</v>
      </c>
      <c r="I118" s="14" t="s">
        <v>122</v>
      </c>
      <c r="J118" s="505">
        <f>TRUNC(H118*J117,2)</f>
        <v>14477.17</v>
      </c>
    </row>
    <row r="119" spans="1:11" ht="15" thickTop="1">
      <c r="A119" s="506"/>
      <c r="B119" s="230"/>
      <c r="C119" s="15"/>
      <c r="D119" s="15"/>
      <c r="E119" s="15"/>
      <c r="F119" s="15"/>
      <c r="G119" s="15"/>
      <c r="H119" s="15"/>
      <c r="I119" s="15"/>
      <c r="J119" s="507"/>
    </row>
    <row r="120" spans="1:11" ht="15">
      <c r="A120" s="490" t="s">
        <v>40</v>
      </c>
      <c r="B120" s="31" t="s">
        <v>7</v>
      </c>
      <c r="C120" s="26" t="s">
        <v>8</v>
      </c>
      <c r="D120" s="26" t="s">
        <v>9</v>
      </c>
      <c r="E120" s="1092" t="s">
        <v>92</v>
      </c>
      <c r="F120" s="1092"/>
      <c r="G120" s="31" t="s">
        <v>10</v>
      </c>
      <c r="H120" s="29" t="s">
        <v>11</v>
      </c>
      <c r="I120" s="29" t="s">
        <v>12</v>
      </c>
      <c r="J120" s="491" t="s">
        <v>14</v>
      </c>
    </row>
    <row r="121" spans="1:11">
      <c r="A121" s="492" t="s">
        <v>93</v>
      </c>
      <c r="B121" s="4" t="s">
        <v>41</v>
      </c>
      <c r="C121" s="27" t="s">
        <v>27</v>
      </c>
      <c r="D121" s="27" t="s">
        <v>562</v>
      </c>
      <c r="E121" s="1079" t="s">
        <v>136</v>
      </c>
      <c r="F121" s="1079"/>
      <c r="G121" s="4" t="s">
        <v>28</v>
      </c>
      <c r="H121" s="5">
        <v>1</v>
      </c>
      <c r="I121" s="6">
        <v>4.8899999999999997</v>
      </c>
      <c r="J121" s="509">
        <f>J138+J136</f>
        <v>4.9014837633769313</v>
      </c>
    </row>
    <row r="122" spans="1:11" ht="15">
      <c r="A122" s="1096" t="s">
        <v>137</v>
      </c>
      <c r="B122" s="1089" t="s">
        <v>7</v>
      </c>
      <c r="C122" s="1092" t="s">
        <v>8</v>
      </c>
      <c r="D122" s="1092" t="s">
        <v>138</v>
      </c>
      <c r="E122" s="1085" t="s">
        <v>139</v>
      </c>
      <c r="F122" s="1089" t="s">
        <v>140</v>
      </c>
      <c r="G122" s="1085"/>
      <c r="H122" s="1089" t="s">
        <v>141</v>
      </c>
      <c r="I122" s="1085"/>
      <c r="J122" s="1103" t="s">
        <v>142</v>
      </c>
    </row>
    <row r="123" spans="1:11" ht="15">
      <c r="A123" s="1097"/>
      <c r="B123" s="1089"/>
      <c r="C123" s="1085"/>
      <c r="D123" s="1085"/>
      <c r="E123" s="1085"/>
      <c r="F123" s="29" t="s">
        <v>143</v>
      </c>
      <c r="G123" s="29" t="s">
        <v>144</v>
      </c>
      <c r="H123" s="29" t="s">
        <v>143</v>
      </c>
      <c r="I123" s="29" t="s">
        <v>144</v>
      </c>
      <c r="J123" s="1103"/>
    </row>
    <row r="124" spans="1:11">
      <c r="A124" s="496" t="s">
        <v>105</v>
      </c>
      <c r="B124" s="11" t="s">
        <v>190</v>
      </c>
      <c r="C124" s="24" t="s">
        <v>27</v>
      </c>
      <c r="D124" s="24" t="s">
        <v>191</v>
      </c>
      <c r="E124" s="12">
        <v>1</v>
      </c>
      <c r="F124" s="13">
        <v>0.9</v>
      </c>
      <c r="G124" s="13">
        <v>0.1</v>
      </c>
      <c r="H124" s="30">
        <v>317.52929999999998</v>
      </c>
      <c r="I124" s="30">
        <v>83.430800000000005</v>
      </c>
      <c r="J124" s="510">
        <f>E124*((F124*H124)+(G124*I124))</f>
        <v>294.11944999999997</v>
      </c>
    </row>
    <row r="125" spans="1:11">
      <c r="A125" s="496" t="s">
        <v>105</v>
      </c>
      <c r="B125" s="11" t="s">
        <v>192</v>
      </c>
      <c r="C125" s="24" t="s">
        <v>27</v>
      </c>
      <c r="D125" s="24" t="s">
        <v>193</v>
      </c>
      <c r="E125" s="12">
        <v>1</v>
      </c>
      <c r="F125" s="13">
        <v>0.52</v>
      </c>
      <c r="G125" s="13">
        <v>0.48</v>
      </c>
      <c r="H125" s="30">
        <v>5.0606</v>
      </c>
      <c r="I125" s="30">
        <v>3.5240999999999998</v>
      </c>
      <c r="J125" s="510">
        <f t="shared" ref="J125:J128" si="6">E125*((F125*H125)+(G125*I125))</f>
        <v>4.32308</v>
      </c>
    </row>
    <row r="126" spans="1:11">
      <c r="A126" s="496" t="s">
        <v>105</v>
      </c>
      <c r="B126" s="11" t="s">
        <v>194</v>
      </c>
      <c r="C126" s="24" t="s">
        <v>27</v>
      </c>
      <c r="D126" s="24" t="s">
        <v>195</v>
      </c>
      <c r="E126" s="12">
        <v>1</v>
      </c>
      <c r="F126" s="13">
        <v>0.28999999999999998</v>
      </c>
      <c r="G126" s="13">
        <v>0.71</v>
      </c>
      <c r="H126" s="30">
        <v>283.78109999999998</v>
      </c>
      <c r="I126" s="30">
        <v>123.81480000000001</v>
      </c>
      <c r="J126" s="510">
        <f t="shared" si="6"/>
        <v>170.20502699999997</v>
      </c>
    </row>
    <row r="127" spans="1:11" ht="25.5">
      <c r="A127" s="496" t="s">
        <v>105</v>
      </c>
      <c r="B127" s="11" t="s">
        <v>196</v>
      </c>
      <c r="C127" s="24" t="s">
        <v>27</v>
      </c>
      <c r="D127" s="24" t="s">
        <v>197</v>
      </c>
      <c r="E127" s="12">
        <v>1</v>
      </c>
      <c r="F127" s="13">
        <v>1</v>
      </c>
      <c r="G127" s="13">
        <v>0</v>
      </c>
      <c r="H127" s="30">
        <v>215.97239999999999</v>
      </c>
      <c r="I127" s="30">
        <v>96.660799999999995</v>
      </c>
      <c r="J127" s="510">
        <f t="shared" si="6"/>
        <v>215.97239999999999</v>
      </c>
    </row>
    <row r="128" spans="1:11">
      <c r="A128" s="496" t="s">
        <v>105</v>
      </c>
      <c r="B128" s="11" t="s">
        <v>198</v>
      </c>
      <c r="C128" s="24" t="s">
        <v>27</v>
      </c>
      <c r="D128" s="24" t="s">
        <v>199</v>
      </c>
      <c r="E128" s="12">
        <v>1</v>
      </c>
      <c r="F128" s="13">
        <v>0.52</v>
      </c>
      <c r="G128" s="13">
        <v>0.48</v>
      </c>
      <c r="H128" s="30">
        <v>150.51249999999999</v>
      </c>
      <c r="I128" s="30">
        <v>56.817900000000002</v>
      </c>
      <c r="J128" s="510">
        <f t="shared" si="6"/>
        <v>105.539092</v>
      </c>
    </row>
    <row r="129" spans="1:11">
      <c r="A129" s="1083"/>
      <c r="B129" s="1084"/>
      <c r="C129" s="1084"/>
      <c r="D129" s="1084"/>
      <c r="E129" s="1084"/>
      <c r="F129" s="1084" t="s">
        <v>145</v>
      </c>
      <c r="G129" s="1084"/>
      <c r="H129" s="1084"/>
      <c r="I129" s="1084"/>
      <c r="J129" s="511">
        <f>SUM(J124:J128)</f>
        <v>790.15904899999987</v>
      </c>
    </row>
    <row r="130" spans="1:11" ht="15">
      <c r="A130" s="490" t="s">
        <v>146</v>
      </c>
      <c r="B130" s="31" t="s">
        <v>7</v>
      </c>
      <c r="C130" s="26" t="s">
        <v>8</v>
      </c>
      <c r="D130" s="26" t="s">
        <v>147</v>
      </c>
      <c r="E130" s="29" t="s">
        <v>139</v>
      </c>
      <c r="F130" s="1085" t="s">
        <v>148</v>
      </c>
      <c r="G130" s="1085"/>
      <c r="H130" s="1085"/>
      <c r="I130" s="1085"/>
      <c r="J130" s="491" t="s">
        <v>142</v>
      </c>
    </row>
    <row r="131" spans="1:11">
      <c r="A131" s="496" t="s">
        <v>105</v>
      </c>
      <c r="B131" s="11">
        <v>88316</v>
      </c>
      <c r="C131" s="24" t="s">
        <v>24</v>
      </c>
      <c r="D131" s="24" t="s">
        <v>149</v>
      </c>
      <c r="E131" s="12">
        <v>1</v>
      </c>
      <c r="F131" s="24"/>
      <c r="G131" s="24"/>
      <c r="H131" s="24"/>
      <c r="I131" s="30">
        <v>21.05</v>
      </c>
      <c r="J131" s="510">
        <f>I131*E131</f>
        <v>21.05</v>
      </c>
    </row>
    <row r="132" spans="1:11">
      <c r="A132" s="1083"/>
      <c r="B132" s="1084"/>
      <c r="C132" s="1084"/>
      <c r="D132" s="1084"/>
      <c r="E132" s="1084"/>
      <c r="F132" s="1084" t="s">
        <v>150</v>
      </c>
      <c r="G132" s="1084"/>
      <c r="H132" s="1084"/>
      <c r="I132" s="1084"/>
      <c r="J132" s="511">
        <f>J131</f>
        <v>21.05</v>
      </c>
    </row>
    <row r="133" spans="1:11">
      <c r="A133" s="1083"/>
      <c r="B133" s="1084"/>
      <c r="C133" s="1084"/>
      <c r="D133" s="1084"/>
      <c r="E133" s="1084"/>
      <c r="F133" s="1084" t="s">
        <v>151</v>
      </c>
      <c r="G133" s="1084"/>
      <c r="H133" s="1084"/>
      <c r="I133" s="1084"/>
      <c r="J133" s="511">
        <v>0</v>
      </c>
    </row>
    <row r="134" spans="1:11">
      <c r="A134" s="1083"/>
      <c r="B134" s="1084"/>
      <c r="C134" s="1084"/>
      <c r="D134" s="1084"/>
      <c r="E134" s="1084"/>
      <c r="F134" s="1084" t="s">
        <v>152</v>
      </c>
      <c r="G134" s="1084"/>
      <c r="H134" s="1084"/>
      <c r="I134" s="1084"/>
      <c r="J134" s="511">
        <f>J131+J129</f>
        <v>811.20904899999982</v>
      </c>
    </row>
    <row r="135" spans="1:11">
      <c r="A135" s="1083"/>
      <c r="B135" s="1084"/>
      <c r="C135" s="1084"/>
      <c r="D135" s="1084"/>
      <c r="E135" s="1084"/>
      <c r="F135" s="1084" t="s">
        <v>153</v>
      </c>
      <c r="G135" s="1084"/>
      <c r="H135" s="1084"/>
      <c r="I135" s="1084"/>
      <c r="J135" s="511">
        <v>1.6299999999999999E-2</v>
      </c>
      <c r="K135" s="176">
        <f>J131/J134</f>
        <v>2.5948921583097386E-2</v>
      </c>
    </row>
    <row r="136" spans="1:11">
      <c r="A136" s="1083"/>
      <c r="B136" s="1084"/>
      <c r="C136" s="1084"/>
      <c r="D136" s="1084"/>
      <c r="E136" s="1084"/>
      <c r="F136" s="1084" t="s">
        <v>154</v>
      </c>
      <c r="G136" s="1084"/>
      <c r="H136" s="1084"/>
      <c r="I136" s="1084"/>
      <c r="J136" s="511">
        <v>7.8600000000000003E-2</v>
      </c>
      <c r="K136">
        <v>5.9293249085570698</v>
      </c>
    </row>
    <row r="137" spans="1:11" ht="14.25" customHeight="1">
      <c r="A137" s="1083"/>
      <c r="B137" s="1084"/>
      <c r="C137" s="1084"/>
      <c r="D137" s="1084"/>
      <c r="E137" s="1084"/>
      <c r="F137" s="1084" t="s">
        <v>155</v>
      </c>
      <c r="G137" s="1084"/>
      <c r="H137" s="1084"/>
      <c r="I137" s="1084"/>
      <c r="J137" s="511">
        <v>168.2</v>
      </c>
    </row>
    <row r="138" spans="1:11">
      <c r="A138" s="1083"/>
      <c r="B138" s="1084"/>
      <c r="C138" s="1084"/>
      <c r="D138" s="1084"/>
      <c r="E138" s="1084"/>
      <c r="F138" s="1084" t="s">
        <v>156</v>
      </c>
      <c r="G138" s="1084"/>
      <c r="H138" s="1084"/>
      <c r="I138" s="1084"/>
      <c r="J138" s="511">
        <f>J134/J137</f>
        <v>4.8228837633769315</v>
      </c>
    </row>
    <row r="139" spans="1:11">
      <c r="A139" s="498"/>
      <c r="B139" s="20"/>
      <c r="C139" s="499"/>
      <c r="D139" s="499"/>
      <c r="E139" s="499" t="s">
        <v>116</v>
      </c>
      <c r="F139" s="500">
        <v>0.12714447086801428</v>
      </c>
      <c r="G139" s="499" t="s">
        <v>117</v>
      </c>
      <c r="H139" s="500">
        <v>0</v>
      </c>
      <c r="I139" s="499" t="s">
        <v>118</v>
      </c>
      <c r="J139" s="501">
        <v>0.12714447086801428</v>
      </c>
    </row>
    <row r="140" spans="1:11">
      <c r="A140" s="498"/>
      <c r="B140" s="20"/>
      <c r="C140" s="499"/>
      <c r="D140" s="499"/>
      <c r="E140" s="499" t="s">
        <v>119</v>
      </c>
      <c r="F140" s="500">
        <f>J140-J121</f>
        <v>1.0278411451801421</v>
      </c>
      <c r="G140" s="499"/>
      <c r="H140" s="1082" t="s">
        <v>120</v>
      </c>
      <c r="I140" s="1082"/>
      <c r="J140" s="512">
        <f>J121*(1+G2)</f>
        <v>5.9293249085570734</v>
      </c>
    </row>
    <row r="141" spans="1:11" ht="15" thickBot="1">
      <c r="A141" s="503"/>
      <c r="B141" s="666"/>
      <c r="C141" s="14"/>
      <c r="D141" s="14"/>
      <c r="E141" s="14"/>
      <c r="F141" s="14"/>
      <c r="G141" s="14" t="s">
        <v>121</v>
      </c>
      <c r="H141" s="504">
        <f>'OBRA 01 - MEMÓRIA'!O28</f>
        <v>780.80000000000007</v>
      </c>
      <c r="I141" s="14" t="s">
        <v>122</v>
      </c>
      <c r="J141" s="505">
        <f>TRUNC(H141*J140,2)</f>
        <v>4629.6099999999997</v>
      </c>
    </row>
    <row r="142" spans="1:11" ht="15" thickTop="1">
      <c r="A142" s="506"/>
      <c r="B142" s="230"/>
      <c r="C142" s="15"/>
      <c r="D142" s="15"/>
      <c r="E142" s="15"/>
      <c r="F142" s="15"/>
      <c r="G142" s="15"/>
      <c r="H142" s="15"/>
      <c r="I142" s="15"/>
      <c r="J142" s="507"/>
    </row>
    <row r="143" spans="1:11" ht="15">
      <c r="A143" s="490" t="s">
        <v>396</v>
      </c>
      <c r="B143" s="31" t="s">
        <v>7</v>
      </c>
      <c r="C143" s="26" t="s">
        <v>8</v>
      </c>
      <c r="D143" s="26" t="s">
        <v>9</v>
      </c>
      <c r="E143" s="1092" t="s">
        <v>92</v>
      </c>
      <c r="F143" s="1092"/>
      <c r="G143" s="31" t="s">
        <v>10</v>
      </c>
      <c r="H143" s="29" t="s">
        <v>11</v>
      </c>
      <c r="I143" s="29" t="s">
        <v>12</v>
      </c>
      <c r="J143" s="491" t="s">
        <v>14</v>
      </c>
    </row>
    <row r="144" spans="1:11" ht="25.5">
      <c r="A144" s="492" t="s">
        <v>93</v>
      </c>
      <c r="B144" s="4" t="s">
        <v>34</v>
      </c>
      <c r="C144" s="27" t="s">
        <v>24</v>
      </c>
      <c r="D144" s="27" t="s">
        <v>654</v>
      </c>
      <c r="E144" s="1079" t="s">
        <v>184</v>
      </c>
      <c r="F144" s="1079"/>
      <c r="G144" s="4" t="s">
        <v>36</v>
      </c>
      <c r="H144" s="5">
        <v>1</v>
      </c>
      <c r="I144" s="6">
        <v>2.92</v>
      </c>
      <c r="J144" s="493">
        <f>SUM(J145:J146)</f>
        <v>2.9732859999999999</v>
      </c>
      <c r="K144" s="233">
        <v>3.5967840741999999</v>
      </c>
    </row>
    <row r="145" spans="1:11" ht="51">
      <c r="A145" s="494" t="s">
        <v>95</v>
      </c>
      <c r="B145" s="8" t="s">
        <v>185</v>
      </c>
      <c r="C145" s="23" t="s">
        <v>24</v>
      </c>
      <c r="D145" s="23" t="s">
        <v>186</v>
      </c>
      <c r="E145" s="1080" t="s">
        <v>125</v>
      </c>
      <c r="F145" s="1080"/>
      <c r="G145" s="8" t="s">
        <v>126</v>
      </c>
      <c r="H145" s="9">
        <v>1.3899999999999999E-2</v>
      </c>
      <c r="I145" s="10">
        <v>186.94</v>
      </c>
      <c r="J145" s="495">
        <f>I145*H145</f>
        <v>2.5984659999999997</v>
      </c>
    </row>
    <row r="146" spans="1:11" ht="51">
      <c r="A146" s="494" t="s">
        <v>95</v>
      </c>
      <c r="B146" s="8" t="s">
        <v>187</v>
      </c>
      <c r="C146" s="23" t="s">
        <v>24</v>
      </c>
      <c r="D146" s="23" t="s">
        <v>188</v>
      </c>
      <c r="E146" s="1080" t="s">
        <v>125</v>
      </c>
      <c r="F146" s="1080"/>
      <c r="G146" s="8" t="s">
        <v>129</v>
      </c>
      <c r="H146" s="9">
        <v>6.0000000000000001E-3</v>
      </c>
      <c r="I146" s="10">
        <v>62.47</v>
      </c>
      <c r="J146" s="495">
        <f>I146*H146</f>
        <v>0.37481999999999999</v>
      </c>
    </row>
    <row r="147" spans="1:11">
      <c r="A147" s="498"/>
      <c r="B147" s="20"/>
      <c r="C147" s="499"/>
      <c r="D147" s="499"/>
      <c r="E147" s="499" t="s">
        <v>116</v>
      </c>
      <c r="F147" s="500">
        <v>0.41</v>
      </c>
      <c r="G147" s="499" t="s">
        <v>117</v>
      </c>
      <c r="H147" s="500">
        <v>0</v>
      </c>
      <c r="I147" s="499" t="s">
        <v>118</v>
      </c>
      <c r="J147" s="501">
        <v>0.41</v>
      </c>
    </row>
    <row r="148" spans="1:11">
      <c r="A148" s="498"/>
      <c r="B148" s="20"/>
      <c r="C148" s="499"/>
      <c r="D148" s="499"/>
      <c r="E148" s="499" t="s">
        <v>119</v>
      </c>
      <c r="F148" s="500">
        <f>J148-J144</f>
        <v>0.62349807420000003</v>
      </c>
      <c r="G148" s="499"/>
      <c r="H148" s="1082" t="s">
        <v>120</v>
      </c>
      <c r="I148" s="1082"/>
      <c r="J148" s="502">
        <f>J144*(1+G2)</f>
        <v>3.5967840741999999</v>
      </c>
    </row>
    <row r="149" spans="1:11" ht="15" thickBot="1">
      <c r="A149" s="503"/>
      <c r="B149" s="666"/>
      <c r="C149" s="14"/>
      <c r="D149" s="14"/>
      <c r="E149" s="14"/>
      <c r="F149" s="14"/>
      <c r="G149" s="14" t="s">
        <v>121</v>
      </c>
      <c r="H149" s="504">
        <f>'OBRA 01 - MEMÓRIA'!O30</f>
        <v>29280.000000000004</v>
      </c>
      <c r="I149" s="14" t="s">
        <v>122</v>
      </c>
      <c r="J149" s="505">
        <f>TRUNC(H149*J148,2)</f>
        <v>105313.83</v>
      </c>
    </row>
    <row r="150" spans="1:11" ht="15" thickTop="1">
      <c r="A150" s="506"/>
      <c r="B150" s="230"/>
      <c r="C150" s="15"/>
      <c r="D150" s="15"/>
      <c r="E150" s="15"/>
      <c r="F150" s="15"/>
      <c r="G150" s="15"/>
      <c r="H150" s="15"/>
      <c r="I150" s="15"/>
      <c r="J150" s="507"/>
    </row>
    <row r="151" spans="1:11">
      <c r="A151" s="518" t="s">
        <v>44</v>
      </c>
      <c r="B151" s="229"/>
      <c r="C151" s="25"/>
      <c r="D151" s="25" t="s">
        <v>45</v>
      </c>
      <c r="E151" s="25"/>
      <c r="F151" s="1090"/>
      <c r="G151" s="1090"/>
      <c r="H151" s="1"/>
      <c r="I151" s="25"/>
      <c r="J151" s="519">
        <f>J152+J226</f>
        <v>735374.61</v>
      </c>
    </row>
    <row r="152" spans="1:11">
      <c r="A152" s="518" t="s">
        <v>46</v>
      </c>
      <c r="B152" s="229"/>
      <c r="C152" s="25"/>
      <c r="D152" s="25" t="s">
        <v>47</v>
      </c>
      <c r="E152" s="25"/>
      <c r="F152" s="1090"/>
      <c r="G152" s="1090"/>
      <c r="H152" s="1"/>
      <c r="I152" s="25"/>
      <c r="J152" s="519">
        <f>J164+J184+J190+J206+J216+J224</f>
        <v>443133.13</v>
      </c>
    </row>
    <row r="153" spans="1:11" ht="15">
      <c r="A153" s="490" t="s">
        <v>48</v>
      </c>
      <c r="B153" s="31" t="s">
        <v>7</v>
      </c>
      <c r="C153" s="26" t="s">
        <v>8</v>
      </c>
      <c r="D153" s="26" t="s">
        <v>9</v>
      </c>
      <c r="E153" s="1092" t="s">
        <v>92</v>
      </c>
      <c r="F153" s="1092"/>
      <c r="G153" s="31" t="s">
        <v>10</v>
      </c>
      <c r="H153" s="29" t="s">
        <v>11</v>
      </c>
      <c r="I153" s="29" t="s">
        <v>12</v>
      </c>
      <c r="J153" s="491" t="s">
        <v>14</v>
      </c>
    </row>
    <row r="154" spans="1:11" ht="25.5">
      <c r="A154" s="492" t="s">
        <v>93</v>
      </c>
      <c r="B154" s="4">
        <v>105598</v>
      </c>
      <c r="C154" s="27" t="s">
        <v>24</v>
      </c>
      <c r="D154" s="27" t="s">
        <v>50</v>
      </c>
      <c r="E154" s="1079" t="s">
        <v>204</v>
      </c>
      <c r="F154" s="1079"/>
      <c r="G154" s="4" t="s">
        <v>21</v>
      </c>
      <c r="H154" s="5">
        <v>1</v>
      </c>
      <c r="I154" s="6">
        <v>1.25</v>
      </c>
      <c r="J154" s="493">
        <f>SUM(J155:J161)</f>
        <v>1.98004779</v>
      </c>
    </row>
    <row r="155" spans="1:11" ht="51">
      <c r="A155" s="494" t="s">
        <v>95</v>
      </c>
      <c r="B155" s="8" t="s">
        <v>205</v>
      </c>
      <c r="C155" s="23" t="s">
        <v>24</v>
      </c>
      <c r="D155" s="23" t="s">
        <v>206</v>
      </c>
      <c r="E155" s="1080" t="s">
        <v>125</v>
      </c>
      <c r="F155" s="1080"/>
      <c r="G155" s="8" t="s">
        <v>126</v>
      </c>
      <c r="H155" s="174">
        <v>1.0702000000000001E-3</v>
      </c>
      <c r="I155" s="10">
        <v>317.66000000000003</v>
      </c>
      <c r="J155" s="495">
        <f>I155*H155</f>
        <v>0.33995973200000007</v>
      </c>
    </row>
    <row r="156" spans="1:11" ht="51">
      <c r="A156" s="494" t="s">
        <v>95</v>
      </c>
      <c r="B156" s="8" t="s">
        <v>207</v>
      </c>
      <c r="C156" s="23" t="s">
        <v>24</v>
      </c>
      <c r="D156" s="23" t="s">
        <v>208</v>
      </c>
      <c r="E156" s="1080" t="s">
        <v>125</v>
      </c>
      <c r="F156" s="1080"/>
      <c r="G156" s="8" t="s">
        <v>129</v>
      </c>
      <c r="H156" s="174">
        <v>4.2364000000000004E-3</v>
      </c>
      <c r="I156" s="10">
        <v>71.599999999999994</v>
      </c>
      <c r="J156" s="495">
        <f t="shared" ref="J156:J161" si="7">I156*H156</f>
        <v>0.30332624000000002</v>
      </c>
    </row>
    <row r="157" spans="1:11" ht="38.25">
      <c r="A157" s="494" t="s">
        <v>95</v>
      </c>
      <c r="B157" s="8" t="s">
        <v>209</v>
      </c>
      <c r="C157" s="23" t="s">
        <v>24</v>
      </c>
      <c r="D157" s="23" t="s">
        <v>210</v>
      </c>
      <c r="E157" s="1080" t="s">
        <v>125</v>
      </c>
      <c r="F157" s="1080"/>
      <c r="G157" s="8" t="s">
        <v>126</v>
      </c>
      <c r="H157" s="174">
        <v>3.0249999999999998E-4</v>
      </c>
      <c r="I157" s="10">
        <v>262.45999999999998</v>
      </c>
      <c r="J157" s="495">
        <f t="shared" si="7"/>
        <v>7.9394149999999983E-2</v>
      </c>
    </row>
    <row r="158" spans="1:11" ht="38.25">
      <c r="A158" s="494" t="s">
        <v>95</v>
      </c>
      <c r="B158" s="8" t="s">
        <v>211</v>
      </c>
      <c r="C158" s="23" t="s">
        <v>24</v>
      </c>
      <c r="D158" s="23" t="s">
        <v>212</v>
      </c>
      <c r="E158" s="1080" t="s">
        <v>125</v>
      </c>
      <c r="F158" s="1080"/>
      <c r="G158" s="8" t="s">
        <v>129</v>
      </c>
      <c r="H158" s="174">
        <v>5.0041E-3</v>
      </c>
      <c r="I158" s="10">
        <v>103.25</v>
      </c>
      <c r="J158" s="495">
        <f t="shared" si="7"/>
        <v>0.51667332499999996</v>
      </c>
    </row>
    <row r="159" spans="1:11" ht="25.5">
      <c r="A159" s="494" t="s">
        <v>95</v>
      </c>
      <c r="B159" s="8" t="s">
        <v>103</v>
      </c>
      <c r="C159" s="23" t="s">
        <v>24</v>
      </c>
      <c r="D159" s="23" t="s">
        <v>104</v>
      </c>
      <c r="E159" s="1080" t="s">
        <v>101</v>
      </c>
      <c r="F159" s="1080"/>
      <c r="G159" s="8" t="s">
        <v>102</v>
      </c>
      <c r="H159" s="174">
        <v>5.3065999999999999E-3</v>
      </c>
      <c r="I159" s="10">
        <v>21.05</v>
      </c>
      <c r="J159" s="495">
        <f t="shared" si="7"/>
        <v>0.11170393000000001</v>
      </c>
      <c r="K159">
        <v>2.3952638115629998</v>
      </c>
    </row>
    <row r="160" spans="1:11" ht="38.25">
      <c r="A160" s="494" t="s">
        <v>95</v>
      </c>
      <c r="B160" s="8" t="s">
        <v>213</v>
      </c>
      <c r="C160" s="23" t="s">
        <v>24</v>
      </c>
      <c r="D160" s="23" t="s">
        <v>214</v>
      </c>
      <c r="E160" s="1080" t="s">
        <v>125</v>
      </c>
      <c r="F160" s="1080"/>
      <c r="G160" s="8" t="s">
        <v>126</v>
      </c>
      <c r="H160" s="174">
        <v>7.5109999999999999E-4</v>
      </c>
      <c r="I160" s="10">
        <v>230.43</v>
      </c>
      <c r="J160" s="495">
        <f t="shared" si="7"/>
        <v>0.17307597299999999</v>
      </c>
    </row>
    <row r="161" spans="1:11" ht="38.25">
      <c r="A161" s="494" t="s">
        <v>95</v>
      </c>
      <c r="B161" s="8" t="s">
        <v>215</v>
      </c>
      <c r="C161" s="23" t="s">
        <v>24</v>
      </c>
      <c r="D161" s="23" t="s">
        <v>216</v>
      </c>
      <c r="E161" s="1080" t="s">
        <v>125</v>
      </c>
      <c r="F161" s="1080"/>
      <c r="G161" s="8" t="s">
        <v>129</v>
      </c>
      <c r="H161" s="174">
        <v>4.5554999999999997E-3</v>
      </c>
      <c r="I161" s="10">
        <v>100.08</v>
      </c>
      <c r="J161" s="495">
        <f t="shared" si="7"/>
        <v>0.45591443999999998</v>
      </c>
    </row>
    <row r="162" spans="1:11">
      <c r="A162" s="498"/>
      <c r="B162" s="20"/>
      <c r="C162" s="499"/>
      <c r="D162" s="499"/>
      <c r="E162" s="499" t="s">
        <v>116</v>
      </c>
      <c r="F162" s="500">
        <v>0.27</v>
      </c>
      <c r="G162" s="499" t="s">
        <v>117</v>
      </c>
      <c r="H162" s="500">
        <v>0</v>
      </c>
      <c r="I162" s="499" t="s">
        <v>118</v>
      </c>
      <c r="J162" s="501">
        <v>0.27</v>
      </c>
    </row>
    <row r="163" spans="1:11">
      <c r="A163" s="498"/>
      <c r="B163" s="20"/>
      <c r="C163" s="499"/>
      <c r="D163" s="499"/>
      <c r="E163" s="499" t="s">
        <v>119</v>
      </c>
      <c r="F163" s="500">
        <f>J163-J154</f>
        <v>0.41521602156299986</v>
      </c>
      <c r="G163" s="499"/>
      <c r="H163" s="1082" t="s">
        <v>120</v>
      </c>
      <c r="I163" s="1082"/>
      <c r="J163" s="517">
        <f>J154*(1+G2)</f>
        <v>2.3952638115629998</v>
      </c>
      <c r="K163">
        <v>101978</v>
      </c>
    </row>
    <row r="164" spans="1:11" ht="15" thickBot="1">
      <c r="A164" s="503"/>
      <c r="B164" s="666"/>
      <c r="C164" s="14"/>
      <c r="D164" s="14"/>
      <c r="E164" s="14"/>
      <c r="F164" s="14"/>
      <c r="G164" s="14" t="s">
        <v>121</v>
      </c>
      <c r="H164" s="504">
        <f>'OBRA 01 - MEMÓRIA'!O34</f>
        <v>1952</v>
      </c>
      <c r="I164" s="14" t="s">
        <v>122</v>
      </c>
      <c r="J164" s="505">
        <f>TRUNC(H164*J163,2)</f>
        <v>4675.55</v>
      </c>
    </row>
    <row r="165" spans="1:11" ht="15" thickTop="1">
      <c r="A165" s="506"/>
      <c r="B165" s="230"/>
      <c r="C165" s="15"/>
      <c r="D165" s="15"/>
      <c r="E165" s="15"/>
      <c r="F165" s="15"/>
      <c r="G165" s="15"/>
      <c r="H165" s="15"/>
      <c r="I165" s="15"/>
      <c r="J165" s="507"/>
    </row>
    <row r="166" spans="1:11" ht="15">
      <c r="A166" s="490" t="s">
        <v>51</v>
      </c>
      <c r="B166" s="31" t="s">
        <v>7</v>
      </c>
      <c r="C166" s="26" t="s">
        <v>8</v>
      </c>
      <c r="D166" s="26" t="s">
        <v>9</v>
      </c>
      <c r="E166" s="1092" t="s">
        <v>92</v>
      </c>
      <c r="F166" s="1092"/>
      <c r="G166" s="31" t="s">
        <v>10</v>
      </c>
      <c r="H166" s="29" t="s">
        <v>11</v>
      </c>
      <c r="I166" s="29" t="s">
        <v>12</v>
      </c>
      <c r="J166" s="491" t="s">
        <v>14</v>
      </c>
    </row>
    <row r="167" spans="1:11" ht="51">
      <c r="A167" s="492" t="s">
        <v>93</v>
      </c>
      <c r="B167" s="4" t="s">
        <v>52</v>
      </c>
      <c r="C167" s="27" t="s">
        <v>24</v>
      </c>
      <c r="D167" s="27" t="s">
        <v>53</v>
      </c>
      <c r="E167" s="1079" t="s">
        <v>204</v>
      </c>
      <c r="F167" s="1079"/>
      <c r="G167" s="4" t="s">
        <v>28</v>
      </c>
      <c r="H167" s="5">
        <v>1</v>
      </c>
      <c r="I167" s="225">
        <v>93.63</v>
      </c>
      <c r="J167" s="493">
        <f>SUM(J168:J181)</f>
        <v>93.440669999999997</v>
      </c>
    </row>
    <row r="168" spans="1:11" ht="51">
      <c r="A168" s="494" t="s">
        <v>95</v>
      </c>
      <c r="B168" s="8" t="s">
        <v>217</v>
      </c>
      <c r="C168" s="23" t="s">
        <v>24</v>
      </c>
      <c r="D168" s="23" t="s">
        <v>218</v>
      </c>
      <c r="E168" s="1080" t="s">
        <v>125</v>
      </c>
      <c r="F168" s="1080"/>
      <c r="G168" s="8" t="s">
        <v>126</v>
      </c>
      <c r="H168" s="9">
        <v>1.2E-2</v>
      </c>
      <c r="I168" s="10">
        <v>170.5</v>
      </c>
      <c r="J168" s="495">
        <f>I168*H168</f>
        <v>2.0460000000000003</v>
      </c>
    </row>
    <row r="169" spans="1:11" ht="51">
      <c r="A169" s="494" t="s">
        <v>95</v>
      </c>
      <c r="B169" s="8" t="s">
        <v>219</v>
      </c>
      <c r="C169" s="23" t="s">
        <v>24</v>
      </c>
      <c r="D169" s="23" t="s">
        <v>220</v>
      </c>
      <c r="E169" s="1080" t="s">
        <v>125</v>
      </c>
      <c r="F169" s="1080"/>
      <c r="G169" s="8" t="s">
        <v>129</v>
      </c>
      <c r="H169" s="9">
        <v>2.8000000000000001E-2</v>
      </c>
      <c r="I169" s="10">
        <v>73.290000000000006</v>
      </c>
      <c r="J169" s="495">
        <f t="shared" ref="J169:J181" si="8">I169*H169</f>
        <v>2.0521200000000004</v>
      </c>
    </row>
    <row r="170" spans="1:11" ht="51">
      <c r="A170" s="494" t="s">
        <v>95</v>
      </c>
      <c r="B170" s="8" t="s">
        <v>205</v>
      </c>
      <c r="C170" s="23" t="s">
        <v>24</v>
      </c>
      <c r="D170" s="23" t="s">
        <v>206</v>
      </c>
      <c r="E170" s="1080" t="s">
        <v>125</v>
      </c>
      <c r="F170" s="1080"/>
      <c r="G170" s="8" t="s">
        <v>126</v>
      </c>
      <c r="H170" s="9">
        <v>4.0000000000000001E-3</v>
      </c>
      <c r="I170" s="10">
        <v>317.66000000000003</v>
      </c>
      <c r="J170" s="495">
        <f t="shared" si="8"/>
        <v>1.2706400000000002</v>
      </c>
    </row>
    <row r="171" spans="1:11" ht="51">
      <c r="A171" s="494" t="s">
        <v>95</v>
      </c>
      <c r="B171" s="8" t="s">
        <v>207</v>
      </c>
      <c r="C171" s="23" t="s">
        <v>24</v>
      </c>
      <c r="D171" s="23" t="s">
        <v>208</v>
      </c>
      <c r="E171" s="1080" t="s">
        <v>125</v>
      </c>
      <c r="F171" s="1080"/>
      <c r="G171" s="8" t="s">
        <v>129</v>
      </c>
      <c r="H171" s="9">
        <v>3.5999999999999997E-2</v>
      </c>
      <c r="I171" s="10">
        <v>71.599999999999994</v>
      </c>
      <c r="J171" s="495">
        <f t="shared" si="8"/>
        <v>2.5775999999999994</v>
      </c>
    </row>
    <row r="172" spans="1:11" ht="25.5">
      <c r="A172" s="494" t="s">
        <v>95</v>
      </c>
      <c r="B172" s="8" t="s">
        <v>221</v>
      </c>
      <c r="C172" s="23" t="s">
        <v>24</v>
      </c>
      <c r="D172" s="23" t="s">
        <v>222</v>
      </c>
      <c r="E172" s="1080" t="s">
        <v>125</v>
      </c>
      <c r="F172" s="1080"/>
      <c r="G172" s="8" t="s">
        <v>126</v>
      </c>
      <c r="H172" s="9">
        <v>8.0000000000000002E-3</v>
      </c>
      <c r="I172" s="10">
        <v>4.9400000000000004</v>
      </c>
      <c r="J172" s="495">
        <f t="shared" si="8"/>
        <v>3.9520000000000007E-2</v>
      </c>
    </row>
    <row r="173" spans="1:11" ht="25.5">
      <c r="A173" s="494" t="s">
        <v>95</v>
      </c>
      <c r="B173" s="8" t="s">
        <v>223</v>
      </c>
      <c r="C173" s="23" t="s">
        <v>24</v>
      </c>
      <c r="D173" s="23" t="s">
        <v>224</v>
      </c>
      <c r="E173" s="1080" t="s">
        <v>125</v>
      </c>
      <c r="F173" s="1080"/>
      <c r="G173" s="8" t="s">
        <v>129</v>
      </c>
      <c r="H173" s="9">
        <v>3.2000000000000001E-2</v>
      </c>
      <c r="I173" s="10">
        <v>3.2</v>
      </c>
      <c r="J173" s="495">
        <f t="shared" si="8"/>
        <v>0.1024</v>
      </c>
    </row>
    <row r="174" spans="1:11" ht="38.25">
      <c r="A174" s="494" t="s">
        <v>95</v>
      </c>
      <c r="B174" s="8" t="s">
        <v>209</v>
      </c>
      <c r="C174" s="23" t="s">
        <v>24</v>
      </c>
      <c r="D174" s="23" t="s">
        <v>210</v>
      </c>
      <c r="E174" s="1080" t="s">
        <v>125</v>
      </c>
      <c r="F174" s="1080"/>
      <c r="G174" s="8" t="s">
        <v>126</v>
      </c>
      <c r="H174" s="9">
        <v>8.0000000000000002E-3</v>
      </c>
      <c r="I174" s="10">
        <v>262.45999999999998</v>
      </c>
      <c r="J174" s="495">
        <f t="shared" si="8"/>
        <v>2.0996799999999998</v>
      </c>
    </row>
    <row r="175" spans="1:11" ht="38.25">
      <c r="A175" s="494" t="s">
        <v>95</v>
      </c>
      <c r="B175" s="8" t="s">
        <v>211</v>
      </c>
      <c r="C175" s="23" t="s">
        <v>24</v>
      </c>
      <c r="D175" s="23" t="s">
        <v>212</v>
      </c>
      <c r="E175" s="1080" t="s">
        <v>125</v>
      </c>
      <c r="F175" s="1080"/>
      <c r="G175" s="8" t="s">
        <v>129</v>
      </c>
      <c r="H175" s="9">
        <v>3.2000000000000001E-2</v>
      </c>
      <c r="I175" s="10">
        <v>103.25</v>
      </c>
      <c r="J175" s="495">
        <f t="shared" si="8"/>
        <v>3.3040000000000003</v>
      </c>
    </row>
    <row r="176" spans="1:11" ht="25.5">
      <c r="A176" s="494" t="s">
        <v>95</v>
      </c>
      <c r="B176" s="8" t="s">
        <v>103</v>
      </c>
      <c r="C176" s="23" t="s">
        <v>24</v>
      </c>
      <c r="D176" s="23" t="s">
        <v>104</v>
      </c>
      <c r="E176" s="1080" t="s">
        <v>101</v>
      </c>
      <c r="F176" s="1080"/>
      <c r="G176" s="8" t="s">
        <v>102</v>
      </c>
      <c r="H176" s="9">
        <v>0.16</v>
      </c>
      <c r="I176" s="10">
        <v>21.05</v>
      </c>
      <c r="J176" s="495">
        <f t="shared" si="8"/>
        <v>3.3680000000000003</v>
      </c>
    </row>
    <row r="177" spans="1:11" ht="25.5">
      <c r="A177" s="494" t="s">
        <v>95</v>
      </c>
      <c r="B177" s="8" t="s">
        <v>225</v>
      </c>
      <c r="C177" s="23" t="s">
        <v>24</v>
      </c>
      <c r="D177" s="23" t="s">
        <v>226</v>
      </c>
      <c r="E177" s="1080" t="s">
        <v>125</v>
      </c>
      <c r="F177" s="1080"/>
      <c r="G177" s="8" t="s">
        <v>126</v>
      </c>
      <c r="H177" s="9">
        <v>8.0000000000000002E-3</v>
      </c>
      <c r="I177" s="10">
        <v>134.34</v>
      </c>
      <c r="J177" s="495">
        <f t="shared" si="8"/>
        <v>1.0747200000000001</v>
      </c>
    </row>
    <row r="178" spans="1:11" ht="25.5">
      <c r="A178" s="494" t="s">
        <v>95</v>
      </c>
      <c r="B178" s="8" t="s">
        <v>227</v>
      </c>
      <c r="C178" s="23" t="s">
        <v>24</v>
      </c>
      <c r="D178" s="23" t="s">
        <v>228</v>
      </c>
      <c r="E178" s="1080" t="s">
        <v>125</v>
      </c>
      <c r="F178" s="1080"/>
      <c r="G178" s="8" t="s">
        <v>129</v>
      </c>
      <c r="H178" s="9">
        <v>3.2000000000000001E-2</v>
      </c>
      <c r="I178" s="10">
        <v>50.98</v>
      </c>
      <c r="J178" s="495">
        <f t="shared" si="8"/>
        <v>1.6313599999999999</v>
      </c>
    </row>
    <row r="179" spans="1:11" ht="38.25">
      <c r="A179" s="494" t="s">
        <v>95</v>
      </c>
      <c r="B179" s="8" t="s">
        <v>213</v>
      </c>
      <c r="C179" s="23" t="s">
        <v>24</v>
      </c>
      <c r="D179" s="23" t="s">
        <v>214</v>
      </c>
      <c r="E179" s="1080" t="s">
        <v>125</v>
      </c>
      <c r="F179" s="1080"/>
      <c r="G179" s="8" t="s">
        <v>126</v>
      </c>
      <c r="H179" s="9">
        <v>5.0000000000000001E-3</v>
      </c>
      <c r="I179" s="10">
        <v>230.43</v>
      </c>
      <c r="J179" s="495">
        <f t="shared" si="8"/>
        <v>1.15215</v>
      </c>
      <c r="K179">
        <v>113.035178499</v>
      </c>
    </row>
    <row r="180" spans="1:11" ht="38.25">
      <c r="A180" s="494" t="s">
        <v>95</v>
      </c>
      <c r="B180" s="8" t="s">
        <v>215</v>
      </c>
      <c r="C180" s="23" t="s">
        <v>24</v>
      </c>
      <c r="D180" s="23" t="s">
        <v>216</v>
      </c>
      <c r="E180" s="1080" t="s">
        <v>125</v>
      </c>
      <c r="F180" s="1080"/>
      <c r="G180" s="8" t="s">
        <v>129</v>
      </c>
      <c r="H180" s="9">
        <v>3.5000000000000003E-2</v>
      </c>
      <c r="I180" s="10">
        <v>100.08</v>
      </c>
      <c r="J180" s="495">
        <f t="shared" si="8"/>
        <v>3.5028000000000001</v>
      </c>
    </row>
    <row r="181" spans="1:11" ht="25.5">
      <c r="A181" s="520" t="s">
        <v>105</v>
      </c>
      <c r="B181" s="227" t="s">
        <v>229</v>
      </c>
      <c r="C181" s="226" t="s">
        <v>24</v>
      </c>
      <c r="D181" s="226" t="s">
        <v>230</v>
      </c>
      <c r="E181" s="1098" t="s">
        <v>108</v>
      </c>
      <c r="F181" s="1098"/>
      <c r="G181" s="227" t="s">
        <v>28</v>
      </c>
      <c r="H181" s="228">
        <v>0.68799999999999994</v>
      </c>
      <c r="I181" s="175">
        <v>100.61</v>
      </c>
      <c r="J181" s="497">
        <f t="shared" si="8"/>
        <v>69.219679999999997</v>
      </c>
    </row>
    <row r="182" spans="1:11">
      <c r="A182" s="498"/>
      <c r="B182" s="20"/>
      <c r="C182" s="499"/>
      <c r="D182" s="499"/>
      <c r="E182" s="499" t="s">
        <v>116</v>
      </c>
      <c r="F182" s="500">
        <v>8.09</v>
      </c>
      <c r="G182" s="499" t="s">
        <v>117</v>
      </c>
      <c r="H182" s="500">
        <v>0</v>
      </c>
      <c r="I182" s="499" t="s">
        <v>118</v>
      </c>
      <c r="J182" s="501">
        <v>8.09</v>
      </c>
    </row>
    <row r="183" spans="1:11">
      <c r="A183" s="498"/>
      <c r="B183" s="20"/>
      <c r="C183" s="499"/>
      <c r="D183" s="499"/>
      <c r="E183" s="499" t="s">
        <v>119</v>
      </c>
      <c r="F183" s="500">
        <f>J183-J167</f>
        <v>19.594508499</v>
      </c>
      <c r="G183" s="499"/>
      <c r="H183" s="1082" t="s">
        <v>120</v>
      </c>
      <c r="I183" s="1082"/>
      <c r="J183" s="521">
        <f>J167*(1+G2)</f>
        <v>113.035178499</v>
      </c>
    </row>
    <row r="184" spans="1:11" ht="15" thickBot="1">
      <c r="A184" s="503"/>
      <c r="B184" s="666"/>
      <c r="C184" s="14"/>
      <c r="D184" s="14"/>
      <c r="E184" s="14"/>
      <c r="F184" s="14"/>
      <c r="G184" s="14" t="s">
        <v>121</v>
      </c>
      <c r="H184" s="504">
        <f>'OBRA 01 - MEMÓRIA'!O36</f>
        <v>390.40000000000003</v>
      </c>
      <c r="I184" s="14" t="s">
        <v>122</v>
      </c>
      <c r="J184" s="505">
        <f>TRUNC(H184*J183,2)</f>
        <v>44128.93</v>
      </c>
    </row>
    <row r="185" spans="1:11" ht="15" thickTop="1">
      <c r="A185" s="506"/>
      <c r="B185" s="230"/>
      <c r="C185" s="15"/>
      <c r="D185" s="15"/>
      <c r="E185" s="15"/>
      <c r="F185" s="15"/>
      <c r="G185" s="15"/>
      <c r="H185" s="15"/>
      <c r="I185" s="15"/>
      <c r="J185" s="507"/>
      <c r="K185">
        <v>69.460983999999996</v>
      </c>
    </row>
    <row r="186" spans="1:11" ht="15">
      <c r="A186" s="490" t="s">
        <v>368</v>
      </c>
      <c r="B186" s="31" t="s">
        <v>7</v>
      </c>
      <c r="C186" s="26" t="s">
        <v>8</v>
      </c>
      <c r="D186" s="26" t="s">
        <v>9</v>
      </c>
      <c r="E186" s="1092" t="s">
        <v>92</v>
      </c>
      <c r="F186" s="1092"/>
      <c r="G186" s="31" t="s">
        <v>10</v>
      </c>
      <c r="H186" s="29" t="s">
        <v>11</v>
      </c>
      <c r="I186" s="29" t="s">
        <v>12</v>
      </c>
      <c r="J186" s="491" t="s">
        <v>14</v>
      </c>
    </row>
    <row r="187" spans="1:11">
      <c r="A187" s="522" t="s">
        <v>105</v>
      </c>
      <c r="B187" s="17" t="s">
        <v>307</v>
      </c>
      <c r="C187" s="28" t="s">
        <v>24</v>
      </c>
      <c r="D187" s="28" t="s">
        <v>308</v>
      </c>
      <c r="E187" s="1099" t="s">
        <v>108</v>
      </c>
      <c r="F187" s="1099"/>
      <c r="G187" s="17" t="s">
        <v>28</v>
      </c>
      <c r="H187" s="18">
        <v>1</v>
      </c>
      <c r="I187" s="19">
        <v>60.92</v>
      </c>
      <c r="J187" s="523">
        <v>60.92</v>
      </c>
    </row>
    <row r="188" spans="1:11">
      <c r="A188" s="498"/>
      <c r="B188" s="20"/>
      <c r="C188" s="499"/>
      <c r="D188" s="499"/>
      <c r="E188" s="499" t="s">
        <v>116</v>
      </c>
      <c r="F188" s="500">
        <v>0</v>
      </c>
      <c r="G188" s="499" t="s">
        <v>117</v>
      </c>
      <c r="H188" s="500">
        <v>0</v>
      </c>
      <c r="I188" s="499" t="s">
        <v>118</v>
      </c>
      <c r="J188" s="501">
        <v>0</v>
      </c>
    </row>
    <row r="189" spans="1:11">
      <c r="A189" s="498"/>
      <c r="B189" s="20"/>
      <c r="C189" s="499"/>
      <c r="D189" s="499"/>
      <c r="E189" s="499" t="s">
        <v>119</v>
      </c>
      <c r="F189" s="500">
        <v>15.23</v>
      </c>
      <c r="G189" s="499"/>
      <c r="H189" s="1082" t="s">
        <v>120</v>
      </c>
      <c r="I189" s="1082"/>
      <c r="J189" s="524">
        <f>J187*(1+H2)</f>
        <v>69.46098400000001</v>
      </c>
    </row>
    <row r="190" spans="1:11" ht="15" thickBot="1">
      <c r="A190" s="503"/>
      <c r="B190" s="666"/>
      <c r="C190" s="14"/>
      <c r="D190" s="14"/>
      <c r="E190" s="14"/>
      <c r="F190" s="14"/>
      <c r="G190" s="14" t="s">
        <v>121</v>
      </c>
      <c r="H190" s="504">
        <f>'OBRA 01 - MEMÓRIA'!O38</f>
        <v>244.00000000000003</v>
      </c>
      <c r="I190" s="14" t="s">
        <v>122</v>
      </c>
      <c r="J190" s="505">
        <f>TRUNC(H190*J189,2)</f>
        <v>16948.48</v>
      </c>
    </row>
    <row r="191" spans="1:11" ht="15" thickTop="1">
      <c r="A191" s="506"/>
      <c r="B191" s="230"/>
      <c r="C191" s="15"/>
      <c r="D191" s="15"/>
      <c r="E191" s="15"/>
      <c r="F191" s="15"/>
      <c r="G191" s="15"/>
      <c r="H191" s="15"/>
      <c r="I191" s="15"/>
      <c r="J191" s="507"/>
    </row>
    <row r="192" spans="1:11" ht="15">
      <c r="A192" s="490" t="s">
        <v>309</v>
      </c>
      <c r="B192" s="31" t="s">
        <v>7</v>
      </c>
      <c r="C192" s="26" t="s">
        <v>8</v>
      </c>
      <c r="D192" s="26" t="s">
        <v>9</v>
      </c>
      <c r="E192" s="1092" t="s">
        <v>92</v>
      </c>
      <c r="F192" s="1092"/>
      <c r="G192" s="31" t="s">
        <v>10</v>
      </c>
      <c r="H192" s="29" t="s">
        <v>11</v>
      </c>
      <c r="I192" s="29" t="s">
        <v>12</v>
      </c>
      <c r="J192" s="491" t="s">
        <v>14</v>
      </c>
    </row>
    <row r="193" spans="1:11" ht="38.25">
      <c r="A193" s="492" t="s">
        <v>93</v>
      </c>
      <c r="B193" s="4" t="s">
        <v>54</v>
      </c>
      <c r="C193" s="27" t="s">
        <v>24</v>
      </c>
      <c r="D193" s="27" t="s">
        <v>55</v>
      </c>
      <c r="E193" s="1079" t="s">
        <v>204</v>
      </c>
      <c r="F193" s="1079"/>
      <c r="G193" s="4" t="s">
        <v>28</v>
      </c>
      <c r="H193" s="5">
        <v>1</v>
      </c>
      <c r="I193" s="6">
        <v>174.24</v>
      </c>
      <c r="J193" s="493">
        <f>SUM(J194:J203)</f>
        <v>174.16018999999997</v>
      </c>
    </row>
    <row r="194" spans="1:11" ht="51">
      <c r="A194" s="494" t="s">
        <v>95</v>
      </c>
      <c r="B194" s="8" t="s">
        <v>217</v>
      </c>
      <c r="C194" s="23" t="s">
        <v>24</v>
      </c>
      <c r="D194" s="23" t="s">
        <v>218</v>
      </c>
      <c r="E194" s="1080" t="s">
        <v>125</v>
      </c>
      <c r="F194" s="1080"/>
      <c r="G194" s="8" t="s">
        <v>126</v>
      </c>
      <c r="H194" s="9">
        <v>8.9999999999999993E-3</v>
      </c>
      <c r="I194" s="10">
        <v>170.5</v>
      </c>
      <c r="J194" s="495">
        <f>I194*H194</f>
        <v>1.5345</v>
      </c>
    </row>
    <row r="195" spans="1:11" ht="51">
      <c r="A195" s="494" t="s">
        <v>95</v>
      </c>
      <c r="B195" s="8" t="s">
        <v>219</v>
      </c>
      <c r="C195" s="23" t="s">
        <v>24</v>
      </c>
      <c r="D195" s="23" t="s">
        <v>220</v>
      </c>
      <c r="E195" s="1080" t="s">
        <v>125</v>
      </c>
      <c r="F195" s="1080"/>
      <c r="G195" s="8" t="s">
        <v>129</v>
      </c>
      <c r="H195" s="9">
        <v>2.1000000000000001E-2</v>
      </c>
      <c r="I195" s="10">
        <v>73.290000000000006</v>
      </c>
      <c r="J195" s="495">
        <f t="shared" ref="J195:J203" si="9">I195*H195</f>
        <v>1.5390900000000003</v>
      </c>
    </row>
    <row r="196" spans="1:11" ht="51">
      <c r="A196" s="494" t="s">
        <v>95</v>
      </c>
      <c r="B196" s="8" t="s">
        <v>205</v>
      </c>
      <c r="C196" s="23" t="s">
        <v>24</v>
      </c>
      <c r="D196" s="23" t="s">
        <v>206</v>
      </c>
      <c r="E196" s="1080" t="s">
        <v>125</v>
      </c>
      <c r="F196" s="1080"/>
      <c r="G196" s="8" t="s">
        <v>126</v>
      </c>
      <c r="H196" s="9">
        <v>2E-3</v>
      </c>
      <c r="I196" s="10">
        <v>317.66000000000003</v>
      </c>
      <c r="J196" s="495">
        <f t="shared" si="9"/>
        <v>0.63532000000000011</v>
      </c>
    </row>
    <row r="197" spans="1:11" ht="51">
      <c r="A197" s="494" t="s">
        <v>95</v>
      </c>
      <c r="B197" s="8" t="s">
        <v>207</v>
      </c>
      <c r="C197" s="23" t="s">
        <v>24</v>
      </c>
      <c r="D197" s="23" t="s">
        <v>208</v>
      </c>
      <c r="E197" s="1080" t="s">
        <v>125</v>
      </c>
      <c r="F197" s="1080"/>
      <c r="G197" s="8" t="s">
        <v>129</v>
      </c>
      <c r="H197" s="9">
        <v>2.8000000000000001E-2</v>
      </c>
      <c r="I197" s="10">
        <v>71.599999999999994</v>
      </c>
      <c r="J197" s="495">
        <f t="shared" si="9"/>
        <v>2.0047999999999999</v>
      </c>
    </row>
    <row r="198" spans="1:11" ht="38.25">
      <c r="A198" s="494" t="s">
        <v>95</v>
      </c>
      <c r="B198" s="8" t="s">
        <v>209</v>
      </c>
      <c r="C198" s="23" t="s">
        <v>24</v>
      </c>
      <c r="D198" s="23" t="s">
        <v>210</v>
      </c>
      <c r="E198" s="1080" t="s">
        <v>125</v>
      </c>
      <c r="F198" s="1080"/>
      <c r="G198" s="8" t="s">
        <v>126</v>
      </c>
      <c r="H198" s="9">
        <v>8.0000000000000002E-3</v>
      </c>
      <c r="I198" s="10">
        <v>262.45999999999998</v>
      </c>
      <c r="J198" s="495">
        <f t="shared" si="9"/>
        <v>2.0996799999999998</v>
      </c>
    </row>
    <row r="199" spans="1:11" ht="38.25">
      <c r="A199" s="494" t="s">
        <v>95</v>
      </c>
      <c r="B199" s="8" t="s">
        <v>211</v>
      </c>
      <c r="C199" s="23" t="s">
        <v>24</v>
      </c>
      <c r="D199" s="23" t="s">
        <v>212</v>
      </c>
      <c r="E199" s="1080" t="s">
        <v>125</v>
      </c>
      <c r="F199" s="1080"/>
      <c r="G199" s="8" t="s">
        <v>129</v>
      </c>
      <c r="H199" s="9">
        <v>2.1999999999999999E-2</v>
      </c>
      <c r="I199" s="10">
        <v>103.25</v>
      </c>
      <c r="J199" s="495">
        <f t="shared" si="9"/>
        <v>2.2715000000000001</v>
      </c>
    </row>
    <row r="200" spans="1:11" ht="25.5">
      <c r="A200" s="494" t="s">
        <v>95</v>
      </c>
      <c r="B200" s="8" t="s">
        <v>103</v>
      </c>
      <c r="C200" s="23" t="s">
        <v>24</v>
      </c>
      <c r="D200" s="23" t="s">
        <v>104</v>
      </c>
      <c r="E200" s="1080" t="s">
        <v>101</v>
      </c>
      <c r="F200" s="1080"/>
      <c r="G200" s="8" t="s">
        <v>102</v>
      </c>
      <c r="H200" s="9">
        <v>0.03</v>
      </c>
      <c r="I200" s="10">
        <v>21.05</v>
      </c>
      <c r="J200" s="495">
        <f t="shared" si="9"/>
        <v>0.63149999999999995</v>
      </c>
    </row>
    <row r="201" spans="1:11" ht="25.5">
      <c r="A201" s="494" t="s">
        <v>95</v>
      </c>
      <c r="B201" s="8" t="s">
        <v>231</v>
      </c>
      <c r="C201" s="23" t="s">
        <v>24</v>
      </c>
      <c r="D201" s="23" t="s">
        <v>232</v>
      </c>
      <c r="E201" s="1080" t="s">
        <v>204</v>
      </c>
      <c r="F201" s="1080"/>
      <c r="G201" s="8" t="s">
        <v>28</v>
      </c>
      <c r="H201" s="9">
        <v>1</v>
      </c>
      <c r="I201" s="10">
        <v>159.91999999999999</v>
      </c>
      <c r="J201" s="495">
        <f t="shared" si="9"/>
        <v>159.91999999999999</v>
      </c>
      <c r="K201">
        <v>210.681581843</v>
      </c>
    </row>
    <row r="202" spans="1:11" ht="38.25">
      <c r="A202" s="494" t="s">
        <v>95</v>
      </c>
      <c r="B202" s="8" t="s">
        <v>213</v>
      </c>
      <c r="C202" s="23" t="s">
        <v>24</v>
      </c>
      <c r="D202" s="23" t="s">
        <v>214</v>
      </c>
      <c r="E202" s="1080" t="s">
        <v>125</v>
      </c>
      <c r="F202" s="1080"/>
      <c r="G202" s="8" t="s">
        <v>126</v>
      </c>
      <c r="H202" s="9">
        <v>4.0000000000000001E-3</v>
      </c>
      <c r="I202" s="10">
        <v>230.43</v>
      </c>
      <c r="J202" s="495">
        <f t="shared" si="9"/>
        <v>0.92172000000000009</v>
      </c>
    </row>
    <row r="203" spans="1:11" ht="38.25">
      <c r="A203" s="494" t="s">
        <v>95</v>
      </c>
      <c r="B203" s="8" t="s">
        <v>215</v>
      </c>
      <c r="C203" s="23" t="s">
        <v>24</v>
      </c>
      <c r="D203" s="23" t="s">
        <v>216</v>
      </c>
      <c r="E203" s="1080" t="s">
        <v>125</v>
      </c>
      <c r="F203" s="1080"/>
      <c r="G203" s="8" t="s">
        <v>129</v>
      </c>
      <c r="H203" s="9">
        <v>2.5999999999999999E-2</v>
      </c>
      <c r="I203" s="10">
        <v>100.08</v>
      </c>
      <c r="J203" s="495">
        <f t="shared" si="9"/>
        <v>2.6020799999999999</v>
      </c>
    </row>
    <row r="204" spans="1:11">
      <c r="A204" s="498"/>
      <c r="B204" s="20"/>
      <c r="C204" s="499"/>
      <c r="D204" s="499"/>
      <c r="E204" s="499" t="s">
        <v>116</v>
      </c>
      <c r="F204" s="500">
        <v>5.58</v>
      </c>
      <c r="G204" s="499" t="s">
        <v>117</v>
      </c>
      <c r="H204" s="500">
        <v>0</v>
      </c>
      <c r="I204" s="499" t="s">
        <v>118</v>
      </c>
      <c r="J204" s="501">
        <v>5.58</v>
      </c>
    </row>
    <row r="205" spans="1:11">
      <c r="A205" s="498"/>
      <c r="B205" s="20"/>
      <c r="C205" s="499"/>
      <c r="D205" s="499"/>
      <c r="E205" s="499" t="s">
        <v>119</v>
      </c>
      <c r="F205" s="500">
        <f>J205-J193</f>
        <v>36.521391843000004</v>
      </c>
      <c r="G205" s="499"/>
      <c r="H205" s="1082" t="s">
        <v>120</v>
      </c>
      <c r="I205" s="1082"/>
      <c r="J205" s="521">
        <f>J193*(1+G2)</f>
        <v>210.68158184299998</v>
      </c>
    </row>
    <row r="206" spans="1:11" ht="15" thickBot="1">
      <c r="A206" s="503"/>
      <c r="B206" s="666"/>
      <c r="C206" s="14"/>
      <c r="D206" s="14"/>
      <c r="E206" s="14"/>
      <c r="F206" s="14"/>
      <c r="G206" s="14" t="s">
        <v>121</v>
      </c>
      <c r="H206" s="504">
        <f>'OBRA 01 - MEMÓRIA'!O40</f>
        <v>979.6</v>
      </c>
      <c r="I206" s="14" t="s">
        <v>122</v>
      </c>
      <c r="J206" s="505">
        <f>TRUNC(H206*J205,2)</f>
        <v>206383.67</v>
      </c>
      <c r="K206" s="171">
        <f>H210+H211</f>
        <v>4.0999999999999995E-2</v>
      </c>
    </row>
    <row r="207" spans="1:11" ht="15" thickTop="1">
      <c r="A207" s="506"/>
      <c r="B207" s="230"/>
      <c r="C207" s="15"/>
      <c r="D207" s="15"/>
      <c r="E207" s="15"/>
      <c r="F207" s="15"/>
      <c r="G207" s="15"/>
      <c r="H207" s="15"/>
      <c r="I207" s="15"/>
      <c r="J207" s="507"/>
      <c r="K207" s="171">
        <f>H212+H213</f>
        <v>1.7499999999999998E-2</v>
      </c>
    </row>
    <row r="208" spans="1:11" ht="15">
      <c r="A208" s="490" t="s">
        <v>326</v>
      </c>
      <c r="B208" s="31" t="s">
        <v>7</v>
      </c>
      <c r="C208" s="26" t="s">
        <v>8</v>
      </c>
      <c r="D208" s="26" t="s">
        <v>9</v>
      </c>
      <c r="E208" s="1092" t="s">
        <v>92</v>
      </c>
      <c r="F208" s="1092"/>
      <c r="G208" s="31" t="s">
        <v>10</v>
      </c>
      <c r="H208" s="29" t="s">
        <v>11</v>
      </c>
      <c r="I208" s="29" t="s">
        <v>12</v>
      </c>
      <c r="J208" s="491" t="s">
        <v>14</v>
      </c>
      <c r="K208" s="171">
        <f>K207+K206</f>
        <v>5.8499999999999996E-2</v>
      </c>
    </row>
    <row r="209" spans="1:11" ht="51">
      <c r="A209" s="492" t="s">
        <v>93</v>
      </c>
      <c r="B209" s="4" t="s">
        <v>42</v>
      </c>
      <c r="C209" s="27" t="s">
        <v>24</v>
      </c>
      <c r="D209" s="27" t="s">
        <v>659</v>
      </c>
      <c r="E209" s="1079" t="s">
        <v>184</v>
      </c>
      <c r="F209" s="1079"/>
      <c r="G209" s="4" t="s">
        <v>28</v>
      </c>
      <c r="H209" s="5">
        <v>1</v>
      </c>
      <c r="I209" s="6">
        <v>7.79</v>
      </c>
      <c r="J209" s="509">
        <f>SUM(J210:J213)</f>
        <v>7.8073019999999991</v>
      </c>
      <c r="K209" s="171">
        <f>1-K208</f>
        <v>0.9415</v>
      </c>
    </row>
    <row r="210" spans="1:11" ht="51">
      <c r="A210" s="494" t="s">
        <v>95</v>
      </c>
      <c r="B210" s="8" t="s">
        <v>185</v>
      </c>
      <c r="C210" s="23" t="s">
        <v>24</v>
      </c>
      <c r="D210" s="23" t="s">
        <v>186</v>
      </c>
      <c r="E210" s="1080" t="s">
        <v>125</v>
      </c>
      <c r="F210" s="1080"/>
      <c r="G210" s="8" t="s">
        <v>126</v>
      </c>
      <c r="H210" s="9">
        <v>2.2499999999999999E-2</v>
      </c>
      <c r="I210" s="10">
        <v>186.94</v>
      </c>
      <c r="J210" s="495">
        <f>H210*I210</f>
        <v>4.2061500000000001</v>
      </c>
    </row>
    <row r="211" spans="1:11" ht="51">
      <c r="A211" s="494" t="s">
        <v>95</v>
      </c>
      <c r="B211" s="8" t="s">
        <v>187</v>
      </c>
      <c r="C211" s="23" t="s">
        <v>24</v>
      </c>
      <c r="D211" s="23" t="s">
        <v>188</v>
      </c>
      <c r="E211" s="1080" t="s">
        <v>125</v>
      </c>
      <c r="F211" s="1080"/>
      <c r="G211" s="8" t="s">
        <v>129</v>
      </c>
      <c r="H211" s="9">
        <v>1.8499999999999999E-2</v>
      </c>
      <c r="I211" s="10">
        <v>62.47</v>
      </c>
      <c r="J211" s="495">
        <f t="shared" ref="J211:J213" si="10">H211*I211</f>
        <v>1.1556949999999999</v>
      </c>
      <c r="K211">
        <v>9.4444932294000008</v>
      </c>
    </row>
    <row r="212" spans="1:11" ht="38.25">
      <c r="A212" s="494" t="s">
        <v>95</v>
      </c>
      <c r="B212" s="8" t="s">
        <v>200</v>
      </c>
      <c r="C212" s="23" t="s">
        <v>24</v>
      </c>
      <c r="D212" s="172" t="s">
        <v>201</v>
      </c>
      <c r="E212" s="1081" t="s">
        <v>125</v>
      </c>
      <c r="F212" s="1081"/>
      <c r="G212" s="173" t="s">
        <v>126</v>
      </c>
      <c r="H212" s="174">
        <v>4.1999999999999997E-3</v>
      </c>
      <c r="I212" s="10">
        <v>257.7</v>
      </c>
      <c r="J212" s="495">
        <f t="shared" si="10"/>
        <v>1.0823399999999999</v>
      </c>
    </row>
    <row r="213" spans="1:11" ht="38.25">
      <c r="A213" s="494" t="s">
        <v>95</v>
      </c>
      <c r="B213" s="8" t="s">
        <v>202</v>
      </c>
      <c r="C213" s="23" t="s">
        <v>24</v>
      </c>
      <c r="D213" s="23" t="s">
        <v>203</v>
      </c>
      <c r="E213" s="1080" t="s">
        <v>125</v>
      </c>
      <c r="F213" s="1080"/>
      <c r="G213" s="8" t="s">
        <v>129</v>
      </c>
      <c r="H213" s="9">
        <v>1.3299999999999999E-2</v>
      </c>
      <c r="I213" s="10">
        <v>102.49</v>
      </c>
      <c r="J213" s="495">
        <f t="shared" si="10"/>
        <v>1.3631169999999999</v>
      </c>
    </row>
    <row r="214" spans="1:11">
      <c r="A214" s="498"/>
      <c r="B214" s="20"/>
      <c r="C214" s="499"/>
      <c r="D214" s="499"/>
      <c r="E214" s="499" t="s">
        <v>116</v>
      </c>
      <c r="F214" s="500">
        <v>1.4</v>
      </c>
      <c r="G214" s="499" t="s">
        <v>117</v>
      </c>
      <c r="H214" s="500">
        <v>0</v>
      </c>
      <c r="I214" s="499" t="s">
        <v>118</v>
      </c>
      <c r="J214" s="501">
        <v>1.4</v>
      </c>
    </row>
    <row r="215" spans="1:11">
      <c r="A215" s="498"/>
      <c r="B215" s="20"/>
      <c r="C215" s="499"/>
      <c r="D215" s="499"/>
      <c r="E215" s="499" t="s">
        <v>119</v>
      </c>
      <c r="F215" s="500">
        <v>1.91</v>
      </c>
      <c r="G215" s="499"/>
      <c r="H215" s="1082" t="s">
        <v>120</v>
      </c>
      <c r="I215" s="1082"/>
      <c r="J215" s="508">
        <f>J209*(1+G2)</f>
        <v>9.444493229399999</v>
      </c>
    </row>
    <row r="216" spans="1:11" ht="15" thickBot="1">
      <c r="A216" s="503"/>
      <c r="B216" s="666"/>
      <c r="C216" s="14"/>
      <c r="D216" s="14"/>
      <c r="E216" s="14"/>
      <c r="F216" s="14"/>
      <c r="G216" s="14" t="s">
        <v>121</v>
      </c>
      <c r="H216" s="504">
        <f>'OBRA 01 - MEMÓRIA'!O42</f>
        <v>1712.5</v>
      </c>
      <c r="I216" s="14" t="s">
        <v>122</v>
      </c>
      <c r="J216" s="505">
        <f>TRUNC(H216*J215,2)</f>
        <v>16173.69</v>
      </c>
    </row>
    <row r="217" spans="1:11" ht="15" thickTop="1">
      <c r="A217" s="506"/>
      <c r="B217" s="230"/>
      <c r="C217" s="15"/>
      <c r="D217" s="15"/>
      <c r="E217" s="15"/>
      <c r="F217" s="15"/>
      <c r="G217" s="15"/>
      <c r="H217" s="15"/>
      <c r="I217" s="15"/>
      <c r="J217" s="507"/>
    </row>
    <row r="218" spans="1:11" ht="15">
      <c r="A218" s="490" t="s">
        <v>327</v>
      </c>
      <c r="B218" s="31" t="s">
        <v>7</v>
      </c>
      <c r="C218" s="26" t="s">
        <v>8</v>
      </c>
      <c r="D218" s="26" t="s">
        <v>9</v>
      </c>
      <c r="E218" s="1092" t="s">
        <v>92</v>
      </c>
      <c r="F218" s="1092"/>
      <c r="G218" s="31" t="s">
        <v>10</v>
      </c>
      <c r="H218" s="29" t="s">
        <v>11</v>
      </c>
      <c r="I218" s="29" t="s">
        <v>12</v>
      </c>
      <c r="J218" s="491" t="s">
        <v>14</v>
      </c>
    </row>
    <row r="219" spans="1:11" ht="25.5">
      <c r="A219" s="492" t="s">
        <v>93</v>
      </c>
      <c r="B219" s="4" t="s">
        <v>56</v>
      </c>
      <c r="C219" s="27" t="s">
        <v>24</v>
      </c>
      <c r="D219" s="27" t="s">
        <v>658</v>
      </c>
      <c r="E219" s="1079" t="s">
        <v>184</v>
      </c>
      <c r="F219" s="1079"/>
      <c r="G219" s="4" t="s">
        <v>36</v>
      </c>
      <c r="H219" s="5">
        <v>1</v>
      </c>
      <c r="I219" s="6">
        <v>2.4900000000000002</v>
      </c>
      <c r="J219" s="509">
        <f>J220+J221</f>
        <v>2.4911820000000002</v>
      </c>
      <c r="K219">
        <v>3.0135828654000001</v>
      </c>
    </row>
    <row r="220" spans="1:11" ht="51">
      <c r="A220" s="494" t="s">
        <v>95</v>
      </c>
      <c r="B220" s="8" t="s">
        <v>233</v>
      </c>
      <c r="C220" s="23" t="s">
        <v>24</v>
      </c>
      <c r="D220" s="23" t="s">
        <v>234</v>
      </c>
      <c r="E220" s="1080" t="s">
        <v>125</v>
      </c>
      <c r="F220" s="1080"/>
      <c r="G220" s="8" t="s">
        <v>126</v>
      </c>
      <c r="H220" s="9">
        <v>8.3000000000000001E-3</v>
      </c>
      <c r="I220" s="10">
        <v>268.74</v>
      </c>
      <c r="J220" s="495">
        <f>I220*H220</f>
        <v>2.2305420000000002</v>
      </c>
    </row>
    <row r="221" spans="1:11" ht="51">
      <c r="A221" s="494" t="s">
        <v>95</v>
      </c>
      <c r="B221" s="8" t="s">
        <v>235</v>
      </c>
      <c r="C221" s="23" t="s">
        <v>24</v>
      </c>
      <c r="D221" s="23" t="s">
        <v>236</v>
      </c>
      <c r="E221" s="1080" t="s">
        <v>125</v>
      </c>
      <c r="F221" s="1080"/>
      <c r="G221" s="8" t="s">
        <v>129</v>
      </c>
      <c r="H221" s="9">
        <v>3.5999999999999999E-3</v>
      </c>
      <c r="I221" s="10">
        <v>72.400000000000006</v>
      </c>
      <c r="J221" s="495">
        <f>I221*H221</f>
        <v>0.26064000000000004</v>
      </c>
    </row>
    <row r="222" spans="1:11">
      <c r="A222" s="498"/>
      <c r="B222" s="20"/>
      <c r="C222" s="499"/>
      <c r="D222" s="499"/>
      <c r="E222" s="499" t="s">
        <v>116</v>
      </c>
      <c r="F222" s="500">
        <v>0.24000000000000002</v>
      </c>
      <c r="G222" s="499" t="s">
        <v>117</v>
      </c>
      <c r="H222" s="500">
        <v>0</v>
      </c>
      <c r="I222" s="499" t="s">
        <v>118</v>
      </c>
      <c r="J222" s="501">
        <v>0.24000000000000002</v>
      </c>
      <c r="K222" s="78">
        <f>'OBRA 01 - SINTÉTICA'!I27-'OBRA 01 - ANALÍTICA'!J226</f>
        <v>0</v>
      </c>
    </row>
    <row r="223" spans="1:11">
      <c r="A223" s="498"/>
      <c r="B223" s="20"/>
      <c r="C223" s="499"/>
      <c r="D223" s="499"/>
      <c r="E223" s="499" t="s">
        <v>119</v>
      </c>
      <c r="F223" s="500">
        <v>0.61</v>
      </c>
      <c r="G223" s="499"/>
      <c r="H223" s="1082" t="s">
        <v>120</v>
      </c>
      <c r="I223" s="1082"/>
      <c r="J223" s="508">
        <f>J219*(1+G2)</f>
        <v>3.0135828654000001</v>
      </c>
    </row>
    <row r="224" spans="1:11" ht="15" thickBot="1">
      <c r="A224" s="503"/>
      <c r="B224" s="666"/>
      <c r="C224" s="14"/>
      <c r="D224" s="14"/>
      <c r="E224" s="14"/>
      <c r="F224" s="14"/>
      <c r="G224" s="14" t="s">
        <v>121</v>
      </c>
      <c r="H224" s="504">
        <f>'OBRA 01 - MEMÓRIA'!O44</f>
        <v>51375</v>
      </c>
      <c r="I224" s="14" t="s">
        <v>122</v>
      </c>
      <c r="J224" s="505">
        <f>TRUNC(H224*J223,2)</f>
        <v>154822.81</v>
      </c>
    </row>
    <row r="225" spans="1:10" ht="15" thickTop="1">
      <c r="A225" s="506"/>
      <c r="B225" s="230"/>
      <c r="C225" s="15"/>
      <c r="D225" s="15"/>
      <c r="E225" s="15"/>
      <c r="F225" s="15"/>
      <c r="G225" s="15"/>
      <c r="H225" s="15"/>
      <c r="I225" s="15"/>
      <c r="J225" s="507"/>
    </row>
    <row r="226" spans="1:10">
      <c r="A226" s="518" t="s">
        <v>58</v>
      </c>
      <c r="B226" s="229"/>
      <c r="C226" s="25"/>
      <c r="D226" s="25" t="s">
        <v>59</v>
      </c>
      <c r="E226" s="25"/>
      <c r="F226" s="1090"/>
      <c r="G226" s="1090"/>
      <c r="H226" s="1"/>
      <c r="I226" s="25"/>
      <c r="J226" s="519">
        <f>ROUNDUP(J248+J271+J302+J310+J318+J326+J333+J339+J345+J351,2)</f>
        <v>292241.48</v>
      </c>
    </row>
    <row r="227" spans="1:10" ht="15">
      <c r="A227" s="490" t="s">
        <v>335</v>
      </c>
      <c r="B227" s="31" t="s">
        <v>7</v>
      </c>
      <c r="C227" s="26" t="s">
        <v>8</v>
      </c>
      <c r="D227" s="26" t="s">
        <v>9</v>
      </c>
      <c r="E227" s="1092" t="s">
        <v>92</v>
      </c>
      <c r="F227" s="1092"/>
      <c r="G227" s="31" t="s">
        <v>10</v>
      </c>
      <c r="H227" s="29" t="s">
        <v>11</v>
      </c>
      <c r="I227" s="29" t="s">
        <v>12</v>
      </c>
      <c r="J227" s="491" t="s">
        <v>14</v>
      </c>
    </row>
    <row r="228" spans="1:10">
      <c r="A228" s="492" t="s">
        <v>93</v>
      </c>
      <c r="B228" s="4" t="s">
        <v>62</v>
      </c>
      <c r="C228" s="27" t="s">
        <v>27</v>
      </c>
      <c r="D228" s="27" t="s">
        <v>563</v>
      </c>
      <c r="E228" s="1079" t="s">
        <v>136</v>
      </c>
      <c r="F228" s="1079"/>
      <c r="G228" s="4" t="s">
        <v>21</v>
      </c>
      <c r="H228" s="5">
        <v>1</v>
      </c>
      <c r="I228" s="6">
        <v>0.4</v>
      </c>
      <c r="J228" s="509">
        <f>J240+J242+J244</f>
        <v>0.39891387824278257</v>
      </c>
    </row>
    <row r="229" spans="1:10" ht="15">
      <c r="A229" s="1096" t="s">
        <v>137</v>
      </c>
      <c r="B229" s="1089" t="s">
        <v>7</v>
      </c>
      <c r="C229" s="1092" t="s">
        <v>8</v>
      </c>
      <c r="D229" s="1092" t="s">
        <v>138</v>
      </c>
      <c r="E229" s="1085" t="s">
        <v>139</v>
      </c>
      <c r="F229" s="1089" t="s">
        <v>140</v>
      </c>
      <c r="G229" s="1085"/>
      <c r="H229" s="1089" t="s">
        <v>141</v>
      </c>
      <c r="I229" s="1085"/>
      <c r="J229" s="1103" t="s">
        <v>142</v>
      </c>
    </row>
    <row r="230" spans="1:10" ht="15">
      <c r="A230" s="1097"/>
      <c r="B230" s="1089"/>
      <c r="C230" s="1085"/>
      <c r="D230" s="1085"/>
      <c r="E230" s="1085"/>
      <c r="F230" s="29" t="s">
        <v>143</v>
      </c>
      <c r="G230" s="29" t="s">
        <v>144</v>
      </c>
      <c r="H230" s="29" t="s">
        <v>143</v>
      </c>
      <c r="I230" s="29" t="s">
        <v>144</v>
      </c>
      <c r="J230" s="1103"/>
    </row>
    <row r="231" spans="1:10" ht="25.5">
      <c r="A231" s="496" t="s">
        <v>105</v>
      </c>
      <c r="B231" s="11" t="s">
        <v>263</v>
      </c>
      <c r="C231" s="24" t="s">
        <v>27</v>
      </c>
      <c r="D231" s="24" t="s">
        <v>264</v>
      </c>
      <c r="E231" s="12">
        <v>1</v>
      </c>
      <c r="F231" s="13">
        <v>1</v>
      </c>
      <c r="G231" s="13">
        <v>0</v>
      </c>
      <c r="H231" s="30">
        <v>255.0376</v>
      </c>
      <c r="I231" s="30">
        <v>74.468100000000007</v>
      </c>
      <c r="J231" s="510">
        <f>(E231*((F231*H231+G231*I231)))</f>
        <v>255.0376</v>
      </c>
    </row>
    <row r="232" spans="1:10">
      <c r="A232" s="496" t="s">
        <v>105</v>
      </c>
      <c r="B232" s="11" t="s">
        <v>265</v>
      </c>
      <c r="C232" s="24" t="s">
        <v>27</v>
      </c>
      <c r="D232" s="24" t="s">
        <v>266</v>
      </c>
      <c r="E232" s="12">
        <v>2</v>
      </c>
      <c r="F232" s="13">
        <v>1</v>
      </c>
      <c r="G232" s="13">
        <v>0</v>
      </c>
      <c r="H232" s="30">
        <v>57.988100000000003</v>
      </c>
      <c r="I232" s="30">
        <v>39.610100000000003</v>
      </c>
      <c r="J232" s="510">
        <f>(E232*((F232*H232+G232*I232)))</f>
        <v>115.97620000000001</v>
      </c>
    </row>
    <row r="233" spans="1:10">
      <c r="A233" s="1083"/>
      <c r="B233" s="1084"/>
      <c r="C233" s="1084"/>
      <c r="D233" s="1084"/>
      <c r="E233" s="1084"/>
      <c r="F233" s="1084" t="s">
        <v>145</v>
      </c>
      <c r="G233" s="1084"/>
      <c r="H233" s="1084"/>
      <c r="I233" s="1084"/>
      <c r="J233" s="511">
        <f>J232+J231</f>
        <v>371.0138</v>
      </c>
    </row>
    <row r="234" spans="1:10" ht="15">
      <c r="A234" s="490" t="s">
        <v>146</v>
      </c>
      <c r="B234" s="31" t="s">
        <v>7</v>
      </c>
      <c r="C234" s="26" t="s">
        <v>8</v>
      </c>
      <c r="D234" s="26" t="s">
        <v>147</v>
      </c>
      <c r="E234" s="29" t="s">
        <v>139</v>
      </c>
      <c r="F234" s="1085" t="s">
        <v>148</v>
      </c>
      <c r="G234" s="1085"/>
      <c r="H234" s="1085"/>
      <c r="I234" s="1085"/>
      <c r="J234" s="491" t="s">
        <v>142</v>
      </c>
    </row>
    <row r="235" spans="1:10">
      <c r="A235" s="496" t="s">
        <v>105</v>
      </c>
      <c r="B235" s="11">
        <v>88316</v>
      </c>
      <c r="C235" s="24" t="s">
        <v>24</v>
      </c>
      <c r="D235" s="24" t="s">
        <v>149</v>
      </c>
      <c r="E235" s="12">
        <v>2</v>
      </c>
      <c r="F235" s="24"/>
      <c r="G235" s="24"/>
      <c r="H235" s="24"/>
      <c r="I235" s="30">
        <v>21.05</v>
      </c>
      <c r="J235" s="510">
        <f>I235*2</f>
        <v>42.1</v>
      </c>
    </row>
    <row r="236" spans="1:10">
      <c r="A236" s="1083"/>
      <c r="B236" s="1084"/>
      <c r="C236" s="1084"/>
      <c r="D236" s="1084"/>
      <c r="E236" s="1084"/>
      <c r="F236" s="1084" t="s">
        <v>150</v>
      </c>
      <c r="G236" s="1084"/>
      <c r="H236" s="1084"/>
      <c r="I236" s="1084"/>
      <c r="J236" s="511">
        <f>J235</f>
        <v>42.1</v>
      </c>
    </row>
    <row r="237" spans="1:10">
      <c r="A237" s="1083"/>
      <c r="B237" s="1084"/>
      <c r="C237" s="1084"/>
      <c r="D237" s="1084"/>
      <c r="E237" s="1084"/>
      <c r="F237" s="1084" t="s">
        <v>151</v>
      </c>
      <c r="G237" s="1084"/>
      <c r="H237" s="1084"/>
      <c r="I237" s="1084"/>
      <c r="J237" s="511">
        <v>0</v>
      </c>
    </row>
    <row r="238" spans="1:10">
      <c r="A238" s="1083"/>
      <c r="B238" s="1084"/>
      <c r="C238" s="1084"/>
      <c r="D238" s="1084"/>
      <c r="E238" s="1084"/>
      <c r="F238" s="1084" t="s">
        <v>152</v>
      </c>
      <c r="G238" s="1084"/>
      <c r="H238" s="1084"/>
      <c r="I238" s="1084"/>
      <c r="J238" s="511">
        <f>J236+J233</f>
        <v>413.11380000000003</v>
      </c>
    </row>
    <row r="239" spans="1:10">
      <c r="A239" s="1083"/>
      <c r="B239" s="1084"/>
      <c r="C239" s="1084"/>
      <c r="D239" s="1084"/>
      <c r="E239" s="1084"/>
      <c r="F239" s="1084" t="s">
        <v>153</v>
      </c>
      <c r="G239" s="1084"/>
      <c r="H239" s="1084"/>
      <c r="I239" s="1084"/>
      <c r="J239" s="511">
        <v>2.5000000000000001E-3</v>
      </c>
    </row>
    <row r="240" spans="1:10">
      <c r="A240" s="1083"/>
      <c r="B240" s="1084"/>
      <c r="C240" s="1084"/>
      <c r="D240" s="1084"/>
      <c r="E240" s="1084"/>
      <c r="F240" s="1084" t="s">
        <v>154</v>
      </c>
      <c r="G240" s="1084"/>
      <c r="H240" s="1084"/>
      <c r="I240" s="1084"/>
      <c r="J240" s="511">
        <v>1.1000000000000001E-3</v>
      </c>
    </row>
    <row r="241" spans="1:11">
      <c r="A241" s="1083"/>
      <c r="B241" s="1084"/>
      <c r="C241" s="1084"/>
      <c r="D241" s="1084"/>
      <c r="E241" s="1084"/>
      <c r="F241" s="1084" t="s">
        <v>155</v>
      </c>
      <c r="G241" s="1084"/>
      <c r="H241" s="1084"/>
      <c r="I241" s="1084"/>
      <c r="J241" s="511">
        <v>1038.46</v>
      </c>
    </row>
    <row r="242" spans="1:11">
      <c r="A242" s="1083"/>
      <c r="B242" s="1084"/>
      <c r="C242" s="1084"/>
      <c r="D242" s="1084"/>
      <c r="E242" s="1084"/>
      <c r="F242" s="1084" t="s">
        <v>156</v>
      </c>
      <c r="G242" s="1084"/>
      <c r="H242" s="1084"/>
      <c r="I242" s="1084"/>
      <c r="J242" s="511">
        <f>J238/J241</f>
        <v>0.39781387824278258</v>
      </c>
    </row>
    <row r="243" spans="1:11" ht="15">
      <c r="A243" s="490" t="s">
        <v>157</v>
      </c>
      <c r="B243" s="31" t="s">
        <v>8</v>
      </c>
      <c r="C243" s="26" t="s">
        <v>7</v>
      </c>
      <c r="D243" s="26" t="s">
        <v>108</v>
      </c>
      <c r="E243" s="29" t="s">
        <v>139</v>
      </c>
      <c r="F243" s="29" t="s">
        <v>158</v>
      </c>
      <c r="G243" s="1085" t="s">
        <v>159</v>
      </c>
      <c r="H243" s="1085"/>
      <c r="I243" s="1085"/>
      <c r="J243" s="491" t="s">
        <v>142</v>
      </c>
      <c r="K243">
        <v>0.48256611851029402</v>
      </c>
    </row>
    <row r="244" spans="1:11">
      <c r="A244" s="496" t="s">
        <v>105</v>
      </c>
      <c r="B244" s="11" t="s">
        <v>27</v>
      </c>
      <c r="C244" s="24" t="s">
        <v>267</v>
      </c>
      <c r="D244" s="24" t="s">
        <v>268</v>
      </c>
      <c r="E244" s="12">
        <v>1.2999999999999999E-3</v>
      </c>
      <c r="F244" s="11" t="s">
        <v>61</v>
      </c>
      <c r="G244" s="1086">
        <v>0</v>
      </c>
      <c r="H244" s="1086"/>
      <c r="I244" s="1087"/>
      <c r="J244" s="510">
        <v>0</v>
      </c>
    </row>
    <row r="245" spans="1:11">
      <c r="A245" s="1083"/>
      <c r="B245" s="1084"/>
      <c r="C245" s="1084"/>
      <c r="D245" s="1084"/>
      <c r="E245" s="1084"/>
      <c r="F245" s="1084" t="s">
        <v>160</v>
      </c>
      <c r="G245" s="1084"/>
      <c r="H245" s="1084"/>
      <c r="I245" s="1084"/>
      <c r="J245" s="511">
        <v>0</v>
      </c>
    </row>
    <row r="246" spans="1:11">
      <c r="A246" s="498"/>
      <c r="B246" s="20"/>
      <c r="C246" s="499"/>
      <c r="D246" s="499"/>
      <c r="E246" s="499" t="s">
        <v>116</v>
      </c>
      <c r="F246" s="500">
        <v>4.1187335092348287E-2</v>
      </c>
      <c r="G246" s="499" t="s">
        <v>117</v>
      </c>
      <c r="H246" s="500">
        <v>0</v>
      </c>
      <c r="I246" s="499" t="s">
        <v>118</v>
      </c>
      <c r="J246" s="501">
        <v>4.1187335092348287E-2</v>
      </c>
    </row>
    <row r="247" spans="1:11">
      <c r="A247" s="498"/>
      <c r="B247" s="20"/>
      <c r="C247" s="499"/>
      <c r="D247" s="499"/>
      <c r="E247" s="499" t="s">
        <v>119</v>
      </c>
      <c r="F247" s="500">
        <v>0.1</v>
      </c>
      <c r="G247" s="499"/>
      <c r="H247" s="1082" t="s">
        <v>120</v>
      </c>
      <c r="I247" s="1082"/>
      <c r="J247" s="525">
        <f>J228*(1+G2)</f>
        <v>0.48256611851029407</v>
      </c>
    </row>
    <row r="248" spans="1:11" ht="15" thickBot="1">
      <c r="A248" s="503"/>
      <c r="B248" s="666"/>
      <c r="C248" s="14"/>
      <c r="D248" s="14"/>
      <c r="E248" s="14"/>
      <c r="F248" s="14"/>
      <c r="G248" s="14" t="s">
        <v>121</v>
      </c>
      <c r="H248" s="504">
        <f>'OBRA 01 - MEMÓRIA'!O47</f>
        <v>3701.62</v>
      </c>
      <c r="I248" s="14" t="s">
        <v>122</v>
      </c>
      <c r="J248" s="505">
        <f>TRUNC(H248*J247,2)</f>
        <v>1786.27</v>
      </c>
    </row>
    <row r="249" spans="1:11" ht="15" thickTop="1">
      <c r="A249" s="506"/>
      <c r="B249" s="230"/>
      <c r="C249" s="15"/>
      <c r="D249" s="15"/>
      <c r="E249" s="15"/>
      <c r="F249" s="15"/>
      <c r="G249" s="15"/>
      <c r="H249" s="15"/>
      <c r="I249" s="15"/>
      <c r="J249" s="507"/>
    </row>
    <row r="250" spans="1:11" ht="15">
      <c r="A250" s="490" t="s">
        <v>336</v>
      </c>
      <c r="B250" s="31" t="s">
        <v>7</v>
      </c>
      <c r="C250" s="26" t="s">
        <v>8</v>
      </c>
      <c r="D250" s="26" t="s">
        <v>9</v>
      </c>
      <c r="E250" s="1092" t="s">
        <v>92</v>
      </c>
      <c r="F250" s="1092"/>
      <c r="G250" s="31" t="s">
        <v>10</v>
      </c>
      <c r="H250" s="29" t="s">
        <v>11</v>
      </c>
      <c r="I250" s="29" t="s">
        <v>12</v>
      </c>
      <c r="J250" s="491" t="s">
        <v>14</v>
      </c>
    </row>
    <row r="251" spans="1:11">
      <c r="A251" s="492" t="s">
        <v>93</v>
      </c>
      <c r="B251" s="4" t="s">
        <v>63</v>
      </c>
      <c r="C251" s="27" t="s">
        <v>27</v>
      </c>
      <c r="D251" s="27" t="s">
        <v>564</v>
      </c>
      <c r="E251" s="1079" t="s">
        <v>136</v>
      </c>
      <c r="F251" s="1079"/>
      <c r="G251" s="4" t="s">
        <v>21</v>
      </c>
      <c r="H251" s="5">
        <v>1</v>
      </c>
      <c r="I251" s="6">
        <v>0.28000000000000003</v>
      </c>
      <c r="J251" s="509">
        <f>J265+J263+J267</f>
        <v>0.27620920000000004</v>
      </c>
    </row>
    <row r="252" spans="1:11" ht="15">
      <c r="A252" s="1096" t="s">
        <v>137</v>
      </c>
      <c r="B252" s="1089" t="s">
        <v>7</v>
      </c>
      <c r="C252" s="1092" t="s">
        <v>8</v>
      </c>
      <c r="D252" s="1092" t="s">
        <v>138</v>
      </c>
      <c r="E252" s="1085" t="s">
        <v>139</v>
      </c>
      <c r="F252" s="1089" t="s">
        <v>140</v>
      </c>
      <c r="G252" s="1085"/>
      <c r="H252" s="1089" t="s">
        <v>141</v>
      </c>
      <c r="I252" s="1085"/>
      <c r="J252" s="1103" t="s">
        <v>142</v>
      </c>
    </row>
    <row r="253" spans="1:11" ht="15">
      <c r="A253" s="1097"/>
      <c r="B253" s="1089"/>
      <c r="C253" s="1085"/>
      <c r="D253" s="1085"/>
      <c r="E253" s="1085"/>
      <c r="F253" s="29" t="s">
        <v>143</v>
      </c>
      <c r="G253" s="29" t="s">
        <v>144</v>
      </c>
      <c r="H253" s="29" t="s">
        <v>143</v>
      </c>
      <c r="I253" s="29" t="s">
        <v>144</v>
      </c>
      <c r="J253" s="1103"/>
    </row>
    <row r="254" spans="1:11" ht="25.5">
      <c r="A254" s="496" t="s">
        <v>105</v>
      </c>
      <c r="B254" s="11" t="s">
        <v>263</v>
      </c>
      <c r="C254" s="24" t="s">
        <v>27</v>
      </c>
      <c r="D254" s="24" t="s">
        <v>264</v>
      </c>
      <c r="E254" s="12">
        <v>1</v>
      </c>
      <c r="F254" s="13">
        <v>1</v>
      </c>
      <c r="G254" s="13">
        <v>0</v>
      </c>
      <c r="H254" s="30">
        <v>255.0376</v>
      </c>
      <c r="I254" s="30">
        <v>74.468100000000007</v>
      </c>
      <c r="J254" s="510">
        <f>H254*F254+I254*G254</f>
        <v>255.0376</v>
      </c>
    </row>
    <row r="255" spans="1:11">
      <c r="A255" s="496" t="s">
        <v>105</v>
      </c>
      <c r="B255" s="11" t="s">
        <v>265</v>
      </c>
      <c r="C255" s="24" t="s">
        <v>27</v>
      </c>
      <c r="D255" s="24" t="s">
        <v>266</v>
      </c>
      <c r="E255" s="12">
        <v>2</v>
      </c>
      <c r="F255" s="13">
        <v>1</v>
      </c>
      <c r="G255" s="13">
        <v>0</v>
      </c>
      <c r="H255" s="30">
        <v>57.988100000000003</v>
      </c>
      <c r="I255" s="30">
        <v>39.610100000000003</v>
      </c>
      <c r="J255" s="510">
        <f>(H255*F255+I255*G255)*E255</f>
        <v>115.97620000000001</v>
      </c>
    </row>
    <row r="256" spans="1:11">
      <c r="A256" s="1083"/>
      <c r="B256" s="1084"/>
      <c r="C256" s="1084"/>
      <c r="D256" s="1084"/>
      <c r="E256" s="1084"/>
      <c r="F256" s="1084" t="s">
        <v>145</v>
      </c>
      <c r="G256" s="1084"/>
      <c r="H256" s="1084"/>
      <c r="I256" s="1084"/>
      <c r="J256" s="511">
        <f>J255+J254</f>
        <v>371.0138</v>
      </c>
    </row>
    <row r="257" spans="1:11" ht="15">
      <c r="A257" s="490" t="s">
        <v>146</v>
      </c>
      <c r="B257" s="31" t="s">
        <v>7</v>
      </c>
      <c r="C257" s="26" t="s">
        <v>8</v>
      </c>
      <c r="D257" s="26" t="s">
        <v>147</v>
      </c>
      <c r="E257" s="29" t="s">
        <v>139</v>
      </c>
      <c r="F257" s="1085" t="s">
        <v>148</v>
      </c>
      <c r="G257" s="1085"/>
      <c r="H257" s="1085"/>
      <c r="I257" s="1085"/>
      <c r="J257" s="491" t="s">
        <v>142</v>
      </c>
    </row>
    <row r="258" spans="1:11">
      <c r="A258" s="496" t="s">
        <v>105</v>
      </c>
      <c r="B258" s="11">
        <v>88316</v>
      </c>
      <c r="C258" s="24" t="s">
        <v>24</v>
      </c>
      <c r="D258" s="24" t="s">
        <v>149</v>
      </c>
      <c r="E258" s="12">
        <v>2</v>
      </c>
      <c r="F258" s="24"/>
      <c r="G258" s="24"/>
      <c r="H258" s="24"/>
      <c r="I258" s="30">
        <v>21.05</v>
      </c>
      <c r="J258" s="510">
        <f>I258*E258</f>
        <v>42.1</v>
      </c>
    </row>
    <row r="259" spans="1:11">
      <c r="A259" s="1083"/>
      <c r="B259" s="1084"/>
      <c r="C259" s="1084"/>
      <c r="D259" s="1084"/>
      <c r="E259" s="1084"/>
      <c r="F259" s="1084" t="s">
        <v>150</v>
      </c>
      <c r="G259" s="1084"/>
      <c r="H259" s="1084"/>
      <c r="I259" s="1084"/>
      <c r="J259" s="511">
        <f>J258</f>
        <v>42.1</v>
      </c>
    </row>
    <row r="260" spans="1:11">
      <c r="A260" s="1083"/>
      <c r="B260" s="1084"/>
      <c r="C260" s="1084"/>
      <c r="D260" s="1084"/>
      <c r="E260" s="1084"/>
      <c r="F260" s="1084" t="s">
        <v>151</v>
      </c>
      <c r="G260" s="1084"/>
      <c r="H260" s="1084"/>
      <c r="I260" s="1084"/>
      <c r="J260" s="511">
        <v>0</v>
      </c>
    </row>
    <row r="261" spans="1:11">
      <c r="A261" s="1083"/>
      <c r="B261" s="1084"/>
      <c r="C261" s="1084"/>
      <c r="D261" s="1084"/>
      <c r="E261" s="1084"/>
      <c r="F261" s="1084" t="s">
        <v>152</v>
      </c>
      <c r="G261" s="1084"/>
      <c r="H261" s="1084"/>
      <c r="I261" s="1084"/>
      <c r="J261" s="511">
        <f>J259+J256</f>
        <v>413.11380000000003</v>
      </c>
    </row>
    <row r="262" spans="1:11">
      <c r="A262" s="1083"/>
      <c r="B262" s="1084"/>
      <c r="C262" s="1084"/>
      <c r="D262" s="1084"/>
      <c r="E262" s="1084"/>
      <c r="F262" s="1084" t="s">
        <v>153</v>
      </c>
      <c r="G262" s="1084"/>
      <c r="H262" s="1084"/>
      <c r="I262" s="1084"/>
      <c r="J262" s="511">
        <v>2.5000000000000001E-3</v>
      </c>
    </row>
    <row r="263" spans="1:11">
      <c r="A263" s="1083"/>
      <c r="B263" s="1084"/>
      <c r="C263" s="1084"/>
      <c r="D263" s="1084"/>
      <c r="E263" s="1084"/>
      <c r="F263" s="1084" t="s">
        <v>154</v>
      </c>
      <c r="G263" s="1084"/>
      <c r="H263" s="1084"/>
      <c r="I263" s="1084"/>
      <c r="J263" s="511">
        <v>8.0000000000000004E-4</v>
      </c>
    </row>
    <row r="264" spans="1:11">
      <c r="A264" s="1083"/>
      <c r="B264" s="1084"/>
      <c r="C264" s="1084"/>
      <c r="D264" s="1084"/>
      <c r="E264" s="1084"/>
      <c r="F264" s="1084" t="s">
        <v>155</v>
      </c>
      <c r="G264" s="1084"/>
      <c r="H264" s="1084"/>
      <c r="I264" s="1084"/>
      <c r="J264" s="511">
        <v>1500</v>
      </c>
    </row>
    <row r="265" spans="1:11">
      <c r="A265" s="1083"/>
      <c r="B265" s="1084"/>
      <c r="C265" s="1084"/>
      <c r="D265" s="1084"/>
      <c r="E265" s="1084"/>
      <c r="F265" s="1084" t="s">
        <v>156</v>
      </c>
      <c r="G265" s="1084"/>
      <c r="H265" s="1084"/>
      <c r="I265" s="1084"/>
      <c r="J265" s="511">
        <f>J261/J264</f>
        <v>0.27540920000000002</v>
      </c>
    </row>
    <row r="266" spans="1:11" ht="15">
      <c r="A266" s="490" t="s">
        <v>157</v>
      </c>
      <c r="B266" s="31" t="s">
        <v>8</v>
      </c>
      <c r="C266" s="26" t="s">
        <v>7</v>
      </c>
      <c r="D266" s="26" t="s">
        <v>108</v>
      </c>
      <c r="E266" s="29" t="s">
        <v>139</v>
      </c>
      <c r="F266" s="29" t="s">
        <v>158</v>
      </c>
      <c r="G266" s="1085" t="s">
        <v>159</v>
      </c>
      <c r="H266" s="1085"/>
      <c r="I266" s="1085"/>
      <c r="J266" s="491" t="s">
        <v>142</v>
      </c>
      <c r="K266">
        <v>0.33316250924000002</v>
      </c>
    </row>
    <row r="267" spans="1:11">
      <c r="A267" s="496" t="s">
        <v>105</v>
      </c>
      <c r="B267" s="11" t="s">
        <v>27</v>
      </c>
      <c r="C267" s="24" t="s">
        <v>269</v>
      </c>
      <c r="D267" s="24" t="s">
        <v>270</v>
      </c>
      <c r="E267" s="12">
        <v>4.4999999999999999E-4</v>
      </c>
      <c r="F267" s="11" t="s">
        <v>61</v>
      </c>
      <c r="G267" s="1086">
        <v>0</v>
      </c>
      <c r="H267" s="1086"/>
      <c r="I267" s="1087"/>
      <c r="J267" s="510">
        <v>0</v>
      </c>
    </row>
    <row r="268" spans="1:11">
      <c r="A268" s="1083"/>
      <c r="B268" s="1084"/>
      <c r="C268" s="1084"/>
      <c r="D268" s="1084"/>
      <c r="E268" s="1084"/>
      <c r="F268" s="1084" t="s">
        <v>160</v>
      </c>
      <c r="G268" s="1084"/>
      <c r="H268" s="1084"/>
      <c r="I268" s="1084"/>
      <c r="J268" s="511">
        <v>0</v>
      </c>
    </row>
    <row r="269" spans="1:11">
      <c r="A269" s="498"/>
      <c r="B269" s="20"/>
      <c r="C269" s="499"/>
      <c r="D269" s="499"/>
      <c r="E269" s="499" t="s">
        <v>116</v>
      </c>
      <c r="F269" s="500">
        <v>2.8514266666666666E-2</v>
      </c>
      <c r="G269" s="499" t="s">
        <v>117</v>
      </c>
      <c r="H269" s="500">
        <v>0</v>
      </c>
      <c r="I269" s="499" t="s">
        <v>118</v>
      </c>
      <c r="J269" s="501">
        <v>2.8514266666666666E-2</v>
      </c>
    </row>
    <row r="270" spans="1:11">
      <c r="A270" s="498"/>
      <c r="B270" s="20"/>
      <c r="C270" s="499"/>
      <c r="D270" s="499"/>
      <c r="E270" s="499" t="s">
        <v>119</v>
      </c>
      <c r="F270" s="500">
        <f>J270-J251</f>
        <v>5.7921069240000012E-2</v>
      </c>
      <c r="G270" s="499"/>
      <c r="H270" s="1082" t="s">
        <v>120</v>
      </c>
      <c r="I270" s="1082"/>
      <c r="J270" s="526">
        <f>J251*(1+G2)</f>
        <v>0.33413026924000006</v>
      </c>
    </row>
    <row r="271" spans="1:11" ht="15" thickBot="1">
      <c r="A271" s="503"/>
      <c r="B271" s="666"/>
      <c r="C271" s="14"/>
      <c r="D271" s="14"/>
      <c r="E271" s="14"/>
      <c r="F271" s="14"/>
      <c r="G271" s="14" t="s">
        <v>121</v>
      </c>
      <c r="H271" s="504">
        <f>'OBRA 01 - MEMÓRIA'!O50</f>
        <v>3701.62</v>
      </c>
      <c r="I271" s="14" t="s">
        <v>122</v>
      </c>
      <c r="J271" s="505">
        <f>TRUNC(J270*H271,2)</f>
        <v>1236.82</v>
      </c>
    </row>
    <row r="272" spans="1:11" ht="15" thickTop="1">
      <c r="A272" s="506"/>
      <c r="B272" s="230"/>
      <c r="C272" s="15"/>
      <c r="D272" s="15"/>
      <c r="E272" s="15"/>
      <c r="F272" s="15"/>
      <c r="G272" s="15"/>
      <c r="H272" s="15"/>
      <c r="I272" s="15"/>
      <c r="J272" s="507"/>
    </row>
    <row r="273" spans="1:11" ht="15">
      <c r="A273" s="490" t="s">
        <v>337</v>
      </c>
      <c r="B273" s="31" t="s">
        <v>7</v>
      </c>
      <c r="C273" s="26" t="s">
        <v>8</v>
      </c>
      <c r="D273" s="26" t="s">
        <v>9</v>
      </c>
      <c r="E273" s="1092" t="s">
        <v>92</v>
      </c>
      <c r="F273" s="1092"/>
      <c r="G273" s="31" t="s">
        <v>10</v>
      </c>
      <c r="H273" s="29" t="s">
        <v>11</v>
      </c>
      <c r="I273" s="29" t="s">
        <v>12</v>
      </c>
      <c r="J273" s="491" t="s">
        <v>14</v>
      </c>
    </row>
    <row r="274" spans="1:11">
      <c r="A274" s="492" t="s">
        <v>93</v>
      </c>
      <c r="B274" s="4" t="s">
        <v>60</v>
      </c>
      <c r="C274" s="27" t="s">
        <v>27</v>
      </c>
      <c r="D274" s="27" t="s">
        <v>565</v>
      </c>
      <c r="E274" s="1079" t="s">
        <v>136</v>
      </c>
      <c r="F274" s="1079"/>
      <c r="G274" s="4" t="s">
        <v>61</v>
      </c>
      <c r="H274" s="5">
        <v>1</v>
      </c>
      <c r="I274" s="6">
        <v>193.45</v>
      </c>
      <c r="J274" s="509">
        <f>J289+J287+J291+J294</f>
        <v>196.22979753012049</v>
      </c>
    </row>
    <row r="275" spans="1:11" ht="15">
      <c r="A275" s="1096" t="s">
        <v>137</v>
      </c>
      <c r="B275" s="1089" t="s">
        <v>7</v>
      </c>
      <c r="C275" s="1092" t="s">
        <v>8</v>
      </c>
      <c r="D275" s="1092" t="s">
        <v>138</v>
      </c>
      <c r="E275" s="1085" t="s">
        <v>139</v>
      </c>
      <c r="F275" s="1089" t="s">
        <v>140</v>
      </c>
      <c r="G275" s="1085"/>
      <c r="H275" s="1089" t="s">
        <v>141</v>
      </c>
      <c r="I275" s="1085"/>
      <c r="J275" s="1103" t="s">
        <v>142</v>
      </c>
    </row>
    <row r="276" spans="1:11" ht="15">
      <c r="A276" s="1097"/>
      <c r="B276" s="1089"/>
      <c r="C276" s="1085"/>
      <c r="D276" s="1085"/>
      <c r="E276" s="1085"/>
      <c r="F276" s="29" t="s">
        <v>143</v>
      </c>
      <c r="G276" s="29" t="s">
        <v>144</v>
      </c>
      <c r="H276" s="29" t="s">
        <v>143</v>
      </c>
      <c r="I276" s="29" t="s">
        <v>144</v>
      </c>
      <c r="J276" s="1103"/>
      <c r="K276" s="170"/>
    </row>
    <row r="277" spans="1:11">
      <c r="A277" s="496" t="s">
        <v>105</v>
      </c>
      <c r="B277" s="11" t="s">
        <v>247</v>
      </c>
      <c r="C277" s="24" t="s">
        <v>27</v>
      </c>
      <c r="D277" s="24" t="s">
        <v>248</v>
      </c>
      <c r="E277" s="12">
        <v>1</v>
      </c>
      <c r="F277" s="13">
        <v>0.71</v>
      </c>
      <c r="G277" s="13">
        <v>0.28999999999999998</v>
      </c>
      <c r="H277" s="30">
        <v>253.07490000000001</v>
      </c>
      <c r="I277" s="30">
        <v>123.47490000000001</v>
      </c>
      <c r="J277" s="510">
        <f>F277*H277+G277*I277</f>
        <v>215.49090000000001</v>
      </c>
    </row>
    <row r="278" spans="1:11">
      <c r="A278" s="496" t="s">
        <v>105</v>
      </c>
      <c r="B278" s="11" t="s">
        <v>249</v>
      </c>
      <c r="C278" s="24" t="s">
        <v>27</v>
      </c>
      <c r="D278" s="24" t="s">
        <v>250</v>
      </c>
      <c r="E278" s="12">
        <v>1</v>
      </c>
      <c r="F278" s="13">
        <v>0.82</v>
      </c>
      <c r="G278" s="13">
        <v>0.18</v>
      </c>
      <c r="H278" s="30">
        <v>282.21789999999999</v>
      </c>
      <c r="I278" s="30">
        <v>107.3302</v>
      </c>
      <c r="J278" s="510">
        <f t="shared" ref="J278:J279" si="11">F278*H278+G278*I278</f>
        <v>250.73811399999997</v>
      </c>
    </row>
    <row r="279" spans="1:11">
      <c r="A279" s="496" t="s">
        <v>105</v>
      </c>
      <c r="B279" s="11" t="s">
        <v>251</v>
      </c>
      <c r="C279" s="24" t="s">
        <v>27</v>
      </c>
      <c r="D279" s="24" t="s">
        <v>252</v>
      </c>
      <c r="E279" s="12">
        <v>1</v>
      </c>
      <c r="F279" s="13">
        <v>1</v>
      </c>
      <c r="G279" s="13">
        <v>0</v>
      </c>
      <c r="H279" s="30">
        <v>613.91650000000004</v>
      </c>
      <c r="I279" s="30">
        <v>291.87169999999998</v>
      </c>
      <c r="J279" s="510">
        <f t="shared" si="11"/>
        <v>613.91650000000004</v>
      </c>
    </row>
    <row r="280" spans="1:11">
      <c r="A280" s="1083"/>
      <c r="B280" s="1084"/>
      <c r="C280" s="1084"/>
      <c r="D280" s="1084"/>
      <c r="E280" s="1084"/>
      <c r="F280" s="1084" t="s">
        <v>145</v>
      </c>
      <c r="G280" s="1084"/>
      <c r="H280" s="1084"/>
      <c r="I280" s="1084"/>
      <c r="J280" s="511">
        <f>SUM(J277:J279)</f>
        <v>1080.145514</v>
      </c>
    </row>
    <row r="281" spans="1:11" ht="15">
      <c r="A281" s="490" t="s">
        <v>146</v>
      </c>
      <c r="B281" s="31" t="s">
        <v>7</v>
      </c>
      <c r="C281" s="26" t="s">
        <v>8</v>
      </c>
      <c r="D281" s="26" t="s">
        <v>147</v>
      </c>
      <c r="E281" s="29" t="s">
        <v>139</v>
      </c>
      <c r="F281" s="1085" t="s">
        <v>148</v>
      </c>
      <c r="G281" s="1085"/>
      <c r="H281" s="1085"/>
      <c r="I281" s="1085"/>
      <c r="J281" s="491" t="s">
        <v>142</v>
      </c>
    </row>
    <row r="282" spans="1:11">
      <c r="A282" s="496" t="s">
        <v>105</v>
      </c>
      <c r="B282" s="11">
        <v>88316</v>
      </c>
      <c r="C282" s="24" t="s">
        <v>24</v>
      </c>
      <c r="D282" s="24" t="s">
        <v>149</v>
      </c>
      <c r="E282" s="12">
        <v>8</v>
      </c>
      <c r="F282" s="24"/>
      <c r="G282" s="24"/>
      <c r="H282" s="24"/>
      <c r="I282" s="30">
        <v>21.05</v>
      </c>
      <c r="J282" s="510">
        <f>I282*E282</f>
        <v>168.4</v>
      </c>
    </row>
    <row r="283" spans="1:11">
      <c r="A283" s="1083"/>
      <c r="B283" s="1084"/>
      <c r="C283" s="1084"/>
      <c r="D283" s="1084"/>
      <c r="E283" s="1084"/>
      <c r="F283" s="1084" t="s">
        <v>150</v>
      </c>
      <c r="G283" s="1084"/>
      <c r="H283" s="1084"/>
      <c r="I283" s="1084"/>
      <c r="J283" s="511">
        <f>J282</f>
        <v>168.4</v>
      </c>
    </row>
    <row r="284" spans="1:11">
      <c r="A284" s="1083"/>
      <c r="B284" s="1084"/>
      <c r="C284" s="1084"/>
      <c r="D284" s="1084"/>
      <c r="E284" s="1084"/>
      <c r="F284" s="1084" t="s">
        <v>151</v>
      </c>
      <c r="G284" s="1084"/>
      <c r="H284" s="1084"/>
      <c r="I284" s="1084"/>
      <c r="J284" s="511">
        <v>0</v>
      </c>
    </row>
    <row r="285" spans="1:11">
      <c r="A285" s="1083"/>
      <c r="B285" s="1084"/>
      <c r="C285" s="1084"/>
      <c r="D285" s="1084"/>
      <c r="E285" s="1084"/>
      <c r="F285" s="1084" t="s">
        <v>152</v>
      </c>
      <c r="G285" s="1084"/>
      <c r="H285" s="1084"/>
      <c r="I285" s="1084"/>
      <c r="J285" s="511">
        <f>J283+J280</f>
        <v>1248.5455140000001</v>
      </c>
    </row>
    <row r="286" spans="1:11">
      <c r="A286" s="1083"/>
      <c r="B286" s="1084"/>
      <c r="C286" s="1084"/>
      <c r="D286" s="1084"/>
      <c r="E286" s="1084"/>
      <c r="F286" s="1084" t="s">
        <v>153</v>
      </c>
      <c r="G286" s="1084"/>
      <c r="H286" s="1084"/>
      <c r="I286" s="1084"/>
      <c r="J286" s="511">
        <v>2.5000000000000001E-3</v>
      </c>
    </row>
    <row r="287" spans="1:11">
      <c r="A287" s="1083"/>
      <c r="B287" s="1084"/>
      <c r="C287" s="1084"/>
      <c r="D287" s="1084"/>
      <c r="E287" s="1084"/>
      <c r="F287" s="1084" t="s">
        <v>154</v>
      </c>
      <c r="G287" s="1084"/>
      <c r="H287" s="1084"/>
      <c r="I287" s="1084"/>
      <c r="J287" s="511">
        <v>3.4200000000000001E-2</v>
      </c>
    </row>
    <row r="288" spans="1:11">
      <c r="A288" s="1083"/>
      <c r="B288" s="1084"/>
      <c r="C288" s="1084"/>
      <c r="D288" s="1084"/>
      <c r="E288" s="1084"/>
      <c r="F288" s="1084" t="s">
        <v>155</v>
      </c>
      <c r="G288" s="1084"/>
      <c r="H288" s="1084"/>
      <c r="I288" s="1084"/>
      <c r="J288" s="511">
        <v>99.6</v>
      </c>
    </row>
    <row r="289" spans="1:11">
      <c r="A289" s="1083"/>
      <c r="B289" s="1084"/>
      <c r="C289" s="1084"/>
      <c r="D289" s="1084"/>
      <c r="E289" s="1084"/>
      <c r="F289" s="1084" t="s">
        <v>156</v>
      </c>
      <c r="G289" s="1084"/>
      <c r="H289" s="1084"/>
      <c r="I289" s="1084"/>
      <c r="J289" s="511">
        <f>J285/J288</f>
        <v>12.535597530120484</v>
      </c>
    </row>
    <row r="290" spans="1:11" ht="15">
      <c r="A290" s="490" t="s">
        <v>253</v>
      </c>
      <c r="B290" s="31" t="s">
        <v>8</v>
      </c>
      <c r="C290" s="26" t="s">
        <v>7</v>
      </c>
      <c r="D290" s="26" t="s">
        <v>254</v>
      </c>
      <c r="E290" s="29" t="s">
        <v>139</v>
      </c>
      <c r="F290" s="29" t="s">
        <v>158</v>
      </c>
      <c r="G290" s="1085" t="s">
        <v>159</v>
      </c>
      <c r="H290" s="1085"/>
      <c r="I290" s="1085"/>
      <c r="J290" s="491" t="s">
        <v>142</v>
      </c>
    </row>
    <row r="291" spans="1:11" ht="25.5">
      <c r="A291" s="494" t="s">
        <v>255</v>
      </c>
      <c r="B291" s="8" t="s">
        <v>27</v>
      </c>
      <c r="C291" s="23">
        <v>6416078</v>
      </c>
      <c r="D291" s="23" t="s">
        <v>256</v>
      </c>
      <c r="E291" s="9">
        <v>1</v>
      </c>
      <c r="F291" s="8" t="s">
        <v>61</v>
      </c>
      <c r="G291" s="1088">
        <v>175.77</v>
      </c>
      <c r="H291" s="1088"/>
      <c r="I291" s="1080"/>
      <c r="J291" s="514">
        <v>175.77</v>
      </c>
    </row>
    <row r="292" spans="1:11">
      <c r="A292" s="1083"/>
      <c r="B292" s="1084"/>
      <c r="C292" s="1084"/>
      <c r="D292" s="1084"/>
      <c r="E292" s="1084"/>
      <c r="F292" s="1084" t="s">
        <v>257</v>
      </c>
      <c r="G292" s="1084"/>
      <c r="H292" s="1084"/>
      <c r="I292" s="1084"/>
      <c r="J292" s="511">
        <v>175.77</v>
      </c>
    </row>
    <row r="293" spans="1:11" ht="15">
      <c r="A293" s="490" t="s">
        <v>161</v>
      </c>
      <c r="B293" s="31" t="s">
        <v>8</v>
      </c>
      <c r="C293" s="26" t="s">
        <v>105</v>
      </c>
      <c r="D293" s="26" t="s">
        <v>162</v>
      </c>
      <c r="E293" s="29" t="s">
        <v>7</v>
      </c>
      <c r="F293" s="29" t="s">
        <v>139</v>
      </c>
      <c r="G293" s="31" t="s">
        <v>158</v>
      </c>
      <c r="H293" s="1085" t="s">
        <v>159</v>
      </c>
      <c r="I293" s="1085"/>
      <c r="J293" s="491" t="s">
        <v>142</v>
      </c>
    </row>
    <row r="294" spans="1:11" ht="38.25">
      <c r="A294" s="494" t="s">
        <v>163</v>
      </c>
      <c r="B294" s="8" t="s">
        <v>27</v>
      </c>
      <c r="C294" s="23">
        <v>6416078</v>
      </c>
      <c r="D294" s="23" t="s">
        <v>258</v>
      </c>
      <c r="E294" s="7">
        <v>5914649</v>
      </c>
      <c r="F294" s="9">
        <v>1</v>
      </c>
      <c r="G294" s="8" t="s">
        <v>61</v>
      </c>
      <c r="H294" s="1088">
        <v>7.89</v>
      </c>
      <c r="I294" s="1080"/>
      <c r="J294" s="514">
        <v>7.89</v>
      </c>
    </row>
    <row r="295" spans="1:11">
      <c r="A295" s="1083"/>
      <c r="B295" s="1084"/>
      <c r="C295" s="1084"/>
      <c r="D295" s="1084"/>
      <c r="E295" s="1084"/>
      <c r="F295" s="1084" t="s">
        <v>164</v>
      </c>
      <c r="G295" s="1084"/>
      <c r="H295" s="1084"/>
      <c r="I295" s="1084"/>
      <c r="J295" s="511">
        <v>7.89</v>
      </c>
    </row>
    <row r="296" spans="1:11" ht="15">
      <c r="A296" s="490" t="s">
        <v>165</v>
      </c>
      <c r="B296" s="31" t="s">
        <v>8</v>
      </c>
      <c r="C296" s="26" t="s">
        <v>105</v>
      </c>
      <c r="D296" s="26" t="s">
        <v>166</v>
      </c>
      <c r="E296" s="29" t="s">
        <v>139</v>
      </c>
      <c r="F296" s="29" t="s">
        <v>158</v>
      </c>
      <c r="G296" s="1089" t="s">
        <v>167</v>
      </c>
      <c r="H296" s="1085"/>
      <c r="I296" s="1085"/>
      <c r="J296" s="491" t="s">
        <v>142</v>
      </c>
    </row>
    <row r="297" spans="1:11" ht="15">
      <c r="A297" s="515"/>
      <c r="B297" s="31"/>
      <c r="C297" s="31"/>
      <c r="D297" s="31"/>
      <c r="E297" s="31"/>
      <c r="F297" s="31"/>
      <c r="G297" s="31" t="s">
        <v>168</v>
      </c>
      <c r="H297" s="31" t="s">
        <v>169</v>
      </c>
      <c r="I297" s="31" t="s">
        <v>170</v>
      </c>
      <c r="J297" s="516"/>
      <c r="K297">
        <v>237.379186072187</v>
      </c>
    </row>
    <row r="298" spans="1:11" ht="38.25">
      <c r="A298" s="494" t="s">
        <v>166</v>
      </c>
      <c r="B298" s="8" t="s">
        <v>27</v>
      </c>
      <c r="C298" s="23">
        <v>6416078</v>
      </c>
      <c r="D298" s="23" t="s">
        <v>259</v>
      </c>
      <c r="E298" s="9">
        <v>1</v>
      </c>
      <c r="F298" s="8" t="s">
        <v>171</v>
      </c>
      <c r="G298" s="7" t="s">
        <v>260</v>
      </c>
      <c r="H298" s="7" t="s">
        <v>261</v>
      </c>
      <c r="I298" s="7" t="s">
        <v>262</v>
      </c>
      <c r="J298" s="514">
        <v>0</v>
      </c>
    </row>
    <row r="299" spans="1:11">
      <c r="A299" s="1083"/>
      <c r="B299" s="1084"/>
      <c r="C299" s="1084"/>
      <c r="D299" s="1084"/>
      <c r="E299" s="1084"/>
      <c r="F299" s="1084" t="s">
        <v>172</v>
      </c>
      <c r="G299" s="1084"/>
      <c r="H299" s="1084"/>
      <c r="I299" s="1084"/>
      <c r="J299" s="511">
        <v>0</v>
      </c>
    </row>
    <row r="300" spans="1:11">
      <c r="A300" s="498"/>
      <c r="B300" s="20"/>
      <c r="C300" s="499"/>
      <c r="D300" s="499"/>
      <c r="E300" s="499" t="s">
        <v>116</v>
      </c>
      <c r="F300" s="500">
        <v>2.576590361445783</v>
      </c>
      <c r="G300" s="499" t="s">
        <v>117</v>
      </c>
      <c r="H300" s="500">
        <v>0</v>
      </c>
      <c r="I300" s="499" t="s">
        <v>118</v>
      </c>
      <c r="J300" s="501">
        <v>2.576590361445783</v>
      </c>
    </row>
    <row r="301" spans="1:11">
      <c r="A301" s="498"/>
      <c r="B301" s="20"/>
      <c r="C301" s="499"/>
      <c r="D301" s="499"/>
      <c r="E301" s="499" t="s">
        <v>119</v>
      </c>
      <c r="F301" s="500">
        <f>J301-J274</f>
        <v>41.149388542066276</v>
      </c>
      <c r="G301" s="499"/>
      <c r="H301" s="1082" t="s">
        <v>120</v>
      </c>
      <c r="I301" s="1082"/>
      <c r="J301" s="517">
        <f>J274*(1+G2)</f>
        <v>237.37918607218677</v>
      </c>
    </row>
    <row r="302" spans="1:11" ht="15" thickBot="1">
      <c r="A302" s="503"/>
      <c r="B302" s="666"/>
      <c r="C302" s="14"/>
      <c r="D302" s="14"/>
      <c r="E302" s="14"/>
      <c r="F302" s="14"/>
      <c r="G302" s="14" t="s">
        <v>121</v>
      </c>
      <c r="H302" s="504">
        <f>'OBRA 01 - MEMÓRIA'!O53</f>
        <v>444.19439999999997</v>
      </c>
      <c r="I302" s="14" t="s">
        <v>122</v>
      </c>
      <c r="J302" s="505">
        <f>TRUNC(J301*H302,2)</f>
        <v>105442.5</v>
      </c>
    </row>
    <row r="303" spans="1:11" ht="15" thickTop="1">
      <c r="A303" s="506"/>
      <c r="B303" s="230"/>
      <c r="C303" s="15"/>
      <c r="D303" s="15"/>
      <c r="E303" s="15"/>
      <c r="F303" s="15"/>
      <c r="G303" s="15"/>
      <c r="H303" s="15"/>
      <c r="I303" s="15"/>
      <c r="J303" s="507"/>
    </row>
    <row r="304" spans="1:11" ht="15">
      <c r="A304" s="490" t="s">
        <v>338</v>
      </c>
      <c r="B304" s="31" t="s">
        <v>7</v>
      </c>
      <c r="C304" s="26" t="s">
        <v>8</v>
      </c>
      <c r="D304" s="26" t="s">
        <v>9</v>
      </c>
      <c r="E304" s="1092" t="s">
        <v>92</v>
      </c>
      <c r="F304" s="1092"/>
      <c r="G304" s="31" t="s">
        <v>10</v>
      </c>
      <c r="H304" s="29" t="s">
        <v>11</v>
      </c>
      <c r="I304" s="29" t="s">
        <v>12</v>
      </c>
      <c r="J304" s="491" t="s">
        <v>14</v>
      </c>
    </row>
    <row r="305" spans="1:11" ht="25.5">
      <c r="A305" s="492" t="s">
        <v>93</v>
      </c>
      <c r="B305" s="4" t="s">
        <v>56</v>
      </c>
      <c r="C305" s="27" t="s">
        <v>24</v>
      </c>
      <c r="D305" s="27" t="s">
        <v>57</v>
      </c>
      <c r="E305" s="1079" t="s">
        <v>184</v>
      </c>
      <c r="F305" s="1079"/>
      <c r="G305" s="4" t="s">
        <v>36</v>
      </c>
      <c r="H305" s="5">
        <v>1</v>
      </c>
      <c r="I305" s="6">
        <v>2.46</v>
      </c>
      <c r="J305" s="493">
        <f>J306+J307</f>
        <v>2.4911820000000002</v>
      </c>
      <c r="K305">
        <v>3.0135828654000001</v>
      </c>
    </row>
    <row r="306" spans="1:11" ht="51">
      <c r="A306" s="494" t="s">
        <v>95</v>
      </c>
      <c r="B306" s="8" t="s">
        <v>233</v>
      </c>
      <c r="C306" s="23" t="s">
        <v>24</v>
      </c>
      <c r="D306" s="23" t="s">
        <v>234</v>
      </c>
      <c r="E306" s="1080" t="s">
        <v>125</v>
      </c>
      <c r="F306" s="1080"/>
      <c r="G306" s="8" t="s">
        <v>126</v>
      </c>
      <c r="H306" s="9">
        <v>8.3000000000000001E-3</v>
      </c>
      <c r="I306" s="10">
        <v>268.74</v>
      </c>
      <c r="J306" s="495">
        <f>I306*H306</f>
        <v>2.2305420000000002</v>
      </c>
    </row>
    <row r="307" spans="1:11" ht="51">
      <c r="A307" s="494" t="s">
        <v>95</v>
      </c>
      <c r="B307" s="8" t="s">
        <v>235</v>
      </c>
      <c r="C307" s="23" t="s">
        <v>24</v>
      </c>
      <c r="D307" s="23" t="s">
        <v>236</v>
      </c>
      <c r="E307" s="1080" t="s">
        <v>125</v>
      </c>
      <c r="F307" s="1080"/>
      <c r="G307" s="8" t="s">
        <v>129</v>
      </c>
      <c r="H307" s="9">
        <v>3.5999999999999999E-3</v>
      </c>
      <c r="I307" s="10">
        <v>72.400000000000006</v>
      </c>
      <c r="J307" s="495">
        <f>I307*H307</f>
        <v>0.26064000000000004</v>
      </c>
    </row>
    <row r="308" spans="1:11">
      <c r="A308" s="498"/>
      <c r="B308" s="20"/>
      <c r="C308" s="499"/>
      <c r="D308" s="499"/>
      <c r="E308" s="499" t="s">
        <v>116</v>
      </c>
      <c r="F308" s="500">
        <v>0.24000000000000002</v>
      </c>
      <c r="G308" s="499" t="s">
        <v>117</v>
      </c>
      <c r="H308" s="500">
        <v>0</v>
      </c>
      <c r="I308" s="499" t="s">
        <v>118</v>
      </c>
      <c r="J308" s="501">
        <v>0.24000000000000002</v>
      </c>
    </row>
    <row r="309" spans="1:11">
      <c r="A309" s="498"/>
      <c r="B309" s="20"/>
      <c r="C309" s="499"/>
      <c r="D309" s="499"/>
      <c r="E309" s="499" t="s">
        <v>119</v>
      </c>
      <c r="F309" s="500">
        <f>J309-J305</f>
        <v>0.52240086539999986</v>
      </c>
      <c r="G309" s="499"/>
      <c r="H309" s="1082" t="s">
        <v>120</v>
      </c>
      <c r="I309" s="1082"/>
      <c r="J309" s="508">
        <f>J305*(1+G2)</f>
        <v>3.0135828654000001</v>
      </c>
    </row>
    <row r="310" spans="1:11" ht="15" thickBot="1">
      <c r="A310" s="503"/>
      <c r="B310" s="666"/>
      <c r="C310" s="14"/>
      <c r="D310" s="14"/>
      <c r="E310" s="14"/>
      <c r="F310" s="14"/>
      <c r="G310" s="14" t="s">
        <v>121</v>
      </c>
      <c r="H310" s="504">
        <f>'OBRA 01 - MEMÓRIA'!O56</f>
        <v>5552.43</v>
      </c>
      <c r="I310" s="14" t="s">
        <v>122</v>
      </c>
      <c r="J310" s="505">
        <f>TRUNC(H310*J309,2)</f>
        <v>16732.7</v>
      </c>
    </row>
    <row r="311" spans="1:11" ht="15" thickTop="1">
      <c r="A311" s="506"/>
      <c r="B311" s="230"/>
      <c r="C311" s="15"/>
      <c r="D311" s="15"/>
      <c r="E311" s="15"/>
      <c r="F311" s="15"/>
      <c r="G311" s="15"/>
      <c r="H311" s="15"/>
      <c r="I311" s="15"/>
      <c r="J311" s="507"/>
    </row>
    <row r="312" spans="1:11" ht="15">
      <c r="A312" s="490" t="s">
        <v>339</v>
      </c>
      <c r="B312" s="31" t="s">
        <v>7</v>
      </c>
      <c r="C312" s="26" t="s">
        <v>8</v>
      </c>
      <c r="D312" s="26" t="s">
        <v>9</v>
      </c>
      <c r="E312" s="1092" t="s">
        <v>92</v>
      </c>
      <c r="F312" s="1092"/>
      <c r="G312" s="31" t="s">
        <v>10</v>
      </c>
      <c r="H312" s="29" t="s">
        <v>11</v>
      </c>
      <c r="I312" s="29" t="s">
        <v>12</v>
      </c>
      <c r="J312" s="491" t="s">
        <v>14</v>
      </c>
    </row>
    <row r="313" spans="1:11" ht="38.25">
      <c r="A313" s="492" t="s">
        <v>93</v>
      </c>
      <c r="B313" s="4" t="s">
        <v>64</v>
      </c>
      <c r="C313" s="27" t="s">
        <v>24</v>
      </c>
      <c r="D313" s="27" t="s">
        <v>65</v>
      </c>
      <c r="E313" s="1079" t="s">
        <v>184</v>
      </c>
      <c r="F313" s="1079"/>
      <c r="G313" s="4" t="s">
        <v>66</v>
      </c>
      <c r="H313" s="5">
        <v>1</v>
      </c>
      <c r="I313" s="6">
        <v>1.42</v>
      </c>
      <c r="J313" s="493">
        <f>SUM(J314:J315)</f>
        <v>1.425548</v>
      </c>
      <c r="K313">
        <v>1.7244854156</v>
      </c>
    </row>
    <row r="314" spans="1:11" ht="51">
      <c r="A314" s="494" t="s">
        <v>95</v>
      </c>
      <c r="B314" s="8" t="s">
        <v>271</v>
      </c>
      <c r="C314" s="23" t="s">
        <v>24</v>
      </c>
      <c r="D314" s="23" t="s">
        <v>272</v>
      </c>
      <c r="E314" s="1080" t="s">
        <v>125</v>
      </c>
      <c r="F314" s="1080"/>
      <c r="G314" s="8" t="s">
        <v>126</v>
      </c>
      <c r="H314" s="9">
        <v>2.8E-3</v>
      </c>
      <c r="I314" s="10">
        <v>468.8</v>
      </c>
      <c r="J314" s="495">
        <f>I314*H314</f>
        <v>1.31264</v>
      </c>
    </row>
    <row r="315" spans="1:11" ht="51">
      <c r="A315" s="494" t="s">
        <v>95</v>
      </c>
      <c r="B315" s="8" t="s">
        <v>273</v>
      </c>
      <c r="C315" s="23" t="s">
        <v>24</v>
      </c>
      <c r="D315" s="23" t="s">
        <v>274</v>
      </c>
      <c r="E315" s="1080" t="s">
        <v>125</v>
      </c>
      <c r="F315" s="1080"/>
      <c r="G315" s="8" t="s">
        <v>129</v>
      </c>
      <c r="H315" s="9">
        <v>1.1999999999999999E-3</v>
      </c>
      <c r="I315" s="10">
        <v>94.09</v>
      </c>
      <c r="J315" s="495">
        <f>I315*H315</f>
        <v>0.11290799999999999</v>
      </c>
    </row>
    <row r="316" spans="1:11">
      <c r="A316" s="498"/>
      <c r="B316" s="20"/>
      <c r="C316" s="499"/>
      <c r="D316" s="499"/>
      <c r="E316" s="499" t="s">
        <v>116</v>
      </c>
      <c r="F316" s="500">
        <v>0.08</v>
      </c>
      <c r="G316" s="499" t="s">
        <v>117</v>
      </c>
      <c r="H316" s="500">
        <v>0</v>
      </c>
      <c r="I316" s="499" t="s">
        <v>118</v>
      </c>
      <c r="J316" s="501">
        <v>0.08</v>
      </c>
    </row>
    <row r="317" spans="1:11">
      <c r="A317" s="498"/>
      <c r="B317" s="20"/>
      <c r="C317" s="499"/>
      <c r="D317" s="499"/>
      <c r="E317" s="499" t="s">
        <v>119</v>
      </c>
      <c r="F317" s="500">
        <f>J317-J313</f>
        <v>0.29893741559999998</v>
      </c>
      <c r="G317" s="499"/>
      <c r="H317" s="1082" t="s">
        <v>120</v>
      </c>
      <c r="I317" s="1082"/>
      <c r="J317" s="508">
        <f>J313*(1+G2)</f>
        <v>1.7244854156</v>
      </c>
    </row>
    <row r="318" spans="1:11" ht="15" thickBot="1">
      <c r="A318" s="503"/>
      <c r="B318" s="666"/>
      <c r="C318" s="14"/>
      <c r="D318" s="14"/>
      <c r="E318" s="14"/>
      <c r="F318" s="14"/>
      <c r="G318" s="14" t="s">
        <v>121</v>
      </c>
      <c r="H318" s="504">
        <f>'OBRA 01 - MEMÓRIA'!O58</f>
        <v>1053.7179556799999</v>
      </c>
      <c r="I318" s="14" t="s">
        <v>122</v>
      </c>
      <c r="J318" s="505">
        <f>TRUNC(H318*J317,2)</f>
        <v>1817.12</v>
      </c>
    </row>
    <row r="319" spans="1:11" ht="15" thickTop="1">
      <c r="A319" s="506"/>
      <c r="B319" s="230"/>
      <c r="C319" s="15"/>
      <c r="D319" s="15"/>
      <c r="E319" s="15"/>
      <c r="F319" s="15"/>
      <c r="G319" s="15"/>
      <c r="H319" s="15"/>
      <c r="I319" s="15"/>
      <c r="J319" s="507"/>
    </row>
    <row r="320" spans="1:11" ht="15">
      <c r="A320" s="490" t="s">
        <v>340</v>
      </c>
      <c r="B320" s="31" t="s">
        <v>7</v>
      </c>
      <c r="C320" s="26" t="s">
        <v>8</v>
      </c>
      <c r="D320" s="26" t="s">
        <v>9</v>
      </c>
      <c r="E320" s="1092" t="s">
        <v>92</v>
      </c>
      <c r="F320" s="1092"/>
      <c r="G320" s="31" t="s">
        <v>10</v>
      </c>
      <c r="H320" s="29" t="s">
        <v>11</v>
      </c>
      <c r="I320" s="29" t="s">
        <v>12</v>
      </c>
      <c r="J320" s="491" t="s">
        <v>14</v>
      </c>
    </row>
    <row r="321" spans="1:11" ht="38.25">
      <c r="A321" s="492" t="s">
        <v>93</v>
      </c>
      <c r="B321" s="4" t="s">
        <v>67</v>
      </c>
      <c r="C321" s="27" t="s">
        <v>24</v>
      </c>
      <c r="D321" s="27" t="s">
        <v>68</v>
      </c>
      <c r="E321" s="1079" t="s">
        <v>184</v>
      </c>
      <c r="F321" s="1079"/>
      <c r="G321" s="4" t="s">
        <v>66</v>
      </c>
      <c r="H321" s="5">
        <v>1</v>
      </c>
      <c r="I321" s="6">
        <v>0.55000000000000004</v>
      </c>
      <c r="J321" s="493">
        <f>J322+J323</f>
        <v>0.56272500000000003</v>
      </c>
      <c r="K321">
        <v>0.68072843250000004</v>
      </c>
    </row>
    <row r="322" spans="1:11" ht="51">
      <c r="A322" s="494" t="s">
        <v>95</v>
      </c>
      <c r="B322" s="8" t="s">
        <v>271</v>
      </c>
      <c r="C322" s="23" t="s">
        <v>24</v>
      </c>
      <c r="D322" s="23" t="s">
        <v>272</v>
      </c>
      <c r="E322" s="1080" t="s">
        <v>125</v>
      </c>
      <c r="F322" s="1080"/>
      <c r="G322" s="8" t="s">
        <v>126</v>
      </c>
      <c r="H322" s="9">
        <v>1.1000000000000001E-3</v>
      </c>
      <c r="I322" s="10">
        <v>468.8</v>
      </c>
      <c r="J322" s="495">
        <f>I322*H322</f>
        <v>0.51568000000000003</v>
      </c>
    </row>
    <row r="323" spans="1:11" ht="51">
      <c r="A323" s="494" t="s">
        <v>95</v>
      </c>
      <c r="B323" s="8" t="s">
        <v>273</v>
      </c>
      <c r="C323" s="23" t="s">
        <v>24</v>
      </c>
      <c r="D323" s="23" t="s">
        <v>274</v>
      </c>
      <c r="E323" s="1080" t="s">
        <v>125</v>
      </c>
      <c r="F323" s="1080"/>
      <c r="G323" s="8" t="s">
        <v>129</v>
      </c>
      <c r="H323" s="9">
        <v>5.0000000000000001E-4</v>
      </c>
      <c r="I323" s="10">
        <v>94.09</v>
      </c>
      <c r="J323" s="495">
        <f>I323*H323</f>
        <v>4.7045000000000003E-2</v>
      </c>
    </row>
    <row r="324" spans="1:11">
      <c r="A324" s="498"/>
      <c r="B324" s="20"/>
      <c r="C324" s="499"/>
      <c r="D324" s="499"/>
      <c r="E324" s="499" t="s">
        <v>116</v>
      </c>
      <c r="F324" s="500">
        <v>0.03</v>
      </c>
      <c r="G324" s="499" t="s">
        <v>117</v>
      </c>
      <c r="H324" s="500">
        <v>0</v>
      </c>
      <c r="I324" s="499" t="s">
        <v>118</v>
      </c>
      <c r="J324" s="501">
        <v>0.03</v>
      </c>
    </row>
    <row r="325" spans="1:11">
      <c r="A325" s="498"/>
      <c r="B325" s="20"/>
      <c r="C325" s="499"/>
      <c r="D325" s="499"/>
      <c r="E325" s="499" t="s">
        <v>119</v>
      </c>
      <c r="F325" s="500">
        <f>J325-J321</f>
        <v>0.11800343250000001</v>
      </c>
      <c r="G325" s="499"/>
      <c r="H325" s="1082" t="s">
        <v>120</v>
      </c>
      <c r="I325" s="1082"/>
      <c r="J325" s="508">
        <f>J321*(1+G2)</f>
        <v>0.68072843250000004</v>
      </c>
    </row>
    <row r="326" spans="1:11" ht="15" thickBot="1">
      <c r="A326" s="503"/>
      <c r="B326" s="666"/>
      <c r="C326" s="14"/>
      <c r="D326" s="14"/>
      <c r="E326" s="14"/>
      <c r="F326" s="14"/>
      <c r="G326" s="14" t="s">
        <v>121</v>
      </c>
      <c r="H326" s="504">
        <f>'OBRA 01 - MEMÓRIA'!O60</f>
        <v>16508.247972319998</v>
      </c>
      <c r="I326" s="14" t="s">
        <v>122</v>
      </c>
      <c r="J326" s="505">
        <f>TRUNC(J325*H326,2)</f>
        <v>11237.63</v>
      </c>
    </row>
    <row r="327" spans="1:11" ht="15" thickTop="1">
      <c r="A327" s="506"/>
      <c r="B327" s="230"/>
      <c r="C327" s="15"/>
      <c r="D327" s="15"/>
      <c r="E327" s="15"/>
      <c r="F327" s="15"/>
      <c r="G327" s="15"/>
      <c r="H327" s="15"/>
      <c r="I327" s="15"/>
      <c r="J327" s="507"/>
    </row>
    <row r="328" spans="1:11" ht="15">
      <c r="A328" s="490" t="s">
        <v>341</v>
      </c>
      <c r="B328" s="31" t="s">
        <v>7</v>
      </c>
      <c r="C328" s="26" t="s">
        <v>8</v>
      </c>
      <c r="D328" s="26" t="s">
        <v>9</v>
      </c>
      <c r="E328" s="1092" t="s">
        <v>92</v>
      </c>
      <c r="F328" s="1092"/>
      <c r="G328" s="31" t="s">
        <v>10</v>
      </c>
      <c r="H328" s="29" t="s">
        <v>11</v>
      </c>
      <c r="I328" s="29" t="s">
        <v>12</v>
      </c>
      <c r="J328" s="491" t="s">
        <v>14</v>
      </c>
      <c r="K328">
        <v>0.70790434300000005</v>
      </c>
    </row>
    <row r="329" spans="1:11">
      <c r="A329" s="492" t="s">
        <v>93</v>
      </c>
      <c r="B329" s="4" t="s">
        <v>69</v>
      </c>
      <c r="C329" s="27" t="s">
        <v>19</v>
      </c>
      <c r="D329" s="27" t="s">
        <v>70</v>
      </c>
      <c r="E329" s="1079" t="s">
        <v>101</v>
      </c>
      <c r="F329" s="1079"/>
      <c r="G329" s="4" t="s">
        <v>21</v>
      </c>
      <c r="H329" s="5">
        <v>1</v>
      </c>
      <c r="I329" s="6">
        <v>0.59</v>
      </c>
      <c r="J329" s="493">
        <f>J330</f>
        <v>0.58518999999999999</v>
      </c>
    </row>
    <row r="330" spans="1:11" ht="25.5">
      <c r="A330" s="494" t="s">
        <v>95</v>
      </c>
      <c r="B330" s="8" t="s">
        <v>103</v>
      </c>
      <c r="C330" s="23" t="s">
        <v>24</v>
      </c>
      <c r="D330" s="23" t="s">
        <v>104</v>
      </c>
      <c r="E330" s="1080" t="s">
        <v>101</v>
      </c>
      <c r="F330" s="1080"/>
      <c r="G330" s="8" t="s">
        <v>102</v>
      </c>
      <c r="H330" s="9">
        <v>2.7799999999999998E-2</v>
      </c>
      <c r="I330" s="10">
        <v>21.05</v>
      </c>
      <c r="J330" s="495">
        <f>I330*H330</f>
        <v>0.58518999999999999</v>
      </c>
    </row>
    <row r="331" spans="1:11">
      <c r="A331" s="498"/>
      <c r="B331" s="20"/>
      <c r="C331" s="499"/>
      <c r="D331" s="499"/>
      <c r="E331" s="499" t="s">
        <v>116</v>
      </c>
      <c r="F331" s="500">
        <f>J329-F332</f>
        <v>0.46247565700000004</v>
      </c>
      <c r="G331" s="499" t="s">
        <v>117</v>
      </c>
      <c r="H331" s="500">
        <v>0</v>
      </c>
      <c r="I331" s="499" t="s">
        <v>118</v>
      </c>
      <c r="J331" s="501">
        <v>0.42</v>
      </c>
    </row>
    <row r="332" spans="1:11">
      <c r="A332" s="498"/>
      <c r="B332" s="20"/>
      <c r="C332" s="499"/>
      <c r="D332" s="499"/>
      <c r="E332" s="499" t="s">
        <v>119</v>
      </c>
      <c r="F332" s="500">
        <f>J332-J329</f>
        <v>0.12271434299999995</v>
      </c>
      <c r="G332" s="499"/>
      <c r="H332" s="1082" t="s">
        <v>120</v>
      </c>
      <c r="I332" s="1082"/>
      <c r="J332" s="521">
        <f>J329*(1+G2)</f>
        <v>0.70790434299999994</v>
      </c>
    </row>
    <row r="333" spans="1:11" ht="15" thickBot="1">
      <c r="A333" s="503"/>
      <c r="B333" s="666"/>
      <c r="C333" s="14"/>
      <c r="D333" s="14"/>
      <c r="E333" s="14"/>
      <c r="F333" s="14"/>
      <c r="G333" s="14" t="s">
        <v>121</v>
      </c>
      <c r="H333" s="504">
        <f>'OBRA 01 - MEMÓRIA'!O62</f>
        <v>3701.62</v>
      </c>
      <c r="I333" s="14" t="s">
        <v>122</v>
      </c>
      <c r="J333" s="505">
        <f>TRUNC(H333*J332,2)</f>
        <v>2620.39</v>
      </c>
    </row>
    <row r="334" spans="1:11" ht="15" thickTop="1">
      <c r="A334" s="506"/>
      <c r="B334" s="230"/>
      <c r="C334" s="15"/>
      <c r="D334" s="15"/>
      <c r="E334" s="15"/>
      <c r="F334" s="15"/>
      <c r="G334" s="15"/>
      <c r="H334" s="15"/>
      <c r="I334" s="15"/>
      <c r="J334" s="507"/>
      <c r="K334" s="78">
        <v>3463.3232939999998</v>
      </c>
    </row>
    <row r="335" spans="1:11" ht="15">
      <c r="A335" s="490" t="s">
        <v>342</v>
      </c>
      <c r="B335" s="31" t="s">
        <v>7</v>
      </c>
      <c r="C335" s="26" t="s">
        <v>8</v>
      </c>
      <c r="D335" s="26" t="s">
        <v>9</v>
      </c>
      <c r="E335" s="1092" t="s">
        <v>92</v>
      </c>
      <c r="F335" s="1092"/>
      <c r="G335" s="31" t="s">
        <v>10</v>
      </c>
      <c r="H335" s="29" t="s">
        <v>11</v>
      </c>
      <c r="I335" s="29" t="s">
        <v>12</v>
      </c>
      <c r="J335" s="491" t="s">
        <v>14</v>
      </c>
    </row>
    <row r="336" spans="1:11">
      <c r="A336" s="522" t="s">
        <v>105</v>
      </c>
      <c r="B336" s="17" t="s">
        <v>303</v>
      </c>
      <c r="C336" s="28" t="s">
        <v>303</v>
      </c>
      <c r="D336" s="28" t="s">
        <v>304</v>
      </c>
      <c r="E336" s="1099" t="s">
        <v>108</v>
      </c>
      <c r="F336" s="1099"/>
      <c r="G336" s="17" t="s">
        <v>61</v>
      </c>
      <c r="H336" s="18">
        <v>1</v>
      </c>
      <c r="I336" s="19">
        <v>3037.47</v>
      </c>
      <c r="J336" s="523">
        <f>I336*H336</f>
        <v>3037.47</v>
      </c>
    </row>
    <row r="337" spans="1:11">
      <c r="A337" s="498"/>
      <c r="B337" s="20"/>
      <c r="C337" s="499"/>
      <c r="D337" s="499"/>
      <c r="E337" s="499" t="s">
        <v>116</v>
      </c>
      <c r="F337" s="500">
        <v>0</v>
      </c>
      <c r="G337" s="499" t="s">
        <v>117</v>
      </c>
      <c r="H337" s="500">
        <v>0</v>
      </c>
      <c r="I337" s="499" t="s">
        <v>118</v>
      </c>
      <c r="J337" s="501">
        <v>0</v>
      </c>
    </row>
    <row r="338" spans="1:11">
      <c r="A338" s="498"/>
      <c r="B338" s="20"/>
      <c r="C338" s="499"/>
      <c r="D338" s="499"/>
      <c r="E338" s="499" t="s">
        <v>119</v>
      </c>
      <c r="F338" s="500">
        <f>J338-J336</f>
        <v>425.85329400000046</v>
      </c>
      <c r="G338" s="499"/>
      <c r="H338" s="1082" t="s">
        <v>120</v>
      </c>
      <c r="I338" s="1082"/>
      <c r="J338" s="524">
        <f>J336*(1+H2)</f>
        <v>3463.3232940000003</v>
      </c>
    </row>
    <row r="339" spans="1:11" ht="15" thickBot="1">
      <c r="A339" s="503"/>
      <c r="B339" s="666"/>
      <c r="C339" s="14"/>
      <c r="D339" s="14"/>
      <c r="E339" s="14"/>
      <c r="F339" s="14"/>
      <c r="G339" s="14" t="s">
        <v>121</v>
      </c>
      <c r="H339" s="504">
        <f>'OBRA 01 - MEMÓRIA'!O64</f>
        <v>1.665729</v>
      </c>
      <c r="I339" s="14" t="s">
        <v>122</v>
      </c>
      <c r="J339" s="505">
        <f>TRUNC(J338*H339,2)</f>
        <v>5768.95</v>
      </c>
    </row>
    <row r="340" spans="1:11" ht="15" thickTop="1">
      <c r="A340" s="506"/>
      <c r="B340" s="230"/>
      <c r="C340" s="15"/>
      <c r="D340" s="15"/>
      <c r="E340" s="15"/>
      <c r="F340" s="15"/>
      <c r="G340" s="15"/>
      <c r="H340" s="15"/>
      <c r="I340" s="15"/>
      <c r="J340" s="507"/>
      <c r="K340" s="78">
        <v>2913.0285680000002</v>
      </c>
    </row>
    <row r="341" spans="1:11" ht="15">
      <c r="A341" s="490" t="s">
        <v>343</v>
      </c>
      <c r="B341" s="31" t="s">
        <v>7</v>
      </c>
      <c r="C341" s="26" t="s">
        <v>8</v>
      </c>
      <c r="D341" s="26" t="s">
        <v>9</v>
      </c>
      <c r="E341" s="1092" t="s">
        <v>92</v>
      </c>
      <c r="F341" s="1092"/>
      <c r="G341" s="31" t="s">
        <v>10</v>
      </c>
      <c r="H341" s="29" t="s">
        <v>11</v>
      </c>
      <c r="I341" s="29" t="s">
        <v>12</v>
      </c>
      <c r="J341" s="491" t="s">
        <v>14</v>
      </c>
    </row>
    <row r="342" spans="1:11">
      <c r="A342" s="522" t="s">
        <v>105</v>
      </c>
      <c r="B342" s="17" t="s">
        <v>303</v>
      </c>
      <c r="C342" s="28" t="s">
        <v>303</v>
      </c>
      <c r="D342" s="28" t="s">
        <v>305</v>
      </c>
      <c r="E342" s="1099" t="s">
        <v>108</v>
      </c>
      <c r="F342" s="1099"/>
      <c r="G342" s="17" t="s">
        <v>61</v>
      </c>
      <c r="H342" s="18">
        <v>1</v>
      </c>
      <c r="I342" s="19">
        <v>2554.84</v>
      </c>
      <c r="J342" s="523">
        <f>I342*H342</f>
        <v>2554.84</v>
      </c>
    </row>
    <row r="343" spans="1:11">
      <c r="A343" s="498"/>
      <c r="B343" s="20"/>
      <c r="C343" s="499"/>
      <c r="D343" s="499"/>
      <c r="E343" s="499" t="s">
        <v>116</v>
      </c>
      <c r="F343" s="500">
        <v>0</v>
      </c>
      <c r="G343" s="499" t="s">
        <v>117</v>
      </c>
      <c r="H343" s="500">
        <v>0</v>
      </c>
      <c r="I343" s="499" t="s">
        <v>118</v>
      </c>
      <c r="J343" s="501">
        <v>0</v>
      </c>
    </row>
    <row r="344" spans="1:11">
      <c r="A344" s="498"/>
      <c r="B344" s="20"/>
      <c r="C344" s="499"/>
      <c r="D344" s="499"/>
      <c r="E344" s="499" t="s">
        <v>119</v>
      </c>
      <c r="F344" s="500">
        <f>J344-J342</f>
        <v>358.18856800000049</v>
      </c>
      <c r="G344" s="499"/>
      <c r="H344" s="1082" t="s">
        <v>120</v>
      </c>
      <c r="I344" s="1082"/>
      <c r="J344" s="524">
        <f>J342*(1+H2)</f>
        <v>2913.0285680000006</v>
      </c>
    </row>
    <row r="345" spans="1:11" ht="15" thickBot="1">
      <c r="A345" s="503"/>
      <c r="B345" s="666"/>
      <c r="C345" s="14"/>
      <c r="D345" s="14"/>
      <c r="E345" s="14"/>
      <c r="F345" s="14"/>
      <c r="G345" s="14" t="s">
        <v>121</v>
      </c>
      <c r="H345" s="504">
        <f>'OBRA 01 - MEMÓRIA'!O66</f>
        <v>4.812106</v>
      </c>
      <c r="I345" s="14" t="s">
        <v>122</v>
      </c>
      <c r="J345" s="505">
        <f>TRUNC(J344*H345,2)</f>
        <v>14017.8</v>
      </c>
    </row>
    <row r="346" spans="1:11" ht="15" thickTop="1">
      <c r="A346" s="506"/>
      <c r="B346" s="230"/>
      <c r="C346" s="15"/>
      <c r="D346" s="15"/>
      <c r="E346" s="15"/>
      <c r="F346" s="15"/>
      <c r="G346" s="15"/>
      <c r="H346" s="15"/>
      <c r="I346" s="15"/>
      <c r="J346" s="507"/>
      <c r="K346" s="78">
        <v>4593.341308</v>
      </c>
    </row>
    <row r="347" spans="1:11" ht="15">
      <c r="A347" s="490" t="s">
        <v>344</v>
      </c>
      <c r="B347" s="31" t="s">
        <v>7</v>
      </c>
      <c r="C347" s="26" t="s">
        <v>8</v>
      </c>
      <c r="D347" s="26" t="s">
        <v>9</v>
      </c>
      <c r="E347" s="1092" t="s">
        <v>92</v>
      </c>
      <c r="F347" s="1092"/>
      <c r="G347" s="31" t="s">
        <v>10</v>
      </c>
      <c r="H347" s="29" t="s">
        <v>11</v>
      </c>
      <c r="I347" s="29" t="s">
        <v>12</v>
      </c>
      <c r="J347" s="491" t="s">
        <v>14</v>
      </c>
    </row>
    <row r="348" spans="1:11">
      <c r="A348" s="522" t="s">
        <v>105</v>
      </c>
      <c r="B348" s="17" t="s">
        <v>303</v>
      </c>
      <c r="C348" s="28" t="s">
        <v>303</v>
      </c>
      <c r="D348" s="28" t="s">
        <v>310</v>
      </c>
      <c r="E348" s="1099" t="s">
        <v>108</v>
      </c>
      <c r="F348" s="1099"/>
      <c r="G348" s="17" t="s">
        <v>61</v>
      </c>
      <c r="H348" s="18">
        <v>1</v>
      </c>
      <c r="I348" s="19">
        <v>4028.54</v>
      </c>
      <c r="J348" s="523">
        <f>I348*H348</f>
        <v>4028.54</v>
      </c>
    </row>
    <row r="349" spans="1:11">
      <c r="A349" s="498"/>
      <c r="B349" s="20"/>
      <c r="C349" s="499"/>
      <c r="D349" s="499"/>
      <c r="E349" s="499" t="s">
        <v>116</v>
      </c>
      <c r="F349" s="500">
        <v>0</v>
      </c>
      <c r="G349" s="499" t="s">
        <v>117</v>
      </c>
      <c r="H349" s="500">
        <v>0</v>
      </c>
      <c r="I349" s="499" t="s">
        <v>118</v>
      </c>
      <c r="J349" s="501">
        <v>0</v>
      </c>
    </row>
    <row r="350" spans="1:11">
      <c r="A350" s="498"/>
      <c r="B350" s="20"/>
      <c r="C350" s="499"/>
      <c r="D350" s="499"/>
      <c r="E350" s="499" t="s">
        <v>119</v>
      </c>
      <c r="F350" s="500">
        <f>J350-J348</f>
        <v>564.80130800000006</v>
      </c>
      <c r="G350" s="499"/>
      <c r="H350" s="1082" t="s">
        <v>120</v>
      </c>
      <c r="I350" s="1082"/>
      <c r="J350" s="524">
        <f>J348*(1+H2)</f>
        <v>4593.341308</v>
      </c>
    </row>
    <row r="351" spans="1:11" ht="15" thickBot="1">
      <c r="A351" s="503"/>
      <c r="B351" s="666"/>
      <c r="C351" s="14"/>
      <c r="D351" s="14"/>
      <c r="E351" s="14"/>
      <c r="F351" s="14"/>
      <c r="G351" s="14" t="s">
        <v>121</v>
      </c>
      <c r="H351" s="504">
        <f>'OBRA 01 - MEMÓRIA'!O68</f>
        <v>28.646096856</v>
      </c>
      <c r="I351" s="14" t="s">
        <v>122</v>
      </c>
      <c r="J351" s="505">
        <f>TRUNC(J350*H351,2)</f>
        <v>131581.29999999999</v>
      </c>
    </row>
    <row r="352" spans="1:11" ht="15" thickTop="1">
      <c r="A352" s="506"/>
      <c r="B352" s="230"/>
      <c r="C352" s="15"/>
      <c r="D352" s="15"/>
      <c r="E352" s="15"/>
      <c r="F352" s="15"/>
      <c r="G352" s="15"/>
      <c r="H352" s="15"/>
      <c r="I352" s="15"/>
      <c r="J352" s="507"/>
    </row>
    <row r="353" spans="1:11">
      <c r="A353" s="518" t="s">
        <v>71</v>
      </c>
      <c r="B353" s="229"/>
      <c r="C353" s="25"/>
      <c r="D353" s="25" t="s">
        <v>72</v>
      </c>
      <c r="E353" s="25"/>
      <c r="F353" s="1090"/>
      <c r="G353" s="1090"/>
      <c r="H353" s="1"/>
      <c r="I353" s="25"/>
      <c r="J353" s="519">
        <f>J363+J375</f>
        <v>147103.51</v>
      </c>
    </row>
    <row r="354" spans="1:11" ht="15">
      <c r="A354" s="490" t="s">
        <v>73</v>
      </c>
      <c r="B354" s="31" t="s">
        <v>7</v>
      </c>
      <c r="C354" s="26" t="s">
        <v>8</v>
      </c>
      <c r="D354" s="26" t="s">
        <v>9</v>
      </c>
      <c r="E354" s="1092" t="s">
        <v>92</v>
      </c>
      <c r="F354" s="1092"/>
      <c r="G354" s="31" t="s">
        <v>10</v>
      </c>
      <c r="H354" s="29" t="s">
        <v>11</v>
      </c>
      <c r="I354" s="29" t="s">
        <v>12</v>
      </c>
      <c r="J354" s="491" t="s">
        <v>14</v>
      </c>
    </row>
    <row r="355" spans="1:11" ht="51">
      <c r="A355" s="492" t="s">
        <v>93</v>
      </c>
      <c r="B355" s="4" t="s">
        <v>74</v>
      </c>
      <c r="C355" s="27" t="s">
        <v>24</v>
      </c>
      <c r="D355" s="27" t="s">
        <v>75</v>
      </c>
      <c r="E355" s="1079" t="s">
        <v>275</v>
      </c>
      <c r="F355" s="1079"/>
      <c r="G355" s="4" t="s">
        <v>76</v>
      </c>
      <c r="H355" s="5">
        <v>1</v>
      </c>
      <c r="I355" s="6">
        <v>54.54</v>
      </c>
      <c r="J355" s="509">
        <f>SUM(J356:J360)</f>
        <v>50.003387999999994</v>
      </c>
    </row>
    <row r="356" spans="1:11" ht="25.5">
      <c r="A356" s="494" t="s">
        <v>95</v>
      </c>
      <c r="B356" s="8" t="s">
        <v>130</v>
      </c>
      <c r="C356" s="23" t="s">
        <v>24</v>
      </c>
      <c r="D356" s="23" t="s">
        <v>131</v>
      </c>
      <c r="E356" s="1080" t="s">
        <v>101</v>
      </c>
      <c r="F356" s="1080"/>
      <c r="G356" s="8" t="s">
        <v>102</v>
      </c>
      <c r="H356" s="9">
        <v>0.2296</v>
      </c>
      <c r="I356" s="10">
        <v>26.5</v>
      </c>
      <c r="J356" s="495">
        <f>I356*H356</f>
        <v>6.0843999999999996</v>
      </c>
    </row>
    <row r="357" spans="1:11" ht="25.5">
      <c r="A357" s="494" t="s">
        <v>95</v>
      </c>
      <c r="B357" s="8" t="s">
        <v>103</v>
      </c>
      <c r="C357" s="23" t="s">
        <v>24</v>
      </c>
      <c r="D357" s="23" t="s">
        <v>104</v>
      </c>
      <c r="E357" s="1080" t="s">
        <v>101</v>
      </c>
      <c r="F357" s="1080"/>
      <c r="G357" s="8" t="s">
        <v>102</v>
      </c>
      <c r="H357" s="9">
        <v>0.2296</v>
      </c>
      <c r="I357" s="10">
        <v>21.05</v>
      </c>
      <c r="J357" s="495">
        <f t="shared" ref="J357:J360" si="12">I357*H357</f>
        <v>4.8330799999999998</v>
      </c>
    </row>
    <row r="358" spans="1:11" ht="25.5">
      <c r="A358" s="494" t="s">
        <v>95</v>
      </c>
      <c r="B358" s="8" t="s">
        <v>276</v>
      </c>
      <c r="C358" s="23" t="s">
        <v>24</v>
      </c>
      <c r="D358" s="23" t="s">
        <v>277</v>
      </c>
      <c r="E358" s="1080" t="s">
        <v>101</v>
      </c>
      <c r="F358" s="1080"/>
      <c r="G358" s="8" t="s">
        <v>28</v>
      </c>
      <c r="H358" s="9">
        <v>1.8E-3</v>
      </c>
      <c r="I358" s="10">
        <v>657.56</v>
      </c>
      <c r="J358" s="495">
        <f t="shared" si="12"/>
        <v>1.1836079999999998</v>
      </c>
      <c r="K358">
        <v>60.489098463600001</v>
      </c>
    </row>
    <row r="359" spans="1:11" ht="25.5">
      <c r="A359" s="520" t="s">
        <v>105</v>
      </c>
      <c r="B359" s="227" t="s">
        <v>243</v>
      </c>
      <c r="C359" s="226" t="s">
        <v>24</v>
      </c>
      <c r="D359" s="226" t="s">
        <v>244</v>
      </c>
      <c r="E359" s="1098" t="s">
        <v>108</v>
      </c>
      <c r="F359" s="1098"/>
      <c r="G359" s="227" t="s">
        <v>28</v>
      </c>
      <c r="H359" s="228">
        <v>6.6E-3</v>
      </c>
      <c r="I359" s="175">
        <v>130</v>
      </c>
      <c r="J359" s="497">
        <f t="shared" si="12"/>
        <v>0.85799999999999998</v>
      </c>
    </row>
    <row r="360" spans="1:11" ht="25.5">
      <c r="A360" s="520" t="s">
        <v>105</v>
      </c>
      <c r="B360" s="227" t="s">
        <v>278</v>
      </c>
      <c r="C360" s="226" t="s">
        <v>24</v>
      </c>
      <c r="D360" s="226" t="s">
        <v>279</v>
      </c>
      <c r="E360" s="1098" t="s">
        <v>108</v>
      </c>
      <c r="F360" s="1098"/>
      <c r="G360" s="227" t="s">
        <v>76</v>
      </c>
      <c r="H360" s="228">
        <v>1.0049999999999999</v>
      </c>
      <c r="I360" s="175">
        <v>36.86</v>
      </c>
      <c r="J360" s="497">
        <f t="shared" si="12"/>
        <v>37.044299999999993</v>
      </c>
    </row>
    <row r="361" spans="1:11">
      <c r="A361" s="498"/>
      <c r="B361" s="20"/>
      <c r="C361" s="499"/>
      <c r="D361" s="499"/>
      <c r="E361" s="499" t="s">
        <v>116</v>
      </c>
      <c r="F361" s="500">
        <v>8.69</v>
      </c>
      <c r="G361" s="499" t="s">
        <v>117</v>
      </c>
      <c r="H361" s="500">
        <v>0</v>
      </c>
      <c r="I361" s="499" t="s">
        <v>118</v>
      </c>
      <c r="J361" s="501">
        <v>8.69</v>
      </c>
    </row>
    <row r="362" spans="1:11">
      <c r="A362" s="498"/>
      <c r="B362" s="20"/>
      <c r="C362" s="499"/>
      <c r="D362" s="499"/>
      <c r="E362" s="499" t="s">
        <v>119</v>
      </c>
      <c r="F362" s="500">
        <f>J362-J355</f>
        <v>10.4857104636</v>
      </c>
      <c r="G362" s="499"/>
      <c r="H362" s="1082" t="s">
        <v>120</v>
      </c>
      <c r="I362" s="1082"/>
      <c r="J362" s="508">
        <f>J355*(1+G2)</f>
        <v>60.489098463599994</v>
      </c>
    </row>
    <row r="363" spans="1:11" ht="15" thickBot="1">
      <c r="A363" s="503"/>
      <c r="B363" s="666"/>
      <c r="C363" s="14"/>
      <c r="D363" s="14"/>
      <c r="E363" s="14"/>
      <c r="F363" s="14"/>
      <c r="G363" s="14" t="s">
        <v>121</v>
      </c>
      <c r="H363" s="504">
        <f>'OBRA 01 - MEMÓRIA'!O71</f>
        <v>1392.43</v>
      </c>
      <c r="I363" s="14" t="s">
        <v>122</v>
      </c>
      <c r="J363" s="505">
        <f>TRUNC(J362*H363,2)</f>
        <v>84226.83</v>
      </c>
    </row>
    <row r="364" spans="1:11" ht="15" thickTop="1">
      <c r="A364" s="506"/>
      <c r="B364" s="230"/>
      <c r="C364" s="15"/>
      <c r="D364" s="15"/>
      <c r="E364" s="15"/>
      <c r="F364" s="15"/>
      <c r="G364" s="15"/>
      <c r="H364" s="15"/>
      <c r="I364" s="15"/>
      <c r="J364" s="507"/>
    </row>
    <row r="365" spans="1:11" ht="15">
      <c r="A365" s="490" t="s">
        <v>77</v>
      </c>
      <c r="B365" s="31" t="s">
        <v>7</v>
      </c>
      <c r="C365" s="26" t="s">
        <v>8</v>
      </c>
      <c r="D365" s="26" t="s">
        <v>9</v>
      </c>
      <c r="E365" s="1092" t="s">
        <v>92</v>
      </c>
      <c r="F365" s="1092"/>
      <c r="G365" s="31" t="s">
        <v>10</v>
      </c>
      <c r="H365" s="29" t="s">
        <v>11</v>
      </c>
      <c r="I365" s="29" t="s">
        <v>12</v>
      </c>
      <c r="J365" s="491" t="s">
        <v>14</v>
      </c>
    </row>
    <row r="366" spans="1:11" ht="25.5">
      <c r="A366" s="492" t="s">
        <v>93</v>
      </c>
      <c r="B366" s="4" t="s">
        <v>78</v>
      </c>
      <c r="C366" s="27" t="s">
        <v>24</v>
      </c>
      <c r="D366" s="27" t="s">
        <v>79</v>
      </c>
      <c r="E366" s="1079" t="s">
        <v>275</v>
      </c>
      <c r="F366" s="1079"/>
      <c r="G366" s="4" t="s">
        <v>76</v>
      </c>
      <c r="H366" s="5">
        <v>1</v>
      </c>
      <c r="I366" s="6">
        <v>40.520000000000003</v>
      </c>
      <c r="J366" s="509">
        <f>SUM(J367:J372)</f>
        <v>41.651311</v>
      </c>
    </row>
    <row r="367" spans="1:11" ht="25.5">
      <c r="A367" s="494" t="s">
        <v>95</v>
      </c>
      <c r="B367" s="8" t="s">
        <v>130</v>
      </c>
      <c r="C367" s="23" t="s">
        <v>24</v>
      </c>
      <c r="D367" s="23" t="s">
        <v>131</v>
      </c>
      <c r="E367" s="1080" t="s">
        <v>101</v>
      </c>
      <c r="F367" s="1080"/>
      <c r="G367" s="8" t="s">
        <v>102</v>
      </c>
      <c r="H367" s="9">
        <v>0.23799999999999999</v>
      </c>
      <c r="I367" s="10">
        <v>26.5</v>
      </c>
      <c r="J367" s="495">
        <f>I367*H367</f>
        <v>6.3069999999999995</v>
      </c>
    </row>
    <row r="368" spans="1:11" ht="25.5">
      <c r="A368" s="494" t="s">
        <v>95</v>
      </c>
      <c r="B368" s="8" t="s">
        <v>103</v>
      </c>
      <c r="C368" s="23" t="s">
        <v>24</v>
      </c>
      <c r="D368" s="23" t="s">
        <v>104</v>
      </c>
      <c r="E368" s="1080" t="s">
        <v>101</v>
      </c>
      <c r="F368" s="1080"/>
      <c r="G368" s="8" t="s">
        <v>102</v>
      </c>
      <c r="H368" s="9">
        <v>0.23799999999999999</v>
      </c>
      <c r="I368" s="10">
        <v>21.05</v>
      </c>
      <c r="J368" s="495">
        <f t="shared" ref="J368:J372" si="13">I368*H368</f>
        <v>5.0099</v>
      </c>
    </row>
    <row r="369" spans="1:11" ht="25.5">
      <c r="A369" s="520" t="s">
        <v>105</v>
      </c>
      <c r="B369" s="227" t="s">
        <v>243</v>
      </c>
      <c r="C369" s="226" t="s">
        <v>24</v>
      </c>
      <c r="D369" s="226" t="s">
        <v>244</v>
      </c>
      <c r="E369" s="1098" t="s">
        <v>108</v>
      </c>
      <c r="F369" s="1098"/>
      <c r="G369" s="227" t="s">
        <v>28</v>
      </c>
      <c r="H369" s="228">
        <v>1.49E-2</v>
      </c>
      <c r="I369" s="175">
        <v>130</v>
      </c>
      <c r="J369" s="497">
        <f t="shared" si="13"/>
        <v>1.9370000000000001</v>
      </c>
    </row>
    <row r="370" spans="1:11" ht="25.5">
      <c r="A370" s="520" t="s">
        <v>105</v>
      </c>
      <c r="B370" s="227" t="s">
        <v>280</v>
      </c>
      <c r="C370" s="226" t="s">
        <v>24</v>
      </c>
      <c r="D370" s="226" t="s">
        <v>281</v>
      </c>
      <c r="E370" s="1098" t="s">
        <v>108</v>
      </c>
      <c r="F370" s="1098"/>
      <c r="G370" s="227" t="s">
        <v>76</v>
      </c>
      <c r="H370" s="228">
        <v>0.2</v>
      </c>
      <c r="I370" s="175">
        <v>3.73</v>
      </c>
      <c r="J370" s="497">
        <f t="shared" si="13"/>
        <v>0.746</v>
      </c>
      <c r="K370">
        <v>50.385590916699996</v>
      </c>
    </row>
    <row r="371" spans="1:11" ht="25.5">
      <c r="A371" s="520" t="s">
        <v>105</v>
      </c>
      <c r="B371" s="227" t="s">
        <v>282</v>
      </c>
      <c r="C371" s="226" t="s">
        <v>24</v>
      </c>
      <c r="D371" s="226" t="s">
        <v>283</v>
      </c>
      <c r="E371" s="1098" t="s">
        <v>108</v>
      </c>
      <c r="F371" s="1098"/>
      <c r="G371" s="227" t="s">
        <v>76</v>
      </c>
      <c r="H371" s="228">
        <v>8.3299999999999999E-2</v>
      </c>
      <c r="I371" s="175">
        <v>17.670000000000002</v>
      </c>
      <c r="J371" s="497">
        <f t="shared" si="13"/>
        <v>1.4719110000000002</v>
      </c>
    </row>
    <row r="372" spans="1:11" ht="38.25">
      <c r="A372" s="520" t="s">
        <v>105</v>
      </c>
      <c r="B372" s="227" t="s">
        <v>284</v>
      </c>
      <c r="C372" s="226" t="s">
        <v>24</v>
      </c>
      <c r="D372" s="226" t="s">
        <v>285</v>
      </c>
      <c r="E372" s="1098" t="s">
        <v>108</v>
      </c>
      <c r="F372" s="1098"/>
      <c r="G372" s="227" t="s">
        <v>28</v>
      </c>
      <c r="H372" s="228">
        <v>5.6300000000000003E-2</v>
      </c>
      <c r="I372" s="175">
        <v>465</v>
      </c>
      <c r="J372" s="497">
        <f t="shared" si="13"/>
        <v>26.179500000000001</v>
      </c>
    </row>
    <row r="373" spans="1:11">
      <c r="A373" s="498"/>
      <c r="B373" s="20"/>
      <c r="C373" s="499"/>
      <c r="D373" s="499"/>
      <c r="E373" s="499" t="s">
        <v>116</v>
      </c>
      <c r="F373" s="500">
        <v>8.77</v>
      </c>
      <c r="G373" s="499" t="s">
        <v>117</v>
      </c>
      <c r="H373" s="500">
        <v>0</v>
      </c>
      <c r="I373" s="499" t="s">
        <v>118</v>
      </c>
      <c r="J373" s="501">
        <v>8.77</v>
      </c>
    </row>
    <row r="374" spans="1:11">
      <c r="A374" s="498"/>
      <c r="B374" s="20"/>
      <c r="C374" s="499"/>
      <c r="D374" s="499"/>
      <c r="E374" s="499" t="s">
        <v>119</v>
      </c>
      <c r="F374" s="500">
        <f>J374-J366</f>
        <v>8.7342799166999967</v>
      </c>
      <c r="G374" s="499"/>
      <c r="H374" s="1082" t="s">
        <v>120</v>
      </c>
      <c r="I374" s="1082"/>
      <c r="J374" s="508">
        <f>J366*(1+G2)</f>
        <v>50.385590916699996</v>
      </c>
    </row>
    <row r="375" spans="1:11" ht="15" thickBot="1">
      <c r="A375" s="503"/>
      <c r="B375" s="666"/>
      <c r="C375" s="14"/>
      <c r="D375" s="14"/>
      <c r="E375" s="14"/>
      <c r="F375" s="14"/>
      <c r="G375" s="14" t="s">
        <v>121</v>
      </c>
      <c r="H375" s="504">
        <f>'OBRA 01 - MEMÓRIA'!O77</f>
        <v>1247.9099999999999</v>
      </c>
      <c r="I375" s="14" t="s">
        <v>122</v>
      </c>
      <c r="J375" s="505">
        <f>TRUNC(J374*H375,2)</f>
        <v>62876.68</v>
      </c>
    </row>
    <row r="376" spans="1:11" ht="15" thickTop="1">
      <c r="A376" s="506"/>
      <c r="B376" s="230"/>
      <c r="C376" s="15"/>
      <c r="D376" s="15"/>
      <c r="E376" s="15"/>
      <c r="F376" s="15"/>
      <c r="G376" s="15"/>
      <c r="H376" s="15"/>
      <c r="I376" s="15"/>
      <c r="J376" s="507"/>
    </row>
    <row r="377" spans="1:11">
      <c r="A377" s="518" t="s">
        <v>80</v>
      </c>
      <c r="B377" s="229"/>
      <c r="C377" s="25"/>
      <c r="D377" s="25" t="s">
        <v>81</v>
      </c>
      <c r="E377" s="25"/>
      <c r="F377" s="1090"/>
      <c r="G377" s="1090"/>
      <c r="H377" s="1"/>
      <c r="I377" s="25"/>
      <c r="J377" s="519">
        <f>J391+J401+J409</f>
        <v>160267.61000000002</v>
      </c>
      <c r="K377" s="78"/>
    </row>
    <row r="378" spans="1:11" ht="15">
      <c r="A378" s="490" t="s">
        <v>372</v>
      </c>
      <c r="B378" s="31" t="s">
        <v>7</v>
      </c>
      <c r="C378" s="26" t="s">
        <v>8</v>
      </c>
      <c r="D378" s="26" t="s">
        <v>9</v>
      </c>
      <c r="E378" s="1092" t="s">
        <v>92</v>
      </c>
      <c r="F378" s="1092"/>
      <c r="G378" s="31" t="s">
        <v>10</v>
      </c>
      <c r="H378" s="29" t="s">
        <v>11</v>
      </c>
      <c r="I378" s="29" t="s">
        <v>12</v>
      </c>
      <c r="J378" s="491" t="s">
        <v>14</v>
      </c>
    </row>
    <row r="379" spans="1:11" ht="25.5">
      <c r="A379" s="492" t="s">
        <v>93</v>
      </c>
      <c r="B379" s="4" t="s">
        <v>82</v>
      </c>
      <c r="C379" s="27" t="s">
        <v>24</v>
      </c>
      <c r="D379" s="27" t="s">
        <v>83</v>
      </c>
      <c r="E379" s="1079" t="s">
        <v>204</v>
      </c>
      <c r="F379" s="1079"/>
      <c r="G379" s="4" t="s">
        <v>21</v>
      </c>
      <c r="H379" s="5">
        <v>1</v>
      </c>
      <c r="I379" s="6">
        <v>82.46</v>
      </c>
      <c r="J379" s="509">
        <f>SUM(J380:J388)</f>
        <v>81.545006000000001</v>
      </c>
    </row>
    <row r="380" spans="1:11" ht="25.5">
      <c r="A380" s="494" t="s">
        <v>95</v>
      </c>
      <c r="B380" s="8" t="s">
        <v>237</v>
      </c>
      <c r="C380" s="23" t="s">
        <v>24</v>
      </c>
      <c r="D380" s="23" t="s">
        <v>238</v>
      </c>
      <c r="E380" s="1080" t="s">
        <v>101</v>
      </c>
      <c r="F380" s="1080"/>
      <c r="G380" s="8" t="s">
        <v>102</v>
      </c>
      <c r="H380" s="9">
        <v>0.3725</v>
      </c>
      <c r="I380" s="10">
        <v>26.26</v>
      </c>
      <c r="J380" s="495">
        <f>I380*H380</f>
        <v>9.7818500000000004</v>
      </c>
    </row>
    <row r="381" spans="1:11" ht="25.5">
      <c r="A381" s="494" t="s">
        <v>95</v>
      </c>
      <c r="B381" s="8" t="s">
        <v>103</v>
      </c>
      <c r="C381" s="23" t="s">
        <v>24</v>
      </c>
      <c r="D381" s="23" t="s">
        <v>104</v>
      </c>
      <c r="E381" s="1080" t="s">
        <v>101</v>
      </c>
      <c r="F381" s="1080"/>
      <c r="G381" s="8" t="s">
        <v>102</v>
      </c>
      <c r="H381" s="9">
        <v>0.3725</v>
      </c>
      <c r="I381" s="10">
        <v>21.05</v>
      </c>
      <c r="J381" s="495">
        <f t="shared" ref="J381:J388" si="14">I381*H381</f>
        <v>7.8411249999999999</v>
      </c>
    </row>
    <row r="382" spans="1:11" ht="38.25">
      <c r="A382" s="494" t="s">
        <v>95</v>
      </c>
      <c r="B382" s="8" t="s">
        <v>239</v>
      </c>
      <c r="C382" s="23" t="s">
        <v>24</v>
      </c>
      <c r="D382" s="23" t="s">
        <v>240</v>
      </c>
      <c r="E382" s="1080" t="s">
        <v>125</v>
      </c>
      <c r="F382" s="1080"/>
      <c r="G382" s="8" t="s">
        <v>126</v>
      </c>
      <c r="H382" s="9">
        <v>4.1000000000000003E-3</v>
      </c>
      <c r="I382" s="10">
        <v>9.94</v>
      </c>
      <c r="J382" s="495">
        <f t="shared" si="14"/>
        <v>4.0753999999999999E-2</v>
      </c>
    </row>
    <row r="383" spans="1:11" ht="38.25">
      <c r="A383" s="494" t="s">
        <v>95</v>
      </c>
      <c r="B383" s="8" t="s">
        <v>241</v>
      </c>
      <c r="C383" s="23" t="s">
        <v>24</v>
      </c>
      <c r="D383" s="23" t="s">
        <v>242</v>
      </c>
      <c r="E383" s="1080" t="s">
        <v>125</v>
      </c>
      <c r="F383" s="1080"/>
      <c r="G383" s="8" t="s">
        <v>129</v>
      </c>
      <c r="H383" s="9">
        <v>0.18210000000000001</v>
      </c>
      <c r="I383" s="10">
        <v>0.71</v>
      </c>
      <c r="J383" s="495">
        <f t="shared" si="14"/>
        <v>0.12929099999999999</v>
      </c>
    </row>
    <row r="384" spans="1:11" ht="51">
      <c r="A384" s="494" t="s">
        <v>95</v>
      </c>
      <c r="B384" s="8" t="s">
        <v>132</v>
      </c>
      <c r="C384" s="23" t="s">
        <v>24</v>
      </c>
      <c r="D384" s="23" t="s">
        <v>133</v>
      </c>
      <c r="E384" s="1080" t="s">
        <v>125</v>
      </c>
      <c r="F384" s="1080"/>
      <c r="G384" s="8" t="s">
        <v>126</v>
      </c>
      <c r="H384" s="9">
        <v>4.9099999999999998E-2</v>
      </c>
      <c r="I384" s="10">
        <v>10.55</v>
      </c>
      <c r="J384" s="495">
        <f t="shared" si="14"/>
        <v>0.51800500000000005</v>
      </c>
    </row>
    <row r="385" spans="1:11" ht="51">
      <c r="A385" s="494" t="s">
        <v>95</v>
      </c>
      <c r="B385" s="8" t="s">
        <v>134</v>
      </c>
      <c r="C385" s="23" t="s">
        <v>24</v>
      </c>
      <c r="D385" s="23" t="s">
        <v>135</v>
      </c>
      <c r="E385" s="1080" t="s">
        <v>125</v>
      </c>
      <c r="F385" s="1080"/>
      <c r="G385" s="8" t="s">
        <v>129</v>
      </c>
      <c r="H385" s="9">
        <v>0.1371</v>
      </c>
      <c r="I385" s="10">
        <v>0.97</v>
      </c>
      <c r="J385" s="495">
        <f t="shared" si="14"/>
        <v>0.13298699999999999</v>
      </c>
    </row>
    <row r="386" spans="1:11" ht="25.5">
      <c r="A386" s="520" t="s">
        <v>105</v>
      </c>
      <c r="B386" s="227" t="s">
        <v>243</v>
      </c>
      <c r="C386" s="226" t="s">
        <v>24</v>
      </c>
      <c r="D386" s="226" t="s">
        <v>244</v>
      </c>
      <c r="E386" s="1098" t="s">
        <v>108</v>
      </c>
      <c r="F386" s="1098"/>
      <c r="G386" s="227" t="s">
        <v>28</v>
      </c>
      <c r="H386" s="228">
        <v>5.6800000000000003E-2</v>
      </c>
      <c r="I386" s="175">
        <v>130</v>
      </c>
      <c r="J386" s="497">
        <f t="shared" si="14"/>
        <v>7.3840000000000003</v>
      </c>
      <c r="K386">
        <v>98.644993758200002</v>
      </c>
    </row>
    <row r="387" spans="1:11">
      <c r="A387" s="520" t="s">
        <v>105</v>
      </c>
      <c r="B387" s="227" t="s">
        <v>245</v>
      </c>
      <c r="C387" s="226" t="s">
        <v>24</v>
      </c>
      <c r="D387" s="226" t="s">
        <v>246</v>
      </c>
      <c r="E387" s="1098" t="s">
        <v>108</v>
      </c>
      <c r="F387" s="1098"/>
      <c r="G387" s="227" t="s">
        <v>28</v>
      </c>
      <c r="H387" s="228">
        <v>9.7999999999999997E-3</v>
      </c>
      <c r="I387" s="175">
        <v>95.03</v>
      </c>
      <c r="J387" s="497">
        <f t="shared" si="14"/>
        <v>0.93129399999999996</v>
      </c>
    </row>
    <row r="388" spans="1:11" ht="38.25">
      <c r="A388" s="520" t="s">
        <v>105</v>
      </c>
      <c r="B388" s="227" t="s">
        <v>286</v>
      </c>
      <c r="C388" s="226" t="s">
        <v>24</v>
      </c>
      <c r="D388" s="226" t="s">
        <v>287</v>
      </c>
      <c r="E388" s="1098" t="s">
        <v>108</v>
      </c>
      <c r="F388" s="1098"/>
      <c r="G388" s="227" t="s">
        <v>21</v>
      </c>
      <c r="H388" s="228">
        <v>1.03</v>
      </c>
      <c r="I388" s="175">
        <v>53.19</v>
      </c>
      <c r="J388" s="497">
        <f t="shared" si="14"/>
        <v>54.785699999999999</v>
      </c>
    </row>
    <row r="389" spans="1:11">
      <c r="A389" s="498"/>
      <c r="B389" s="20"/>
      <c r="C389" s="499"/>
      <c r="D389" s="499"/>
      <c r="E389" s="499" t="s">
        <v>116</v>
      </c>
      <c r="F389" s="500">
        <v>13.64</v>
      </c>
      <c r="G389" s="499" t="s">
        <v>117</v>
      </c>
      <c r="H389" s="500">
        <v>0</v>
      </c>
      <c r="I389" s="499" t="s">
        <v>118</v>
      </c>
      <c r="J389" s="501">
        <v>13.64</v>
      </c>
    </row>
    <row r="390" spans="1:11" ht="55.15" customHeight="1">
      <c r="A390" s="498"/>
      <c r="B390" s="20"/>
      <c r="C390" s="499"/>
      <c r="D390" s="499"/>
      <c r="E390" s="499" t="s">
        <v>119</v>
      </c>
      <c r="F390" s="500">
        <f>J390-J379</f>
        <v>17.099987758200001</v>
      </c>
      <c r="G390" s="499"/>
      <c r="H390" s="1082" t="s">
        <v>120</v>
      </c>
      <c r="I390" s="1082"/>
      <c r="J390" s="508">
        <f>J379*(1+G2)</f>
        <v>98.644993758200002</v>
      </c>
    </row>
    <row r="391" spans="1:11" ht="15" thickBot="1">
      <c r="A391" s="503"/>
      <c r="B391" s="666"/>
      <c r="C391" s="14"/>
      <c r="D391" s="14"/>
      <c r="E391" s="14"/>
      <c r="F391" s="14"/>
      <c r="G391" s="14" t="s">
        <v>121</v>
      </c>
      <c r="H391" s="504">
        <f>'OBRA 01 - MEMÓRIA'!O84</f>
        <v>1522.08</v>
      </c>
      <c r="I391" s="14" t="s">
        <v>122</v>
      </c>
      <c r="J391" s="505">
        <f>TRUNC(J390*H391,2)</f>
        <v>150145.57</v>
      </c>
    </row>
    <row r="392" spans="1:11" ht="15" thickTop="1">
      <c r="A392" s="506"/>
      <c r="B392" s="230"/>
      <c r="C392" s="15"/>
      <c r="D392" s="15"/>
      <c r="E392" s="15"/>
      <c r="F392" s="15"/>
      <c r="G392" s="15"/>
      <c r="H392" s="15"/>
      <c r="I392" s="15"/>
      <c r="J392" s="507"/>
    </row>
    <row r="393" spans="1:11" ht="15">
      <c r="A393" s="490" t="s">
        <v>373</v>
      </c>
      <c r="B393" s="31" t="s">
        <v>7</v>
      </c>
      <c r="C393" s="26" t="s">
        <v>8</v>
      </c>
      <c r="D393" s="26" t="s">
        <v>9</v>
      </c>
      <c r="E393" s="1092" t="s">
        <v>92</v>
      </c>
      <c r="F393" s="1092"/>
      <c r="G393" s="31" t="s">
        <v>10</v>
      </c>
      <c r="H393" s="29" t="s">
        <v>11</v>
      </c>
      <c r="I393" s="29" t="s">
        <v>12</v>
      </c>
      <c r="J393" s="491" t="s">
        <v>14</v>
      </c>
    </row>
    <row r="394" spans="1:11" ht="51">
      <c r="A394" s="492" t="s">
        <v>93</v>
      </c>
      <c r="B394" s="4" t="s">
        <v>42</v>
      </c>
      <c r="C394" s="27" t="s">
        <v>24</v>
      </c>
      <c r="D394" s="27" t="s">
        <v>667</v>
      </c>
      <c r="E394" s="1079" t="s">
        <v>184</v>
      </c>
      <c r="F394" s="1079"/>
      <c r="G394" s="4" t="s">
        <v>28</v>
      </c>
      <c r="H394" s="5">
        <v>1</v>
      </c>
      <c r="I394" s="6">
        <v>7.67</v>
      </c>
      <c r="J394" s="509">
        <f>SUM(J395:J398)</f>
        <v>7.8073019999999991</v>
      </c>
    </row>
    <row r="395" spans="1:11" ht="51">
      <c r="A395" s="494" t="s">
        <v>95</v>
      </c>
      <c r="B395" s="8" t="s">
        <v>185</v>
      </c>
      <c r="C395" s="23" t="s">
        <v>24</v>
      </c>
      <c r="D395" s="23" t="s">
        <v>186</v>
      </c>
      <c r="E395" s="1080" t="s">
        <v>125</v>
      </c>
      <c r="F395" s="1080"/>
      <c r="G395" s="8" t="s">
        <v>126</v>
      </c>
      <c r="H395" s="9">
        <v>2.2499999999999999E-2</v>
      </c>
      <c r="I395" s="10">
        <v>186.94</v>
      </c>
      <c r="J395" s="495">
        <f>I395*H395</f>
        <v>4.2061500000000001</v>
      </c>
    </row>
    <row r="396" spans="1:11" ht="51">
      <c r="A396" s="494" t="s">
        <v>95</v>
      </c>
      <c r="B396" s="8" t="s">
        <v>187</v>
      </c>
      <c r="C396" s="23" t="s">
        <v>24</v>
      </c>
      <c r="D396" s="23" t="s">
        <v>188</v>
      </c>
      <c r="E396" s="1080" t="s">
        <v>125</v>
      </c>
      <c r="F396" s="1080"/>
      <c r="G396" s="8" t="s">
        <v>129</v>
      </c>
      <c r="H396" s="9">
        <v>1.8499999999999999E-2</v>
      </c>
      <c r="I396" s="10">
        <v>62.47</v>
      </c>
      <c r="J396" s="495">
        <f t="shared" ref="J396:J398" si="15">I396*H396</f>
        <v>1.1556949999999999</v>
      </c>
      <c r="K396" s="78">
        <v>9.4444932294000008</v>
      </c>
    </row>
    <row r="397" spans="1:11" ht="38.25">
      <c r="A397" s="494" t="s">
        <v>95</v>
      </c>
      <c r="B397" s="8" t="s">
        <v>200</v>
      </c>
      <c r="C397" s="23" t="s">
        <v>24</v>
      </c>
      <c r="D397" s="23" t="s">
        <v>201</v>
      </c>
      <c r="E397" s="1080" t="s">
        <v>125</v>
      </c>
      <c r="F397" s="1080"/>
      <c r="G397" s="8" t="s">
        <v>126</v>
      </c>
      <c r="H397" s="9">
        <v>4.1999999999999997E-3</v>
      </c>
      <c r="I397" s="10">
        <v>257.7</v>
      </c>
      <c r="J397" s="495">
        <f t="shared" si="15"/>
        <v>1.0823399999999999</v>
      </c>
    </row>
    <row r="398" spans="1:11" ht="38.25">
      <c r="A398" s="494" t="s">
        <v>95</v>
      </c>
      <c r="B398" s="8" t="s">
        <v>202</v>
      </c>
      <c r="C398" s="23" t="s">
        <v>24</v>
      </c>
      <c r="D398" s="23" t="s">
        <v>203</v>
      </c>
      <c r="E398" s="1080" t="s">
        <v>125</v>
      </c>
      <c r="F398" s="1080"/>
      <c r="G398" s="8" t="s">
        <v>129</v>
      </c>
      <c r="H398" s="9">
        <v>1.3299999999999999E-2</v>
      </c>
      <c r="I398" s="10">
        <v>102.49</v>
      </c>
      <c r="J398" s="495">
        <f t="shared" si="15"/>
        <v>1.3631169999999999</v>
      </c>
    </row>
    <row r="399" spans="1:11">
      <c r="A399" s="498"/>
      <c r="B399" s="20"/>
      <c r="C399" s="499"/>
      <c r="D399" s="499"/>
      <c r="E399" s="499" t="s">
        <v>116</v>
      </c>
      <c r="F399" s="500">
        <v>1.4</v>
      </c>
      <c r="G399" s="499" t="s">
        <v>117</v>
      </c>
      <c r="H399" s="500">
        <v>0</v>
      </c>
      <c r="I399" s="499" t="s">
        <v>118</v>
      </c>
      <c r="J399" s="501">
        <v>1.4</v>
      </c>
    </row>
    <row r="400" spans="1:11">
      <c r="A400" s="498"/>
      <c r="B400" s="20"/>
      <c r="C400" s="499"/>
      <c r="D400" s="499"/>
      <c r="E400" s="499" t="s">
        <v>119</v>
      </c>
      <c r="F400" s="500">
        <v>1.92</v>
      </c>
      <c r="G400" s="499"/>
      <c r="H400" s="1082" t="s">
        <v>120</v>
      </c>
      <c r="I400" s="1082"/>
      <c r="J400" s="508">
        <f>J394*(1+G2)</f>
        <v>9.444493229399999</v>
      </c>
    </row>
    <row r="401" spans="1:11" ht="15" thickBot="1">
      <c r="A401" s="503"/>
      <c r="B401" s="666"/>
      <c r="C401" s="14"/>
      <c r="D401" s="14"/>
      <c r="E401" s="14"/>
      <c r="F401" s="14"/>
      <c r="G401" s="14" t="s">
        <v>121</v>
      </c>
      <c r="H401" s="504">
        <f>'OBRA 01 - MEMÓRIA'!O88</f>
        <v>101.37052799999999</v>
      </c>
      <c r="I401" s="14" t="s">
        <v>122</v>
      </c>
      <c r="J401" s="505">
        <f>TRUNC(J400*H401,2)</f>
        <v>957.39</v>
      </c>
    </row>
    <row r="402" spans="1:11" ht="15" thickTop="1">
      <c r="A402" s="506"/>
      <c r="B402" s="230"/>
      <c r="C402" s="15"/>
      <c r="D402" s="15"/>
      <c r="E402" s="15"/>
      <c r="F402" s="15"/>
      <c r="G402" s="15"/>
      <c r="H402" s="15"/>
      <c r="I402" s="15"/>
      <c r="J402" s="507"/>
    </row>
    <row r="403" spans="1:11" ht="15">
      <c r="A403" s="490" t="s">
        <v>374</v>
      </c>
      <c r="B403" s="31" t="s">
        <v>7</v>
      </c>
      <c r="C403" s="26" t="s">
        <v>8</v>
      </c>
      <c r="D403" s="26" t="s">
        <v>9</v>
      </c>
      <c r="E403" s="1092" t="s">
        <v>92</v>
      </c>
      <c r="F403" s="1092"/>
      <c r="G403" s="31" t="s">
        <v>10</v>
      </c>
      <c r="H403" s="29" t="s">
        <v>11</v>
      </c>
      <c r="I403" s="29" t="s">
        <v>12</v>
      </c>
      <c r="J403" s="491" t="s">
        <v>14</v>
      </c>
    </row>
    <row r="404" spans="1:11" ht="38.25">
      <c r="A404" s="492" t="s">
        <v>93</v>
      </c>
      <c r="B404" s="4" t="s">
        <v>56</v>
      </c>
      <c r="C404" s="27" t="s">
        <v>24</v>
      </c>
      <c r="D404" s="27" t="s">
        <v>653</v>
      </c>
      <c r="E404" s="1079" t="s">
        <v>184</v>
      </c>
      <c r="F404" s="1079"/>
      <c r="G404" s="4" t="s">
        <v>36</v>
      </c>
      <c r="H404" s="5">
        <v>1</v>
      </c>
      <c r="I404" s="6">
        <v>2.46</v>
      </c>
      <c r="J404" s="509">
        <f>J405+J406</f>
        <v>2.4911820000000002</v>
      </c>
      <c r="K404" s="78">
        <v>3.0135828654000001</v>
      </c>
    </row>
    <row r="405" spans="1:11" ht="51">
      <c r="A405" s="494" t="s">
        <v>95</v>
      </c>
      <c r="B405" s="8" t="s">
        <v>233</v>
      </c>
      <c r="C405" s="23" t="s">
        <v>24</v>
      </c>
      <c r="D405" s="23" t="s">
        <v>234</v>
      </c>
      <c r="E405" s="1080" t="s">
        <v>125</v>
      </c>
      <c r="F405" s="1080"/>
      <c r="G405" s="8" t="s">
        <v>126</v>
      </c>
      <c r="H405" s="9">
        <v>8.3000000000000001E-3</v>
      </c>
      <c r="I405" s="10">
        <v>268.74</v>
      </c>
      <c r="J405" s="495">
        <f>I405*H405</f>
        <v>2.2305420000000002</v>
      </c>
    </row>
    <row r="406" spans="1:11" ht="51">
      <c r="A406" s="494" t="s">
        <v>95</v>
      </c>
      <c r="B406" s="8" t="s">
        <v>235</v>
      </c>
      <c r="C406" s="23" t="s">
        <v>24</v>
      </c>
      <c r="D406" s="23" t="s">
        <v>236</v>
      </c>
      <c r="E406" s="1080" t="s">
        <v>125</v>
      </c>
      <c r="F406" s="1080"/>
      <c r="G406" s="8" t="s">
        <v>129</v>
      </c>
      <c r="H406" s="9">
        <v>3.5999999999999999E-3</v>
      </c>
      <c r="I406" s="10">
        <v>72.400000000000006</v>
      </c>
      <c r="J406" s="495">
        <f>I406*H406</f>
        <v>0.26064000000000004</v>
      </c>
    </row>
    <row r="407" spans="1:11">
      <c r="A407" s="498"/>
      <c r="B407" s="20"/>
      <c r="C407" s="499"/>
      <c r="D407" s="499"/>
      <c r="E407" s="499" t="s">
        <v>116</v>
      </c>
      <c r="F407" s="500">
        <v>0.24000000000000002</v>
      </c>
      <c r="G407" s="499" t="s">
        <v>117</v>
      </c>
      <c r="H407" s="500">
        <v>0</v>
      </c>
      <c r="I407" s="499" t="s">
        <v>118</v>
      </c>
      <c r="J407" s="501">
        <v>0.24000000000000002</v>
      </c>
    </row>
    <row r="408" spans="1:11">
      <c r="A408" s="498"/>
      <c r="B408" s="20"/>
      <c r="C408" s="499"/>
      <c r="D408" s="499"/>
      <c r="E408" s="499" t="s">
        <v>119</v>
      </c>
      <c r="F408" s="500">
        <v>0.61</v>
      </c>
      <c r="G408" s="499"/>
      <c r="H408" s="1082" t="s">
        <v>120</v>
      </c>
      <c r="I408" s="1082"/>
      <c r="J408" s="508">
        <f>J404*(1+G2)</f>
        <v>3.0135828654000001</v>
      </c>
    </row>
    <row r="409" spans="1:11" ht="15" thickBot="1">
      <c r="A409" s="503"/>
      <c r="B409" s="666"/>
      <c r="C409" s="14"/>
      <c r="D409" s="14"/>
      <c r="E409" s="14"/>
      <c r="F409" s="14"/>
      <c r="G409" s="14" t="s">
        <v>121</v>
      </c>
      <c r="H409" s="504">
        <f>'OBRA 01 - MEMÓRIA'!O91</f>
        <v>3041.1158399999999</v>
      </c>
      <c r="I409" s="14" t="s">
        <v>122</v>
      </c>
      <c r="J409" s="505">
        <f>TRUNC(J408*H409,2)</f>
        <v>9164.65</v>
      </c>
    </row>
    <row r="410" spans="1:11" ht="15" thickTop="1">
      <c r="A410" s="506"/>
      <c r="B410" s="230"/>
      <c r="C410" s="15"/>
      <c r="D410" s="15"/>
      <c r="E410" s="15"/>
      <c r="F410" s="15"/>
      <c r="G410" s="15"/>
      <c r="H410" s="15"/>
      <c r="I410" s="15"/>
      <c r="J410" s="507"/>
      <c r="K410" s="78"/>
    </row>
    <row r="411" spans="1:11">
      <c r="A411" s="518">
        <v>6</v>
      </c>
      <c r="B411" s="229"/>
      <c r="C411" s="25"/>
      <c r="D411" s="25" t="s">
        <v>329</v>
      </c>
      <c r="E411" s="25"/>
      <c r="F411" s="1090"/>
      <c r="G411" s="1090"/>
      <c r="H411" s="1"/>
      <c r="I411" s="25"/>
      <c r="J411" s="519">
        <f>J424</f>
        <v>28359.13</v>
      </c>
    </row>
    <row r="412" spans="1:11" ht="15">
      <c r="A412" s="490" t="s">
        <v>85</v>
      </c>
      <c r="B412" s="31" t="s">
        <v>7</v>
      </c>
      <c r="C412" s="26" t="s">
        <v>8</v>
      </c>
      <c r="D412" s="26" t="s">
        <v>9</v>
      </c>
      <c r="E412" s="1092" t="s">
        <v>92</v>
      </c>
      <c r="F412" s="1092"/>
      <c r="G412" s="31" t="s">
        <v>10</v>
      </c>
      <c r="H412" s="29" t="s">
        <v>11</v>
      </c>
      <c r="I412" s="29" t="s">
        <v>12</v>
      </c>
      <c r="J412" s="491" t="s">
        <v>14</v>
      </c>
    </row>
    <row r="413" spans="1:11" ht="51">
      <c r="A413" s="492" t="s">
        <v>93</v>
      </c>
      <c r="B413" s="4" t="s">
        <v>330</v>
      </c>
      <c r="C413" s="27" t="s">
        <v>24</v>
      </c>
      <c r="D413" s="27" t="s">
        <v>331</v>
      </c>
      <c r="E413" s="1079" t="s">
        <v>346</v>
      </c>
      <c r="F413" s="1079"/>
      <c r="G413" s="4" t="s">
        <v>76</v>
      </c>
      <c r="H413" s="5">
        <v>1</v>
      </c>
      <c r="I413" s="6">
        <v>6.62</v>
      </c>
      <c r="J413" s="509">
        <f>SUM(J414:J421)</f>
        <v>6.3876930000000005</v>
      </c>
    </row>
    <row r="414" spans="1:11" ht="25.5">
      <c r="A414" s="494" t="s">
        <v>95</v>
      </c>
      <c r="B414" s="8" t="s">
        <v>347</v>
      </c>
      <c r="C414" s="23" t="s">
        <v>24</v>
      </c>
      <c r="D414" s="23" t="s">
        <v>348</v>
      </c>
      <c r="E414" s="1080" t="s">
        <v>101</v>
      </c>
      <c r="F414" s="1080"/>
      <c r="G414" s="8" t="s">
        <v>102</v>
      </c>
      <c r="H414" s="9">
        <v>3.4000000000000002E-2</v>
      </c>
      <c r="I414" s="10">
        <v>27.98</v>
      </c>
      <c r="J414" s="495">
        <f>I414*H414</f>
        <v>0.95132000000000005</v>
      </c>
    </row>
    <row r="415" spans="1:11" ht="25.5">
      <c r="A415" s="494" t="s">
        <v>95</v>
      </c>
      <c r="B415" s="8" t="s">
        <v>103</v>
      </c>
      <c r="C415" s="23" t="s">
        <v>24</v>
      </c>
      <c r="D415" s="23" t="s">
        <v>104</v>
      </c>
      <c r="E415" s="1080" t="s">
        <v>101</v>
      </c>
      <c r="F415" s="1080"/>
      <c r="G415" s="8" t="s">
        <v>102</v>
      </c>
      <c r="H415" s="9">
        <v>1.4E-2</v>
      </c>
      <c r="I415" s="10">
        <v>21.05</v>
      </c>
      <c r="J415" s="495">
        <f t="shared" ref="J415:J421" si="16">I415*H415</f>
        <v>0.29470000000000002</v>
      </c>
    </row>
    <row r="416" spans="1:11" ht="25.5">
      <c r="A416" s="494" t="s">
        <v>95</v>
      </c>
      <c r="B416" s="8" t="s">
        <v>349</v>
      </c>
      <c r="C416" s="23" t="s">
        <v>24</v>
      </c>
      <c r="D416" s="23" t="s">
        <v>350</v>
      </c>
      <c r="E416" s="1080" t="s">
        <v>125</v>
      </c>
      <c r="F416" s="1080"/>
      <c r="G416" s="8" t="s">
        <v>126</v>
      </c>
      <c r="H416" s="9">
        <v>2.9999999999999997E-4</v>
      </c>
      <c r="I416" s="10">
        <v>187.61</v>
      </c>
      <c r="J416" s="495">
        <f t="shared" si="16"/>
        <v>5.6283E-2</v>
      </c>
    </row>
    <row r="417" spans="1:11" ht="25.5">
      <c r="A417" s="494" t="s">
        <v>95</v>
      </c>
      <c r="B417" s="8" t="s">
        <v>351</v>
      </c>
      <c r="C417" s="23" t="s">
        <v>24</v>
      </c>
      <c r="D417" s="23" t="s">
        <v>352</v>
      </c>
      <c r="E417" s="1080" t="s">
        <v>125</v>
      </c>
      <c r="F417" s="1080"/>
      <c r="G417" s="8" t="s">
        <v>129</v>
      </c>
      <c r="H417" s="9">
        <v>3.3399999999999999E-2</v>
      </c>
      <c r="I417" s="10">
        <v>99</v>
      </c>
      <c r="J417" s="495">
        <f t="shared" si="16"/>
        <v>3.3066</v>
      </c>
    </row>
    <row r="418" spans="1:11">
      <c r="A418" s="520" t="s">
        <v>105</v>
      </c>
      <c r="B418" s="227" t="s">
        <v>353</v>
      </c>
      <c r="C418" s="226" t="s">
        <v>24</v>
      </c>
      <c r="D418" s="226" t="s">
        <v>354</v>
      </c>
      <c r="E418" s="1098" t="s">
        <v>108</v>
      </c>
      <c r="F418" s="1098"/>
      <c r="G418" s="227" t="s">
        <v>288</v>
      </c>
      <c r="H418" s="228">
        <v>2E-3</v>
      </c>
      <c r="I418" s="175">
        <v>25.98</v>
      </c>
      <c r="J418" s="497">
        <f t="shared" si="16"/>
        <v>5.1959999999999999E-2</v>
      </c>
    </row>
    <row r="419" spans="1:11" ht="25.5">
      <c r="A419" s="520" t="s">
        <v>105</v>
      </c>
      <c r="B419" s="227" t="s">
        <v>355</v>
      </c>
      <c r="C419" s="226" t="s">
        <v>24</v>
      </c>
      <c r="D419" s="226" t="s">
        <v>356</v>
      </c>
      <c r="E419" s="1098" t="s">
        <v>108</v>
      </c>
      <c r="F419" s="1098"/>
      <c r="G419" s="227" t="s">
        <v>288</v>
      </c>
      <c r="H419" s="228">
        <v>4.2999999999999997E-2</v>
      </c>
      <c r="I419" s="175">
        <v>32.49</v>
      </c>
      <c r="J419" s="497">
        <f t="shared" si="16"/>
        <v>1.39707</v>
      </c>
      <c r="K419">
        <v>7.7271922221000002</v>
      </c>
    </row>
    <row r="420" spans="1:11" ht="25.5">
      <c r="A420" s="520" t="s">
        <v>105</v>
      </c>
      <c r="B420" s="227" t="s">
        <v>357</v>
      </c>
      <c r="C420" s="226" t="s">
        <v>24</v>
      </c>
      <c r="D420" s="226" t="s">
        <v>358</v>
      </c>
      <c r="E420" s="1098" t="s">
        <v>108</v>
      </c>
      <c r="F420" s="1098"/>
      <c r="G420" s="227" t="s">
        <v>113</v>
      </c>
      <c r="H420" s="228">
        <v>2.5000000000000001E-2</v>
      </c>
      <c r="I420" s="175">
        <v>9.16</v>
      </c>
      <c r="J420" s="497">
        <f t="shared" si="16"/>
        <v>0.22900000000000001</v>
      </c>
    </row>
    <row r="421" spans="1:11" ht="25.5">
      <c r="A421" s="520" t="s">
        <v>105</v>
      </c>
      <c r="B421" s="227" t="s">
        <v>359</v>
      </c>
      <c r="C421" s="226" t="s">
        <v>24</v>
      </c>
      <c r="D421" s="226" t="s">
        <v>360</v>
      </c>
      <c r="E421" s="1098" t="s">
        <v>108</v>
      </c>
      <c r="F421" s="1098"/>
      <c r="G421" s="227" t="s">
        <v>113</v>
      </c>
      <c r="H421" s="228">
        <v>1.0999999999999999E-2</v>
      </c>
      <c r="I421" s="175">
        <v>9.16</v>
      </c>
      <c r="J421" s="497">
        <f t="shared" si="16"/>
        <v>0.10076</v>
      </c>
    </row>
    <row r="422" spans="1:11">
      <c r="A422" s="498"/>
      <c r="B422" s="20"/>
      <c r="C422" s="499"/>
      <c r="D422" s="499"/>
      <c r="E422" s="499" t="s">
        <v>116</v>
      </c>
      <c r="F422" s="500">
        <v>1.92</v>
      </c>
      <c r="G422" s="499" t="s">
        <v>117</v>
      </c>
      <c r="H422" s="500">
        <v>0</v>
      </c>
      <c r="I422" s="499" t="s">
        <v>118</v>
      </c>
      <c r="J422" s="501">
        <v>1.92</v>
      </c>
    </row>
    <row r="423" spans="1:11">
      <c r="A423" s="498"/>
      <c r="B423" s="20"/>
      <c r="C423" s="499"/>
      <c r="D423" s="499"/>
      <c r="E423" s="499" t="s">
        <v>119</v>
      </c>
      <c r="F423" s="500">
        <v>1.65</v>
      </c>
      <c r="G423" s="499"/>
      <c r="H423" s="1082" t="s">
        <v>120</v>
      </c>
      <c r="I423" s="1082"/>
      <c r="J423" s="508">
        <f>J413*(1+G2)</f>
        <v>7.7271922221000002</v>
      </c>
    </row>
    <row r="424" spans="1:11" ht="15" thickBot="1">
      <c r="A424" s="503"/>
      <c r="B424" s="666"/>
      <c r="C424" s="14"/>
      <c r="D424" s="14"/>
      <c r="E424" s="14"/>
      <c r="F424" s="14"/>
      <c r="G424" s="14" t="s">
        <v>121</v>
      </c>
      <c r="H424" s="504">
        <f>'OBRA 01 - MEMÓRIA'!O94</f>
        <v>3670.0439999999999</v>
      </c>
      <c r="I424" s="14" t="s">
        <v>122</v>
      </c>
      <c r="J424" s="505">
        <f>TRUNC(J423*H424,2)</f>
        <v>28359.13</v>
      </c>
    </row>
    <row r="425" spans="1:11" ht="15" thickTop="1">
      <c r="A425" s="506"/>
      <c r="B425" s="230"/>
      <c r="C425" s="15"/>
      <c r="D425" s="15"/>
      <c r="E425" s="15"/>
      <c r="F425" s="15"/>
      <c r="G425" s="15"/>
      <c r="H425" s="15"/>
      <c r="I425" s="15"/>
      <c r="J425" s="507"/>
    </row>
    <row r="426" spans="1:11">
      <c r="A426" s="518">
        <v>7</v>
      </c>
      <c r="B426" s="229"/>
      <c r="C426" s="25"/>
      <c r="D426" s="25" t="s">
        <v>87</v>
      </c>
      <c r="E426" s="25"/>
      <c r="F426" s="1090"/>
      <c r="G426" s="1090"/>
      <c r="H426" s="1"/>
      <c r="I426" s="25"/>
      <c r="J426" s="519">
        <f>J437</f>
        <v>83805.91</v>
      </c>
    </row>
    <row r="427" spans="1:11" ht="15">
      <c r="A427" s="490" t="s">
        <v>86</v>
      </c>
      <c r="B427" s="31" t="s">
        <v>7</v>
      </c>
      <c r="C427" s="26" t="s">
        <v>8</v>
      </c>
      <c r="D427" s="26" t="s">
        <v>9</v>
      </c>
      <c r="E427" s="1092" t="s">
        <v>92</v>
      </c>
      <c r="F427" s="1092"/>
      <c r="G427" s="31" t="s">
        <v>10</v>
      </c>
      <c r="H427" s="29" t="s">
        <v>11</v>
      </c>
      <c r="I427" s="29" t="s">
        <v>12</v>
      </c>
      <c r="J427" s="491" t="s">
        <v>14</v>
      </c>
    </row>
    <row r="428" spans="1:11">
      <c r="A428" s="492" t="s">
        <v>93</v>
      </c>
      <c r="B428" s="4" t="s">
        <v>88</v>
      </c>
      <c r="C428" s="27" t="s">
        <v>19</v>
      </c>
      <c r="D428" s="27" t="s">
        <v>89</v>
      </c>
      <c r="E428" s="1079" t="s">
        <v>101</v>
      </c>
      <c r="F428" s="1079"/>
      <c r="G428" s="4" t="s">
        <v>90</v>
      </c>
      <c r="H428" s="5">
        <v>1</v>
      </c>
      <c r="I428" s="6">
        <v>50804.55</v>
      </c>
      <c r="J428" s="509">
        <f>SUM(J429:J434)</f>
        <v>50939.899999999994</v>
      </c>
    </row>
    <row r="429" spans="1:11" ht="25.5">
      <c r="A429" s="494" t="s">
        <v>95</v>
      </c>
      <c r="B429" s="8" t="s">
        <v>289</v>
      </c>
      <c r="C429" s="23" t="s">
        <v>24</v>
      </c>
      <c r="D429" s="23" t="s">
        <v>290</v>
      </c>
      <c r="E429" s="1080" t="s">
        <v>101</v>
      </c>
      <c r="F429" s="1080"/>
      <c r="G429" s="8" t="s">
        <v>291</v>
      </c>
      <c r="H429" s="9">
        <v>1</v>
      </c>
      <c r="I429" s="10">
        <v>22082.95</v>
      </c>
      <c r="J429" s="495">
        <f>I429*H429</f>
        <v>22082.95</v>
      </c>
    </row>
    <row r="430" spans="1:11" ht="25.5">
      <c r="A430" s="494" t="s">
        <v>95</v>
      </c>
      <c r="B430" s="8" t="s">
        <v>292</v>
      </c>
      <c r="C430" s="23" t="s">
        <v>24</v>
      </c>
      <c r="D430" s="23" t="s">
        <v>293</v>
      </c>
      <c r="E430" s="1080" t="s">
        <v>101</v>
      </c>
      <c r="F430" s="1080"/>
      <c r="G430" s="8" t="s">
        <v>291</v>
      </c>
      <c r="H430" s="9">
        <v>1</v>
      </c>
      <c r="I430" s="10">
        <v>9574.6200000000008</v>
      </c>
      <c r="J430" s="495">
        <f t="shared" ref="J430:J434" si="17">I430*H430</f>
        <v>9574.6200000000008</v>
      </c>
      <c r="K430" s="78">
        <f>SUM(J429:J433)</f>
        <v>47167.759999999995</v>
      </c>
    </row>
    <row r="431" spans="1:11" ht="39" customHeight="1">
      <c r="A431" s="494" t="s">
        <v>95</v>
      </c>
      <c r="B431" s="8" t="s">
        <v>294</v>
      </c>
      <c r="C431" s="23" t="s">
        <v>24</v>
      </c>
      <c r="D431" s="23" t="s">
        <v>295</v>
      </c>
      <c r="E431" s="1080" t="s">
        <v>101</v>
      </c>
      <c r="F431" s="1080"/>
      <c r="G431" s="8" t="s">
        <v>291</v>
      </c>
      <c r="H431" s="9">
        <v>1</v>
      </c>
      <c r="I431" s="10">
        <v>6318.43</v>
      </c>
      <c r="J431" s="495">
        <f t="shared" si="17"/>
        <v>6318.43</v>
      </c>
    </row>
    <row r="432" spans="1:11" ht="25.5">
      <c r="A432" s="494" t="s">
        <v>95</v>
      </c>
      <c r="B432" s="8" t="s">
        <v>296</v>
      </c>
      <c r="C432" s="23" t="s">
        <v>24</v>
      </c>
      <c r="D432" s="23" t="s">
        <v>297</v>
      </c>
      <c r="E432" s="1080" t="s">
        <v>101</v>
      </c>
      <c r="F432" s="1080"/>
      <c r="G432" s="8" t="s">
        <v>291</v>
      </c>
      <c r="H432" s="9">
        <v>1</v>
      </c>
      <c r="I432" s="10">
        <v>5095.74</v>
      </c>
      <c r="J432" s="495">
        <f t="shared" si="17"/>
        <v>5095.74</v>
      </c>
      <c r="K432" s="78">
        <v>61621.997029999999</v>
      </c>
    </row>
    <row r="433" spans="1:10" ht="14.25" customHeight="1">
      <c r="A433" s="494" t="s">
        <v>95</v>
      </c>
      <c r="B433" s="8" t="s">
        <v>298</v>
      </c>
      <c r="C433" s="23" t="s">
        <v>24</v>
      </c>
      <c r="D433" s="23" t="s">
        <v>299</v>
      </c>
      <c r="E433" s="1080" t="s">
        <v>101</v>
      </c>
      <c r="F433" s="1080"/>
      <c r="G433" s="8" t="s">
        <v>291</v>
      </c>
      <c r="H433" s="9">
        <v>1</v>
      </c>
      <c r="I433" s="10">
        <v>4096.0200000000004</v>
      </c>
      <c r="J433" s="495">
        <f t="shared" si="17"/>
        <v>4096.0200000000004</v>
      </c>
    </row>
    <row r="434" spans="1:10" ht="0.95" customHeight="1">
      <c r="A434" s="494" t="s">
        <v>95</v>
      </c>
      <c r="B434" s="8" t="s">
        <v>300</v>
      </c>
      <c r="C434" s="23" t="s">
        <v>24</v>
      </c>
      <c r="D434" s="23" t="s">
        <v>301</v>
      </c>
      <c r="E434" s="1080" t="s">
        <v>101</v>
      </c>
      <c r="F434" s="1080"/>
      <c r="G434" s="8" t="s">
        <v>291</v>
      </c>
      <c r="H434" s="9">
        <v>1</v>
      </c>
      <c r="I434" s="10">
        <v>3772.14</v>
      </c>
      <c r="J434" s="495">
        <f t="shared" si="17"/>
        <v>3772.14</v>
      </c>
    </row>
    <row r="435" spans="1:10">
      <c r="A435" s="498"/>
      <c r="B435" s="20"/>
      <c r="C435" s="499"/>
      <c r="D435" s="499"/>
      <c r="E435" s="499" t="s">
        <v>116</v>
      </c>
      <c r="F435" s="500">
        <f>J428-F436</f>
        <v>40257.802969999997</v>
      </c>
      <c r="G435" s="499" t="s">
        <v>117</v>
      </c>
      <c r="H435" s="500">
        <v>0</v>
      </c>
      <c r="I435" s="499" t="s">
        <v>118</v>
      </c>
      <c r="J435" s="501">
        <v>47655.799999999996</v>
      </c>
    </row>
    <row r="436" spans="1:10">
      <c r="A436" s="498"/>
      <c r="B436" s="20"/>
      <c r="C436" s="499"/>
      <c r="D436" s="499"/>
      <c r="E436" s="499" t="s">
        <v>119</v>
      </c>
      <c r="F436" s="500">
        <f>J436-J428</f>
        <v>10682.097029999997</v>
      </c>
      <c r="G436" s="499"/>
      <c r="H436" s="1082" t="s">
        <v>120</v>
      </c>
      <c r="I436" s="1082"/>
      <c r="J436" s="513">
        <f>J428*(1+G2)</f>
        <v>61621.997029999991</v>
      </c>
    </row>
    <row r="437" spans="1:10" ht="15" thickBot="1">
      <c r="A437" s="503"/>
      <c r="B437" s="666"/>
      <c r="C437" s="14"/>
      <c r="D437" s="14"/>
      <c r="E437" s="14"/>
      <c r="F437" s="14"/>
      <c r="G437" s="14" t="s">
        <v>121</v>
      </c>
      <c r="H437" s="504">
        <v>1.36</v>
      </c>
      <c r="I437" s="14" t="s">
        <v>122</v>
      </c>
      <c r="J437" s="505">
        <f>TRUNC(J436*H437,2)</f>
        <v>83805.91</v>
      </c>
    </row>
    <row r="438" spans="1:10" ht="15" thickTop="1">
      <c r="A438" s="506"/>
      <c r="B438" s="230"/>
      <c r="C438" s="15"/>
      <c r="D438" s="15"/>
      <c r="E438" s="15"/>
      <c r="F438" s="15"/>
      <c r="G438" s="15"/>
      <c r="H438" s="15"/>
      <c r="I438" s="15"/>
      <c r="J438" s="507"/>
    </row>
    <row r="439" spans="1:10">
      <c r="A439" s="527"/>
      <c r="B439" s="20"/>
      <c r="C439" s="20"/>
      <c r="D439" s="20"/>
      <c r="E439" s="20"/>
      <c r="F439" s="20"/>
      <c r="G439" s="20"/>
      <c r="H439" s="20"/>
      <c r="I439" s="20"/>
      <c r="J439" s="528"/>
    </row>
    <row r="440" spans="1:10">
      <c r="A440" s="1083"/>
      <c r="B440" s="1084"/>
      <c r="C440" s="1084"/>
      <c r="D440" s="21"/>
      <c r="E440" s="14"/>
      <c r="F440" s="1100" t="s">
        <v>328</v>
      </c>
      <c r="G440" s="1100"/>
      <c r="H440" s="1101">
        <f>J6+J109+J151+J353+J377+J411+J426</f>
        <v>1406138.43</v>
      </c>
      <c r="I440" s="1101"/>
      <c r="J440" s="1102"/>
    </row>
    <row r="441" spans="1:10">
      <c r="A441" s="529"/>
      <c r="B441" s="669"/>
      <c r="C441" s="530"/>
      <c r="D441" s="530"/>
      <c r="E441" s="530"/>
      <c r="F441" s="530"/>
      <c r="G441" s="530"/>
      <c r="H441" s="530"/>
      <c r="I441" s="530"/>
      <c r="J441" s="531"/>
    </row>
  </sheetData>
  <mergeCells count="412">
    <mergeCell ref="E171:F171"/>
    <mergeCell ref="E172:F172"/>
    <mergeCell ref="E173:F173"/>
    <mergeCell ref="E186:F186"/>
    <mergeCell ref="E187:F187"/>
    <mergeCell ref="H189:I189"/>
    <mergeCell ref="H325:I325"/>
    <mergeCell ref="E312:F312"/>
    <mergeCell ref="E313:F313"/>
    <mergeCell ref="E314:F314"/>
    <mergeCell ref="H205:I205"/>
    <mergeCell ref="E211:F211"/>
    <mergeCell ref="E212:F212"/>
    <mergeCell ref="E213:F213"/>
    <mergeCell ref="H215:I215"/>
    <mergeCell ref="H223:I223"/>
    <mergeCell ref="E220:F220"/>
    <mergeCell ref="E221:F221"/>
    <mergeCell ref="F257:I257"/>
    <mergeCell ref="A259:E259"/>
    <mergeCell ref="F259:I259"/>
    <mergeCell ref="A260:E260"/>
    <mergeCell ref="F260:I260"/>
    <mergeCell ref="A261:E261"/>
    <mergeCell ref="E404:F404"/>
    <mergeCell ref="E394:F394"/>
    <mergeCell ref="J33:J34"/>
    <mergeCell ref="A36:E36"/>
    <mergeCell ref="F36:I36"/>
    <mergeCell ref="F41:I41"/>
    <mergeCell ref="A42:E42"/>
    <mergeCell ref="F42:I42"/>
    <mergeCell ref="A43:E43"/>
    <mergeCell ref="F43:I43"/>
    <mergeCell ref="A44:E44"/>
    <mergeCell ref="F44:I44"/>
    <mergeCell ref="A40:E40"/>
    <mergeCell ref="F40:I40"/>
    <mergeCell ref="A41:E41"/>
    <mergeCell ref="H148:I148"/>
    <mergeCell ref="F151:G151"/>
    <mergeCell ref="H183:I183"/>
    <mergeCell ref="E194:F194"/>
    <mergeCell ref="E193:F193"/>
    <mergeCell ref="E181:F181"/>
    <mergeCell ref="E161:F161"/>
    <mergeCell ref="H163:I163"/>
    <mergeCell ref="E166:F166"/>
    <mergeCell ref="A285:E285"/>
    <mergeCell ref="F285:I285"/>
    <mergeCell ref="F426:G426"/>
    <mergeCell ref="E427:F427"/>
    <mergeCell ref="H436:I436"/>
    <mergeCell ref="E393:F393"/>
    <mergeCell ref="E398:F398"/>
    <mergeCell ref="H400:I400"/>
    <mergeCell ref="E405:F405"/>
    <mergeCell ref="E406:F406"/>
    <mergeCell ref="H408:I408"/>
    <mergeCell ref="E419:F419"/>
    <mergeCell ref="E420:F420"/>
    <mergeCell ref="E421:F421"/>
    <mergeCell ref="E416:F416"/>
    <mergeCell ref="E417:F417"/>
    <mergeCell ref="E418:F418"/>
    <mergeCell ref="F411:G411"/>
    <mergeCell ref="E412:F412"/>
    <mergeCell ref="E413:F413"/>
    <mergeCell ref="E414:F414"/>
    <mergeCell ref="E415:F415"/>
    <mergeCell ref="H423:I423"/>
    <mergeCell ref="E403:F403"/>
    <mergeCell ref="F229:G229"/>
    <mergeCell ref="J275:J276"/>
    <mergeCell ref="A280:E280"/>
    <mergeCell ref="F280:I280"/>
    <mergeCell ref="F281:I281"/>
    <mergeCell ref="A283:E283"/>
    <mergeCell ref="F283:I283"/>
    <mergeCell ref="A284:E284"/>
    <mergeCell ref="F284:I284"/>
    <mergeCell ref="F261:I261"/>
    <mergeCell ref="A252:A253"/>
    <mergeCell ref="B252:B253"/>
    <mergeCell ref="C252:C253"/>
    <mergeCell ref="D252:D253"/>
    <mergeCell ref="E252:E253"/>
    <mergeCell ref="A72:E72"/>
    <mergeCell ref="H88:I88"/>
    <mergeCell ref="J252:J253"/>
    <mergeCell ref="A256:E256"/>
    <mergeCell ref="F256:I256"/>
    <mergeCell ref="F245:I245"/>
    <mergeCell ref="H247:I247"/>
    <mergeCell ref="E250:F250"/>
    <mergeCell ref="E251:F251"/>
    <mergeCell ref="J229:J230"/>
    <mergeCell ref="A233:E233"/>
    <mergeCell ref="F233:I233"/>
    <mergeCell ref="F234:I234"/>
    <mergeCell ref="A236:E236"/>
    <mergeCell ref="F236:I236"/>
    <mergeCell ref="A237:E237"/>
    <mergeCell ref="F252:G252"/>
    <mergeCell ref="H252:I252"/>
    <mergeCell ref="F238:I238"/>
    <mergeCell ref="A229:A230"/>
    <mergeCell ref="B229:B230"/>
    <mergeCell ref="C229:C230"/>
    <mergeCell ref="D229:D230"/>
    <mergeCell ref="E229:E230"/>
    <mergeCell ref="A67:E67"/>
    <mergeCell ref="F67:I67"/>
    <mergeCell ref="F68:I68"/>
    <mergeCell ref="A70:E70"/>
    <mergeCell ref="F70:I70"/>
    <mergeCell ref="A71:E71"/>
    <mergeCell ref="F71:I71"/>
    <mergeCell ref="E62:E63"/>
    <mergeCell ref="F62:G62"/>
    <mergeCell ref="J122:J123"/>
    <mergeCell ref="A129:E129"/>
    <mergeCell ref="F129:I129"/>
    <mergeCell ref="F130:I130"/>
    <mergeCell ref="A132:E132"/>
    <mergeCell ref="F132:I132"/>
    <mergeCell ref="A122:A123"/>
    <mergeCell ref="B122:B123"/>
    <mergeCell ref="C122:C123"/>
    <mergeCell ref="D122:D123"/>
    <mergeCell ref="F33:G33"/>
    <mergeCell ref="H33:I33"/>
    <mergeCell ref="A45:E45"/>
    <mergeCell ref="F45:I45"/>
    <mergeCell ref="H47:I47"/>
    <mergeCell ref="E60:F60"/>
    <mergeCell ref="E61:F61"/>
    <mergeCell ref="A62:A63"/>
    <mergeCell ref="C62:C63"/>
    <mergeCell ref="D62:D63"/>
    <mergeCell ref="H62:I62"/>
    <mergeCell ref="A440:C440"/>
    <mergeCell ref="F440:G440"/>
    <mergeCell ref="H440:J440"/>
    <mergeCell ref="E434:F434"/>
    <mergeCell ref="E428:F428"/>
    <mergeCell ref="E429:F429"/>
    <mergeCell ref="E430:F430"/>
    <mergeCell ref="E431:F431"/>
    <mergeCell ref="E432:F432"/>
    <mergeCell ref="E433:F433"/>
    <mergeCell ref="E395:F395"/>
    <mergeCell ref="E396:F396"/>
    <mergeCell ref="E397:F397"/>
    <mergeCell ref="H390:I390"/>
    <mergeCell ref="E379:F379"/>
    <mergeCell ref="E378:F378"/>
    <mergeCell ref="E380:F380"/>
    <mergeCell ref="E381:F381"/>
    <mergeCell ref="E382:F382"/>
    <mergeCell ref="E387:F387"/>
    <mergeCell ref="E388:F388"/>
    <mergeCell ref="E383:F383"/>
    <mergeCell ref="E384:F384"/>
    <mergeCell ref="E385:F385"/>
    <mergeCell ref="E386:F386"/>
    <mergeCell ref="H374:I374"/>
    <mergeCell ref="F377:G377"/>
    <mergeCell ref="E372:F372"/>
    <mergeCell ref="E371:F371"/>
    <mergeCell ref="E365:F365"/>
    <mergeCell ref="E366:F366"/>
    <mergeCell ref="E367:F367"/>
    <mergeCell ref="E368:F368"/>
    <mergeCell ref="E369:F369"/>
    <mergeCell ref="E370:F370"/>
    <mergeCell ref="E358:F358"/>
    <mergeCell ref="E359:F359"/>
    <mergeCell ref="E360:F360"/>
    <mergeCell ref="H362:I362"/>
    <mergeCell ref="E330:F330"/>
    <mergeCell ref="H332:I332"/>
    <mergeCell ref="E328:F328"/>
    <mergeCell ref="E329:F329"/>
    <mergeCell ref="F353:G353"/>
    <mergeCell ref="E354:F354"/>
    <mergeCell ref="E355:F355"/>
    <mergeCell ref="E356:F356"/>
    <mergeCell ref="E357:F357"/>
    <mergeCell ref="H350:I350"/>
    <mergeCell ref="E347:F347"/>
    <mergeCell ref="E348:F348"/>
    <mergeCell ref="E335:F335"/>
    <mergeCell ref="E336:F336"/>
    <mergeCell ref="H338:I338"/>
    <mergeCell ref="E341:F341"/>
    <mergeCell ref="E342:F342"/>
    <mergeCell ref="H344:I344"/>
    <mergeCell ref="E315:F315"/>
    <mergeCell ref="H317:I317"/>
    <mergeCell ref="E320:F320"/>
    <mergeCell ref="E321:F321"/>
    <mergeCell ref="E322:F322"/>
    <mergeCell ref="E323:F323"/>
    <mergeCell ref="G291:I291"/>
    <mergeCell ref="A292:E292"/>
    <mergeCell ref="F292:I292"/>
    <mergeCell ref="H293:I293"/>
    <mergeCell ref="H294:I294"/>
    <mergeCell ref="A295:E295"/>
    <mergeCell ref="F295:I295"/>
    <mergeCell ref="G296:I296"/>
    <mergeCell ref="A299:E299"/>
    <mergeCell ref="F299:I299"/>
    <mergeCell ref="H301:I301"/>
    <mergeCell ref="H309:I309"/>
    <mergeCell ref="E305:F305"/>
    <mergeCell ref="E306:F306"/>
    <mergeCell ref="E307:F307"/>
    <mergeCell ref="E304:F304"/>
    <mergeCell ref="A268:E268"/>
    <mergeCell ref="F268:I268"/>
    <mergeCell ref="H270:I270"/>
    <mergeCell ref="E273:F273"/>
    <mergeCell ref="A275:A276"/>
    <mergeCell ref="B275:B276"/>
    <mergeCell ref="C275:C276"/>
    <mergeCell ref="D275:D276"/>
    <mergeCell ref="E275:E276"/>
    <mergeCell ref="F275:G275"/>
    <mergeCell ref="H275:I275"/>
    <mergeCell ref="A286:E286"/>
    <mergeCell ref="F286:I286"/>
    <mergeCell ref="A287:E287"/>
    <mergeCell ref="F287:I287"/>
    <mergeCell ref="A288:E288"/>
    <mergeCell ref="F288:I288"/>
    <mergeCell ref="A289:E289"/>
    <mergeCell ref="F289:I289"/>
    <mergeCell ref="G290:I290"/>
    <mergeCell ref="G267:I267"/>
    <mergeCell ref="H229:I229"/>
    <mergeCell ref="A239:E239"/>
    <mergeCell ref="F239:I239"/>
    <mergeCell ref="A240:E240"/>
    <mergeCell ref="F240:I240"/>
    <mergeCell ref="A241:E241"/>
    <mergeCell ref="F241:I241"/>
    <mergeCell ref="A242:E242"/>
    <mergeCell ref="F242:I242"/>
    <mergeCell ref="G243:I243"/>
    <mergeCell ref="A262:E262"/>
    <mergeCell ref="F262:I262"/>
    <mergeCell ref="A263:E263"/>
    <mergeCell ref="F263:I263"/>
    <mergeCell ref="A264:E264"/>
    <mergeCell ref="F264:I264"/>
    <mergeCell ref="A265:E265"/>
    <mergeCell ref="F265:I265"/>
    <mergeCell ref="G266:I266"/>
    <mergeCell ref="G244:I244"/>
    <mergeCell ref="A245:E245"/>
    <mergeCell ref="F237:I237"/>
    <mergeCell ref="A238:E238"/>
    <mergeCell ref="F226:G226"/>
    <mergeCell ref="E208:F208"/>
    <mergeCell ref="E209:F209"/>
    <mergeCell ref="E210:F210"/>
    <mergeCell ref="E198:F198"/>
    <mergeCell ref="E199:F199"/>
    <mergeCell ref="E200:F200"/>
    <mergeCell ref="E201:F201"/>
    <mergeCell ref="E192:F192"/>
    <mergeCell ref="E195:F195"/>
    <mergeCell ref="E196:F196"/>
    <mergeCell ref="E197:F197"/>
    <mergeCell ref="E202:F202"/>
    <mergeCell ref="E203:F203"/>
    <mergeCell ref="E218:F218"/>
    <mergeCell ref="E219:F219"/>
    <mergeCell ref="E143:F143"/>
    <mergeCell ref="E144:F144"/>
    <mergeCell ref="E145:F145"/>
    <mergeCell ref="E146:F146"/>
    <mergeCell ref="E177:F177"/>
    <mergeCell ref="E178:F178"/>
    <mergeCell ref="E179:F179"/>
    <mergeCell ref="E180:F180"/>
    <mergeCell ref="E159:F159"/>
    <mergeCell ref="E160:F160"/>
    <mergeCell ref="E157:F157"/>
    <mergeCell ref="E158:F158"/>
    <mergeCell ref="E175:F175"/>
    <mergeCell ref="E176:F176"/>
    <mergeCell ref="F152:G152"/>
    <mergeCell ref="E155:F155"/>
    <mergeCell ref="E156:F156"/>
    <mergeCell ref="E153:F153"/>
    <mergeCell ref="E154:F154"/>
    <mergeCell ref="E174:F174"/>
    <mergeCell ref="E167:F167"/>
    <mergeCell ref="E168:F168"/>
    <mergeCell ref="E169:F169"/>
    <mergeCell ref="E170:F170"/>
    <mergeCell ref="E122:E123"/>
    <mergeCell ref="F122:G122"/>
    <mergeCell ref="H122:I122"/>
    <mergeCell ref="E114:F114"/>
    <mergeCell ref="A135:E135"/>
    <mergeCell ref="F135:I135"/>
    <mergeCell ref="A136:E136"/>
    <mergeCell ref="F136:I136"/>
    <mergeCell ref="A133:E133"/>
    <mergeCell ref="F133:I133"/>
    <mergeCell ref="A134:E134"/>
    <mergeCell ref="F134:I134"/>
    <mergeCell ref="E227:F227"/>
    <mergeCell ref="E228:F228"/>
    <mergeCell ref="E274:F274"/>
    <mergeCell ref="A5:J5"/>
    <mergeCell ref="E10:F10"/>
    <mergeCell ref="E11:F11"/>
    <mergeCell ref="E12:F12"/>
    <mergeCell ref="E13:F13"/>
    <mergeCell ref="E14:F14"/>
    <mergeCell ref="E15:F15"/>
    <mergeCell ref="E7:F7"/>
    <mergeCell ref="E8:F8"/>
    <mergeCell ref="A137:E137"/>
    <mergeCell ref="F137:I137"/>
    <mergeCell ref="A138:E138"/>
    <mergeCell ref="F138:I138"/>
    <mergeCell ref="H140:I140"/>
    <mergeCell ref="E115:F115"/>
    <mergeCell ref="H117:I117"/>
    <mergeCell ref="E110:F110"/>
    <mergeCell ref="E111:F111"/>
    <mergeCell ref="E112:F112"/>
    <mergeCell ref="E120:F120"/>
    <mergeCell ref="E121:F121"/>
    <mergeCell ref="H106:I106"/>
    <mergeCell ref="F109:G109"/>
    <mergeCell ref="F6:G6"/>
    <mergeCell ref="E101:F101"/>
    <mergeCell ref="E102:F102"/>
    <mergeCell ref="H17:I17"/>
    <mergeCell ref="E26:F26"/>
    <mergeCell ref="H28:I28"/>
    <mergeCell ref="E51:F51"/>
    <mergeCell ref="E52:F52"/>
    <mergeCell ref="E53:F53"/>
    <mergeCell ref="E54:F54"/>
    <mergeCell ref="E55:F55"/>
    <mergeCell ref="H57:I57"/>
    <mergeCell ref="E25:F25"/>
    <mergeCell ref="E50:F50"/>
    <mergeCell ref="F72:I72"/>
    <mergeCell ref="A73:E73"/>
    <mergeCell ref="F73:I73"/>
    <mergeCell ref="A74:E74"/>
    <mergeCell ref="F74:I74"/>
    <mergeCell ref="E91:F91"/>
    <mergeCell ref="B62:B63"/>
    <mergeCell ref="E20:F20"/>
    <mergeCell ref="E93:F93"/>
    <mergeCell ref="E94:F94"/>
    <mergeCell ref="E95:F95"/>
    <mergeCell ref="E96:F96"/>
    <mergeCell ref="H98:I98"/>
    <mergeCell ref="E9:F9"/>
    <mergeCell ref="E113:F113"/>
    <mergeCell ref="A75:E75"/>
    <mergeCell ref="F75:I75"/>
    <mergeCell ref="A76:E76"/>
    <mergeCell ref="F76:I76"/>
    <mergeCell ref="G77:I77"/>
    <mergeCell ref="G78:I78"/>
    <mergeCell ref="A79:E79"/>
    <mergeCell ref="F79:I79"/>
    <mergeCell ref="H80:I80"/>
    <mergeCell ref="H81:I81"/>
    <mergeCell ref="A82:E82"/>
    <mergeCell ref="F82:I82"/>
    <mergeCell ref="G83:I83"/>
    <mergeCell ref="A86:E86"/>
    <mergeCell ref="F86:I86"/>
    <mergeCell ref="E103:F103"/>
    <mergeCell ref="E104:F104"/>
    <mergeCell ref="D2:F2"/>
    <mergeCell ref="I1:J2"/>
    <mergeCell ref="D1:F1"/>
    <mergeCell ref="A1:C2"/>
    <mergeCell ref="A3:D3"/>
    <mergeCell ref="E3:J3"/>
    <mergeCell ref="A4:D4"/>
    <mergeCell ref="E4:J4"/>
    <mergeCell ref="E92:F92"/>
    <mergeCell ref="J62:J63"/>
    <mergeCell ref="E21:F21"/>
    <mergeCell ref="E22:F22"/>
    <mergeCell ref="E23:F23"/>
    <mergeCell ref="E24:F24"/>
    <mergeCell ref="E31:F31"/>
    <mergeCell ref="E32:F32"/>
    <mergeCell ref="F37:I37"/>
    <mergeCell ref="A39:E39"/>
    <mergeCell ref="F39:I39"/>
    <mergeCell ref="A33:A34"/>
    <mergeCell ref="B33:B34"/>
    <mergeCell ref="C33:C34"/>
    <mergeCell ref="D33:D34"/>
    <mergeCell ref="E33:E34"/>
  </mergeCells>
  <pageMargins left="0.5" right="0.5" top="1" bottom="1" header="0.5" footer="0.5"/>
  <pageSetup paperSize="9" scale="64" fitToHeight="0" orientation="landscape" horizontalDpi="4294967295" verticalDpi="4294967295" r:id="rId1"/>
  <headerFooter>
    <oddHeader>&amp;L &amp;CMinha Empresa
CNPJ:  &amp;R</oddHeader>
    <oddFooter>&amp;L &amp;C  -  -  / PE
87996446437 / gs_anacaroline@hotmail.com &amp;R</oddFooter>
  </headerFooter>
  <ignoredErrors>
    <ignoredError sqref="A6 H112:I112 A109 H115 H113 H114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M54"/>
  <sheetViews>
    <sheetView zoomScaleNormal="100" workbookViewId="0">
      <pane ySplit="2" topLeftCell="A3" activePane="bottomLeft" state="frozen"/>
      <selection pane="bottomLeft" activeCell="J54" sqref="A1:J54"/>
    </sheetView>
  </sheetViews>
  <sheetFormatPr defaultColWidth="8.75" defaultRowHeight="12.75"/>
  <cols>
    <col min="1" max="1" width="6" style="50" customWidth="1"/>
    <col min="2" max="2" width="8.625" style="50" customWidth="1"/>
    <col min="3" max="3" width="6.875" style="50" customWidth="1"/>
    <col min="4" max="4" width="60" style="50" bestFit="1" customWidth="1"/>
    <col min="5" max="5" width="8" style="50" customWidth="1"/>
    <col min="6" max="6" width="13" style="50" bestFit="1" customWidth="1"/>
    <col min="7" max="10" width="12.875" style="50" customWidth="1"/>
    <col min="11" max="11" width="14.125" style="50" bestFit="1" customWidth="1"/>
    <col min="12" max="16384" width="8.75" style="50"/>
  </cols>
  <sheetData>
    <row r="1" spans="1:13" ht="24">
      <c r="A1" s="982"/>
      <c r="B1" s="983"/>
      <c r="C1" s="983"/>
      <c r="D1" s="1104" t="s">
        <v>789</v>
      </c>
      <c r="E1" s="1105"/>
      <c r="F1" s="1106"/>
      <c r="G1" s="809" t="s">
        <v>774</v>
      </c>
      <c r="H1" s="810" t="s">
        <v>775</v>
      </c>
      <c r="I1" s="982"/>
      <c r="J1" s="982"/>
    </row>
    <row r="2" spans="1:13" ht="54.6" customHeight="1">
      <c r="A2" s="983"/>
      <c r="B2" s="983"/>
      <c r="C2" s="983"/>
      <c r="D2" s="984" t="s">
        <v>631</v>
      </c>
      <c r="E2" s="985"/>
      <c r="F2" s="986"/>
      <c r="G2" s="814">
        <v>0.2097</v>
      </c>
      <c r="H2" s="815">
        <v>0.14019999999999999</v>
      </c>
      <c r="I2" s="980"/>
      <c r="J2" s="980"/>
    </row>
    <row r="3" spans="1:13" ht="15.6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3" ht="30" customHeight="1">
      <c r="A4" s="977" t="s">
        <v>736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  <c r="M4" s="54"/>
    </row>
    <row r="5" spans="1:13" ht="20.45" customHeight="1">
      <c r="A5" s="1107" t="s">
        <v>395</v>
      </c>
      <c r="B5" s="1108"/>
      <c r="C5" s="1108"/>
      <c r="D5" s="1108"/>
      <c r="E5" s="1108"/>
      <c r="F5" s="1108"/>
      <c r="G5" s="1108"/>
      <c r="H5" s="1108"/>
      <c r="I5" s="1108"/>
      <c r="J5" s="1109"/>
      <c r="M5" s="54"/>
    </row>
    <row r="6" spans="1:13" ht="25.5">
      <c r="A6" s="532" t="s">
        <v>6</v>
      </c>
      <c r="B6" s="53" t="s">
        <v>7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3" t="s">
        <v>13</v>
      </c>
      <c r="I6" s="53" t="s">
        <v>14</v>
      </c>
      <c r="J6" s="533" t="s">
        <v>15</v>
      </c>
      <c r="M6" s="54"/>
    </row>
    <row r="7" spans="1:13" ht="15" customHeight="1">
      <c r="A7" s="534" t="s">
        <v>16</v>
      </c>
      <c r="B7" s="40"/>
      <c r="C7" s="40"/>
      <c r="D7" s="40" t="s">
        <v>17</v>
      </c>
      <c r="E7" s="40"/>
      <c r="F7" s="41"/>
      <c r="G7" s="40"/>
      <c r="H7" s="40"/>
      <c r="I7" s="42">
        <f>SUM(I8:I11)</f>
        <v>11862.826363182503</v>
      </c>
      <c r="J7" s="535">
        <f>SUM(J8:J11)</f>
        <v>6.5398585830487369E-3</v>
      </c>
      <c r="M7" s="54"/>
    </row>
    <row r="8" spans="1:13" ht="15" customHeight="1">
      <c r="A8" s="536" t="s">
        <v>18</v>
      </c>
      <c r="B8" s="44" t="s">
        <v>302</v>
      </c>
      <c r="C8" s="43" t="s">
        <v>19</v>
      </c>
      <c r="D8" s="43" t="s">
        <v>20</v>
      </c>
      <c r="E8" s="45" t="s">
        <v>21</v>
      </c>
      <c r="F8" s="46">
        <f>VLOOKUP(A8,'OBRA 02 - MEMÓRIA'!$A:$O,15,0)</f>
        <v>6</v>
      </c>
      <c r="G8" s="46">
        <f>'OBRA 02 - ANALÍTICA'!J8</f>
        <v>374.03189999999995</v>
      </c>
      <c r="H8" s="46">
        <f>G8*(1+$G$2)</f>
        <v>452.46638942999994</v>
      </c>
      <c r="I8" s="46">
        <f>TRUNC(F8*H8,2)</f>
        <v>2714.79</v>
      </c>
      <c r="J8" s="537">
        <f>I8/$H$50</f>
        <v>1.4966368164822256E-3</v>
      </c>
      <c r="M8" s="54"/>
    </row>
    <row r="9" spans="1:13" ht="15" customHeight="1">
      <c r="A9" s="536" t="s">
        <v>410</v>
      </c>
      <c r="B9" s="44" t="s">
        <v>29</v>
      </c>
      <c r="C9" s="43" t="s">
        <v>30</v>
      </c>
      <c r="D9" s="43" t="s">
        <v>560</v>
      </c>
      <c r="E9" s="45" t="s">
        <v>31</v>
      </c>
      <c r="F9" s="46">
        <f>VLOOKUP(A9,'OBRA 02 - MEMÓRIA'!$A:$O,15,0)</f>
        <v>533.35</v>
      </c>
      <c r="G9" s="46">
        <f>'OBRA 02 - ANALÍTICA'!J21</f>
        <v>9.8135000000000012</v>
      </c>
      <c r="H9" s="46">
        <f t="shared" ref="H9:H11" si="0">G9*(1+$G$2)</f>
        <v>11.871390950000002</v>
      </c>
      <c r="I9" s="46">
        <f>H9*F9</f>
        <v>6331.6063631825018</v>
      </c>
      <c r="J9" s="537">
        <f>I9/$H$50</f>
        <v>3.4905518255968463E-3</v>
      </c>
      <c r="M9" s="54"/>
    </row>
    <row r="10" spans="1:13" ht="54.6" customHeight="1">
      <c r="A10" s="536" t="s">
        <v>572</v>
      </c>
      <c r="B10" s="235" t="s">
        <v>42</v>
      </c>
      <c r="C10" s="235" t="s">
        <v>24</v>
      </c>
      <c r="D10" s="234" t="s">
        <v>669</v>
      </c>
      <c r="E10" s="45" t="s">
        <v>28</v>
      </c>
      <c r="F10" s="46">
        <f>VLOOKUP(A10,'OBRA 02 - MEMÓRIA'!$A:$O,15,0)</f>
        <v>24.00075</v>
      </c>
      <c r="G10" s="46">
        <f>'OBRA 02 - ANALÍTICA'!J31</f>
        <v>7.8073019999999991</v>
      </c>
      <c r="H10" s="46">
        <f t="shared" si="0"/>
        <v>9.444493229399999</v>
      </c>
      <c r="I10" s="46">
        <f t="shared" ref="I10:I15" si="1">TRUNC(F10*H10,2)</f>
        <v>226.67</v>
      </c>
      <c r="J10" s="537">
        <f>I10/$H$50</f>
        <v>1.2496092412010728E-4</v>
      </c>
      <c r="M10" s="54"/>
    </row>
    <row r="11" spans="1:13" ht="42" customHeight="1">
      <c r="A11" s="536" t="s">
        <v>573</v>
      </c>
      <c r="B11" s="44" t="s">
        <v>34</v>
      </c>
      <c r="C11" s="43" t="s">
        <v>24</v>
      </c>
      <c r="D11" s="43" t="s">
        <v>656</v>
      </c>
      <c r="E11" s="45" t="s">
        <v>36</v>
      </c>
      <c r="F11" s="46">
        <f>VLOOKUP(A11,'OBRA 02 - MEMÓRIA'!$A:$O,15,0)</f>
        <v>720.02250000000004</v>
      </c>
      <c r="G11" s="46">
        <f>'OBRA 02 - ANALÍTICA'!J41</f>
        <v>2.9732859999999999</v>
      </c>
      <c r="H11" s="46">
        <f t="shared" si="0"/>
        <v>3.5967840741999999</v>
      </c>
      <c r="I11" s="46">
        <f t="shared" si="1"/>
        <v>2589.7600000000002</v>
      </c>
      <c r="J11" s="537">
        <f>I11/$H$50</f>
        <v>1.427709016849557E-3</v>
      </c>
      <c r="M11" s="54"/>
    </row>
    <row r="12" spans="1:13" ht="15" customHeight="1">
      <c r="A12" s="534" t="s">
        <v>37</v>
      </c>
      <c r="B12" s="40"/>
      <c r="C12" s="40"/>
      <c r="D12" s="40" t="s">
        <v>38</v>
      </c>
      <c r="E12" s="40"/>
      <c r="F12" s="42"/>
      <c r="G12" s="40"/>
      <c r="H12" s="40"/>
      <c r="I12" s="42">
        <f>SUM(I13:I15)</f>
        <v>242869.67</v>
      </c>
      <c r="J12" s="535">
        <f>SUM(J13:J15)</f>
        <v>0.13389164161091233</v>
      </c>
      <c r="M12" s="54"/>
    </row>
    <row r="13" spans="1:13" ht="15" customHeight="1">
      <c r="A13" s="536" t="s">
        <v>39</v>
      </c>
      <c r="B13" s="44">
        <v>101124</v>
      </c>
      <c r="C13" s="43" t="s">
        <v>24</v>
      </c>
      <c r="D13" s="43" t="s">
        <v>397</v>
      </c>
      <c r="E13" s="45" t="s">
        <v>28</v>
      </c>
      <c r="F13" s="46">
        <f>VLOOKUP(A13,'OBRA 02 - MEMÓRIA'!$A:$O,15,0)</f>
        <v>1524.1254800000002</v>
      </c>
      <c r="G13" s="46">
        <f>'OBRA 02 - ANALÍTICA'!J50</f>
        <v>15.327324999999998</v>
      </c>
      <c r="H13" s="46">
        <f>G13*(1+$G$2)</f>
        <v>18.541465052499998</v>
      </c>
      <c r="I13" s="46">
        <f>TRUNC(F13*H13,2)</f>
        <v>28259.51</v>
      </c>
      <c r="J13" s="537">
        <f>I13/$H$50</f>
        <v>1.5579187738921838E-2</v>
      </c>
      <c r="M13" s="54"/>
    </row>
    <row r="14" spans="1:13" ht="15" customHeight="1">
      <c r="A14" s="536" t="s">
        <v>40</v>
      </c>
      <c r="B14" s="44" t="s">
        <v>41</v>
      </c>
      <c r="C14" s="43" t="s">
        <v>27</v>
      </c>
      <c r="D14" s="43" t="s">
        <v>562</v>
      </c>
      <c r="E14" s="45" t="s">
        <v>28</v>
      </c>
      <c r="F14" s="46">
        <f>VLOOKUP(A14,'OBRA 02 - MEMÓRIA'!$A:$O,15,0)</f>
        <v>1524.1254800000002</v>
      </c>
      <c r="G14" s="46">
        <f>'OBRA 02 - ANALÍTICA'!J60</f>
        <v>4.9014837633769313</v>
      </c>
      <c r="H14" s="46">
        <f t="shared" ref="H14:H15" si="2">G14*(1+$G$2)</f>
        <v>5.9293249085570734</v>
      </c>
      <c r="I14" s="46">
        <f t="shared" si="1"/>
        <v>9037.0300000000007</v>
      </c>
      <c r="J14" s="537">
        <f>I14/$H$50</f>
        <v>4.9820250589011923E-3</v>
      </c>
      <c r="M14" s="54"/>
    </row>
    <row r="15" spans="1:13" ht="30" customHeight="1">
      <c r="A15" s="536" t="s">
        <v>396</v>
      </c>
      <c r="B15" s="44" t="s">
        <v>34</v>
      </c>
      <c r="C15" s="43" t="s">
        <v>24</v>
      </c>
      <c r="D15" s="43" t="s">
        <v>654</v>
      </c>
      <c r="E15" s="45" t="s">
        <v>36</v>
      </c>
      <c r="F15" s="46">
        <f>VLOOKUP(A15,'OBRA 02 - MEMÓRIA'!$A:$O,15,0)</f>
        <v>57154.705500000011</v>
      </c>
      <c r="G15" s="46">
        <f>'OBRA 02 - ANALÍTICA'!J83</f>
        <v>2.9732859999999999</v>
      </c>
      <c r="H15" s="46">
        <f t="shared" si="2"/>
        <v>3.5967840741999999</v>
      </c>
      <c r="I15" s="46">
        <f t="shared" si="1"/>
        <v>205573.13</v>
      </c>
      <c r="J15" s="537">
        <f>I15/$H$50</f>
        <v>0.1133304288130893</v>
      </c>
      <c r="M15" s="54"/>
    </row>
    <row r="16" spans="1:13" ht="15" customHeight="1">
      <c r="A16" s="534" t="s">
        <v>44</v>
      </c>
      <c r="B16" s="40"/>
      <c r="C16" s="40"/>
      <c r="D16" s="40" t="s">
        <v>45</v>
      </c>
      <c r="E16" s="40"/>
      <c r="F16" s="42"/>
      <c r="G16" s="40"/>
      <c r="H16" s="40"/>
      <c r="I16" s="42">
        <f>I17+I24</f>
        <v>1231542.3900000001</v>
      </c>
      <c r="J16" s="535">
        <f>J17+J24</f>
        <v>0.67893711186961481</v>
      </c>
      <c r="M16" s="54"/>
    </row>
    <row r="17" spans="1:13" ht="15" customHeight="1">
      <c r="A17" s="534" t="s">
        <v>46</v>
      </c>
      <c r="B17" s="40"/>
      <c r="C17" s="40"/>
      <c r="D17" s="40" t="s">
        <v>47</v>
      </c>
      <c r="E17" s="40"/>
      <c r="F17" s="42"/>
      <c r="G17" s="40"/>
      <c r="H17" s="40"/>
      <c r="I17" s="42">
        <f>SUM(I18:I23)</f>
        <v>534700.58000000007</v>
      </c>
      <c r="J17" s="535">
        <f>SUM(J18:J23)</f>
        <v>0.29477512950261331</v>
      </c>
      <c r="M17" s="54"/>
    </row>
    <row r="18" spans="1:13" ht="30" customHeight="1">
      <c r="A18" s="536" t="s">
        <v>48</v>
      </c>
      <c r="B18" s="44" t="s">
        <v>49</v>
      </c>
      <c r="C18" s="43" t="s">
        <v>24</v>
      </c>
      <c r="D18" s="43" t="s">
        <v>50</v>
      </c>
      <c r="E18" s="45" t="s">
        <v>21</v>
      </c>
      <c r="F18" s="46">
        <f>VLOOKUP(A18,'OBRA 02 - MEMÓRIA'!$A:$O,15,0)</f>
        <v>3810.3137000000002</v>
      </c>
      <c r="G18" s="46">
        <f>'OBRA 02 - ANALÍTICA'!J93</f>
        <v>1.98004779</v>
      </c>
      <c r="H18" s="46">
        <f>G18*(1+$G$2)</f>
        <v>2.3952638115629998</v>
      </c>
      <c r="I18" s="46">
        <f t="shared" ref="I18:I23" si="3">TRUNC(F18*H18,2)</f>
        <v>9126.7000000000007</v>
      </c>
      <c r="J18" s="537">
        <f t="shared" ref="J18:J23" si="4">I18/$H$50</f>
        <v>5.0314592410419696E-3</v>
      </c>
      <c r="M18" s="54"/>
    </row>
    <row r="19" spans="1:13" ht="54.6" customHeight="1">
      <c r="A19" s="536" t="s">
        <v>51</v>
      </c>
      <c r="B19" s="44" t="s">
        <v>52</v>
      </c>
      <c r="C19" s="43" t="s">
        <v>24</v>
      </c>
      <c r="D19" s="43" t="s">
        <v>53</v>
      </c>
      <c r="E19" s="45" t="s">
        <v>28</v>
      </c>
      <c r="F19" s="46">
        <f>VLOOKUP(A19,'OBRA 02 - MEMÓRIA'!$A:$O,15,0)</f>
        <v>762.06274000000008</v>
      </c>
      <c r="G19" s="46">
        <f>'OBRA 02 - ANALÍTICA'!J106</f>
        <v>93.440669999999997</v>
      </c>
      <c r="H19" s="46">
        <f t="shared" ref="H19:H39" si="5">G19*(1+$G$2)</f>
        <v>113.035178499</v>
      </c>
      <c r="I19" s="46">
        <f t="shared" si="3"/>
        <v>86139.89</v>
      </c>
      <c r="J19" s="537">
        <f t="shared" si="4"/>
        <v>4.7488067490203331E-2</v>
      </c>
      <c r="M19" s="54"/>
    </row>
    <row r="20" spans="1:13" ht="15" customHeight="1">
      <c r="A20" s="538" t="s">
        <v>411</v>
      </c>
      <c r="B20" s="56" t="s">
        <v>307</v>
      </c>
      <c r="C20" s="55" t="s">
        <v>24</v>
      </c>
      <c r="D20" s="55" t="s">
        <v>308</v>
      </c>
      <c r="E20" s="57" t="s">
        <v>28</v>
      </c>
      <c r="F20" s="58">
        <f>VLOOKUP(A20,'OBRA 02 - MEMÓRIA'!$A:$O,15,0)</f>
        <v>476.28921250000008</v>
      </c>
      <c r="G20" s="58">
        <f>'OBRA 02 - ANALÍTICA'!J126</f>
        <v>60.92</v>
      </c>
      <c r="H20" s="46">
        <f>G20*(1+$H$2)</f>
        <v>69.46098400000001</v>
      </c>
      <c r="I20" s="58">
        <f t="shared" si="3"/>
        <v>33083.51</v>
      </c>
      <c r="J20" s="540">
        <f t="shared" si="4"/>
        <v>1.8238611120734157E-2</v>
      </c>
      <c r="M20" s="54"/>
    </row>
    <row r="21" spans="1:13" ht="30" customHeight="1">
      <c r="A21" s="570" t="s">
        <v>309</v>
      </c>
      <c r="B21" s="60">
        <v>96396</v>
      </c>
      <c r="C21" s="59" t="s">
        <v>24</v>
      </c>
      <c r="D21" s="43" t="s">
        <v>55</v>
      </c>
      <c r="E21" s="61" t="s">
        <v>28</v>
      </c>
      <c r="F21" s="46">
        <f>VLOOKUP(A21,'OBRA 02 - MEMÓRIA'!$A:$O,15,0)</f>
        <v>762.06274000000008</v>
      </c>
      <c r="G21" s="62">
        <f>'OBRA 02 - ANALÍTICA'!J132</f>
        <v>234.43375</v>
      </c>
      <c r="H21" s="46">
        <f t="shared" si="5"/>
        <v>283.59450737499998</v>
      </c>
      <c r="I21" s="62">
        <f>TRUNC(F21*H21,2)</f>
        <v>216116.8</v>
      </c>
      <c r="J21" s="571">
        <f t="shared" si="4"/>
        <v>0.11914304956933164</v>
      </c>
      <c r="M21" s="54"/>
    </row>
    <row r="22" spans="1:13" ht="15.6" customHeight="1">
      <c r="A22" s="536" t="s">
        <v>326</v>
      </c>
      <c r="B22" s="44" t="s">
        <v>42</v>
      </c>
      <c r="C22" s="43" t="s">
        <v>24</v>
      </c>
      <c r="D22" s="43" t="s">
        <v>659</v>
      </c>
      <c r="E22" s="45" t="s">
        <v>28</v>
      </c>
      <c r="F22" s="46">
        <f>VLOOKUP(A22,'OBRA 02 - MEMÓRIA'!$A:$O,15,0)</f>
        <v>1905.1568500000003</v>
      </c>
      <c r="G22" s="46">
        <f>'OBRA 02 - ANALÍTICA'!J148</f>
        <v>7.8073019999999991</v>
      </c>
      <c r="H22" s="46">
        <f t="shared" si="5"/>
        <v>9.444493229399999</v>
      </c>
      <c r="I22" s="46">
        <f>TRUNC(F22*H22,2)</f>
        <v>17993.240000000002</v>
      </c>
      <c r="J22" s="537">
        <f t="shared" si="4"/>
        <v>9.9194948529354541E-3</v>
      </c>
      <c r="M22" s="54"/>
    </row>
    <row r="23" spans="1:13" ht="15.6" customHeight="1">
      <c r="A23" s="536" t="s">
        <v>327</v>
      </c>
      <c r="B23" s="44" t="s">
        <v>56</v>
      </c>
      <c r="C23" s="43" t="s">
        <v>24</v>
      </c>
      <c r="D23" s="43" t="s">
        <v>658</v>
      </c>
      <c r="E23" s="45" t="s">
        <v>36</v>
      </c>
      <c r="F23" s="46">
        <f>VLOOKUP(A23,'OBRA 02 - MEMÓRIA'!$A:$O,15,0)</f>
        <v>57154.705500000011</v>
      </c>
      <c r="G23" s="46">
        <f>'OBRA 02 - ANALÍTICA'!J158</f>
        <v>2.4911820000000002</v>
      </c>
      <c r="H23" s="46">
        <f t="shared" si="5"/>
        <v>3.0135828654000001</v>
      </c>
      <c r="I23" s="46">
        <f t="shared" si="3"/>
        <v>172240.44</v>
      </c>
      <c r="J23" s="537">
        <f t="shared" si="4"/>
        <v>9.4954447228366753E-2</v>
      </c>
      <c r="M23" s="54"/>
    </row>
    <row r="24" spans="1:13" ht="15" customHeight="1">
      <c r="A24" s="534" t="s">
        <v>58</v>
      </c>
      <c r="B24" s="40"/>
      <c r="C24" s="40"/>
      <c r="D24" s="40" t="s">
        <v>59</v>
      </c>
      <c r="E24" s="40"/>
      <c r="F24" s="42"/>
      <c r="G24" s="40"/>
      <c r="H24" s="40"/>
      <c r="I24" s="42">
        <f>SUM(I25:I36)</f>
        <v>696841.81</v>
      </c>
      <c r="J24" s="535">
        <f>SUM(J25:J36)</f>
        <v>0.38416198236700144</v>
      </c>
      <c r="M24" s="54"/>
    </row>
    <row r="25" spans="1:13" ht="30" customHeight="1">
      <c r="A25" s="536" t="s">
        <v>335</v>
      </c>
      <c r="B25" s="3" t="s">
        <v>603</v>
      </c>
      <c r="C25" s="27" t="s">
        <v>27</v>
      </c>
      <c r="D25" s="27" t="s">
        <v>630</v>
      </c>
      <c r="E25" s="61" t="s">
        <v>28</v>
      </c>
      <c r="F25" s="46">
        <f>VLOOKUP(A25,'OBRA 02 - MEMÓRIA'!$A:$O,15,0)</f>
        <v>1288.20108</v>
      </c>
      <c r="G25" s="46">
        <f>'OBRA 02 - ANALÍTICA'!J167</f>
        <v>116.68798715613828</v>
      </c>
      <c r="H25" s="46">
        <f t="shared" si="5"/>
        <v>141.15745806278048</v>
      </c>
      <c r="I25" s="46">
        <f>TRUNC(F25*H25,2)</f>
        <v>181839.18</v>
      </c>
      <c r="J25" s="537">
        <f t="shared" ref="J25:J36" si="6">I25/$H$50</f>
        <v>0.10024613744228407</v>
      </c>
      <c r="M25" s="54"/>
    </row>
    <row r="26" spans="1:13" ht="15" customHeight="1">
      <c r="A26" s="536" t="s">
        <v>414</v>
      </c>
      <c r="B26" s="44" t="s">
        <v>62</v>
      </c>
      <c r="C26" s="43" t="s">
        <v>27</v>
      </c>
      <c r="D26" s="43" t="s">
        <v>563</v>
      </c>
      <c r="E26" s="45" t="s">
        <v>21</v>
      </c>
      <c r="F26" s="46">
        <f>VLOOKUP(A26,'OBRA 02 - MEMÓRIA'!$A:$O,15,0)</f>
        <v>4127.808</v>
      </c>
      <c r="G26" s="46">
        <f>'OBRA 02 - ANALÍTICA'!J208</f>
        <v>0.39891387824278257</v>
      </c>
      <c r="H26" s="46">
        <f t="shared" si="5"/>
        <v>0.48256611851029407</v>
      </c>
      <c r="I26" s="46">
        <f t="shared" ref="I26:I28" si="7">TRUNC(F26*H26,2)</f>
        <v>1991.94</v>
      </c>
      <c r="J26" s="537">
        <f t="shared" si="6"/>
        <v>1.0981367767759586E-3</v>
      </c>
      <c r="M26" s="54"/>
    </row>
    <row r="27" spans="1:13" ht="15" customHeight="1">
      <c r="A27" s="536" t="s">
        <v>415</v>
      </c>
      <c r="B27" s="44" t="s">
        <v>63</v>
      </c>
      <c r="C27" s="43" t="s">
        <v>27</v>
      </c>
      <c r="D27" s="43" t="s">
        <v>564</v>
      </c>
      <c r="E27" s="45" t="s">
        <v>21</v>
      </c>
      <c r="F27" s="46">
        <f>VLOOKUP(A27,'OBRA 02 - MEMÓRIA'!$A:$O,15,0)</f>
        <v>8421.8116000000009</v>
      </c>
      <c r="G27" s="46">
        <f>'OBRA 02 - ANALÍTICA'!J231</f>
        <v>0.27620920000000004</v>
      </c>
      <c r="H27" s="46">
        <f t="shared" si="5"/>
        <v>0.33413026924000006</v>
      </c>
      <c r="I27" s="46">
        <f t="shared" si="7"/>
        <v>2813.98</v>
      </c>
      <c r="J27" s="537">
        <f t="shared" si="6"/>
        <v>1.5513192802554352E-3</v>
      </c>
      <c r="M27" s="54"/>
    </row>
    <row r="28" spans="1:13" ht="15" customHeight="1">
      <c r="A28" s="536" t="s">
        <v>416</v>
      </c>
      <c r="B28" s="44" t="s">
        <v>60</v>
      </c>
      <c r="C28" s="43" t="s">
        <v>27</v>
      </c>
      <c r="D28" s="43" t="s">
        <v>565</v>
      </c>
      <c r="E28" s="45" t="s">
        <v>61</v>
      </c>
      <c r="F28" s="46">
        <f>VLOOKUP(A28,'OBRA 02 - MEMÓRIA'!$A:$O,15,0)</f>
        <v>1010.617392</v>
      </c>
      <c r="G28" s="46">
        <f>'OBRA 02 - ANALÍTICA'!J254</f>
        <v>196.22979753012049</v>
      </c>
      <c r="H28" s="46">
        <f t="shared" si="5"/>
        <v>237.37918607218677</v>
      </c>
      <c r="I28" s="46">
        <f t="shared" si="7"/>
        <v>239899.53</v>
      </c>
      <c r="J28" s="537">
        <f t="shared" si="6"/>
        <v>0.1322542328706022</v>
      </c>
      <c r="M28" s="54"/>
    </row>
    <row r="29" spans="1:13" ht="30" customHeight="1">
      <c r="A29" s="536" t="s">
        <v>339</v>
      </c>
      <c r="B29" s="44" t="s">
        <v>56</v>
      </c>
      <c r="C29" s="43" t="s">
        <v>24</v>
      </c>
      <c r="D29" s="43" t="s">
        <v>418</v>
      </c>
      <c r="E29" s="45" t="s">
        <v>36</v>
      </c>
      <c r="F29" s="46">
        <f>VLOOKUP(A29,'OBRA 02 - MEMÓRIA'!$A:$O,15,0)</f>
        <v>12632.717400000001</v>
      </c>
      <c r="G29" s="46">
        <f>'OBRA 02 - ANALÍTICA'!J285</f>
        <v>2.4911820000000002</v>
      </c>
      <c r="H29" s="46">
        <f t="shared" si="5"/>
        <v>3.0135828654000001</v>
      </c>
      <c r="I29" s="46">
        <f t="shared" ref="I29:I36" si="8">TRUNC(F29*H29,2)</f>
        <v>38069.74</v>
      </c>
      <c r="J29" s="537">
        <f t="shared" si="6"/>
        <v>2.0987470293431919E-2</v>
      </c>
      <c r="M29" s="54"/>
    </row>
    <row r="30" spans="1:13" ht="30" customHeight="1">
      <c r="A30" s="536" t="s">
        <v>340</v>
      </c>
      <c r="B30" s="44" t="s">
        <v>56</v>
      </c>
      <c r="C30" s="43" t="s">
        <v>24</v>
      </c>
      <c r="D30" s="43" t="s">
        <v>419</v>
      </c>
      <c r="E30" s="45" t="s">
        <v>36</v>
      </c>
      <c r="F30" s="46">
        <f>VLOOKUP(A30,'OBRA 02 - MEMÓRIA'!$A:$O,15,0)</f>
        <v>9661.5081000000009</v>
      </c>
      <c r="G30" s="46">
        <f>'OBRA 02 - ANALÍTICA'!J293</f>
        <v>2.4911820000000002</v>
      </c>
      <c r="H30" s="46">
        <f t="shared" si="5"/>
        <v>3.0135828654000001</v>
      </c>
      <c r="I30" s="46">
        <f t="shared" si="8"/>
        <v>29115.75</v>
      </c>
      <c r="J30" s="537">
        <f t="shared" si="6"/>
        <v>1.6051224363391774E-2</v>
      </c>
      <c r="M30" s="54"/>
    </row>
    <row r="31" spans="1:13" ht="42" customHeight="1">
      <c r="A31" s="536" t="s">
        <v>341</v>
      </c>
      <c r="B31" s="44">
        <v>102330</v>
      </c>
      <c r="C31" s="43" t="s">
        <v>24</v>
      </c>
      <c r="D31" s="43" t="s">
        <v>65</v>
      </c>
      <c r="E31" s="45" t="s">
        <v>66</v>
      </c>
      <c r="F31" s="46">
        <f>VLOOKUP(A31,'OBRA 02 - MEMÓRIA'!$A:$O,15,0)</f>
        <v>1271.5920203904002</v>
      </c>
      <c r="G31" s="46">
        <f>'OBRA 02 - ANALÍTICA'!J301</f>
        <v>1.425548</v>
      </c>
      <c r="H31" s="46">
        <f t="shared" si="5"/>
        <v>1.7244854156</v>
      </c>
      <c r="I31" s="46">
        <f t="shared" si="8"/>
        <v>2192.84</v>
      </c>
      <c r="J31" s="537">
        <f t="shared" si="6"/>
        <v>1.2088909553427277E-3</v>
      </c>
      <c r="M31" s="54"/>
    </row>
    <row r="32" spans="1:13" ht="42" customHeight="1">
      <c r="A32" s="536" t="s">
        <v>342</v>
      </c>
      <c r="B32" s="44" t="s">
        <v>67</v>
      </c>
      <c r="C32" s="43" t="s">
        <v>24</v>
      </c>
      <c r="D32" s="43" t="s">
        <v>68</v>
      </c>
      <c r="E32" s="45" t="s">
        <v>66</v>
      </c>
      <c r="F32" s="46">
        <f>VLOOKUP(A32,'OBRA 02 - MEMÓRIA'!$A:$O,15,0)</f>
        <v>19921.608319449602</v>
      </c>
      <c r="G32" s="46">
        <f>'OBRA 02 - ANALÍTICA'!J309</f>
        <v>0.56272500000000003</v>
      </c>
      <c r="H32" s="46">
        <f t="shared" si="5"/>
        <v>0.68072843250000004</v>
      </c>
      <c r="I32" s="46">
        <f t="shared" si="8"/>
        <v>13561.2</v>
      </c>
      <c r="J32" s="537">
        <f t="shared" si="6"/>
        <v>7.476155133796264E-3</v>
      </c>
      <c r="M32" s="54"/>
    </row>
    <row r="33" spans="1:13" ht="15" customHeight="1">
      <c r="A33" s="536" t="s">
        <v>343</v>
      </c>
      <c r="B33" s="44" t="s">
        <v>69</v>
      </c>
      <c r="C33" s="43" t="s">
        <v>19</v>
      </c>
      <c r="D33" s="43" t="s">
        <v>70</v>
      </c>
      <c r="E33" s="45" t="s">
        <v>21</v>
      </c>
      <c r="F33" s="46">
        <f>VLOOKUP(A33,'OBRA 02 - MEMÓRIA'!$A:$O,15,0)</f>
        <v>8421.8116000000009</v>
      </c>
      <c r="G33" s="46">
        <f>'OBRA 02 - ANALÍTICA'!J317</f>
        <v>0.58518999999999999</v>
      </c>
      <c r="H33" s="46">
        <f t="shared" si="5"/>
        <v>0.70790434299999994</v>
      </c>
      <c r="I33" s="46">
        <f t="shared" si="8"/>
        <v>5961.83</v>
      </c>
      <c r="J33" s="537">
        <f t="shared" si="6"/>
        <v>3.2866977820045847E-3</v>
      </c>
      <c r="M33" s="54"/>
    </row>
    <row r="34" spans="1:13" ht="15" customHeight="1">
      <c r="A34" s="538" t="s">
        <v>344</v>
      </c>
      <c r="B34" s="56" t="s">
        <v>303</v>
      </c>
      <c r="C34" s="56" t="s">
        <v>303</v>
      </c>
      <c r="D34" s="55" t="s">
        <v>304</v>
      </c>
      <c r="E34" s="57" t="s">
        <v>306</v>
      </c>
      <c r="F34" s="58">
        <f>VLOOKUP(A34,'OBRA 02 - MEMÓRIA'!$A:$O,15,0)</f>
        <v>3.7898152200000004</v>
      </c>
      <c r="G34" s="58">
        <f>'OBRA 02 - ANALÍTICA'!J324</f>
        <v>3037.47</v>
      </c>
      <c r="H34" s="58">
        <f>G34*(1+$H$2)</f>
        <v>3463.3232940000003</v>
      </c>
      <c r="I34" s="58">
        <f t="shared" si="8"/>
        <v>13125.35</v>
      </c>
      <c r="J34" s="540">
        <f t="shared" si="6"/>
        <v>7.2358753491853813E-3</v>
      </c>
      <c r="M34" s="54"/>
    </row>
    <row r="35" spans="1:13" ht="15" customHeight="1">
      <c r="A35" s="538" t="s">
        <v>420</v>
      </c>
      <c r="B35" s="56" t="s">
        <v>303</v>
      </c>
      <c r="C35" s="56" t="s">
        <v>303</v>
      </c>
      <c r="D35" s="55" t="s">
        <v>305</v>
      </c>
      <c r="E35" s="57" t="s">
        <v>306</v>
      </c>
      <c r="F35" s="58">
        <f>VLOOKUP(A35,'OBRA 02 - MEMÓRIA'!$A:$O,15,0)</f>
        <v>5.3661503999999995</v>
      </c>
      <c r="G35" s="58">
        <f>'OBRA 02 - ANALÍTICA'!J330</f>
        <v>2554.84</v>
      </c>
      <c r="H35" s="58">
        <f t="shared" ref="H35:H36" si="9">G35*(1+$H$2)</f>
        <v>2913.0285680000006</v>
      </c>
      <c r="I35" s="58">
        <f t="shared" si="8"/>
        <v>15631.74</v>
      </c>
      <c r="J35" s="540">
        <f t="shared" si="6"/>
        <v>8.6176233114450343E-3</v>
      </c>
      <c r="M35" s="54"/>
    </row>
    <row r="36" spans="1:13" ht="15" customHeight="1">
      <c r="A36" s="538" t="s">
        <v>421</v>
      </c>
      <c r="B36" s="56" t="s">
        <v>303</v>
      </c>
      <c r="C36" s="56" t="s">
        <v>303</v>
      </c>
      <c r="D36" s="55" t="s">
        <v>310</v>
      </c>
      <c r="E36" s="57" t="s">
        <v>306</v>
      </c>
      <c r="F36" s="58">
        <f>VLOOKUP(A36,'OBRA 02 - MEMÓRIA'!$A:$O,15,0)</f>
        <v>33.230435059680005</v>
      </c>
      <c r="G36" s="58">
        <f>'OBRA 02 - ANALÍTICA'!J336</f>
        <v>4028.54</v>
      </c>
      <c r="H36" s="58">
        <f t="shared" si="9"/>
        <v>4593.341308</v>
      </c>
      <c r="I36" s="58">
        <f t="shared" si="8"/>
        <v>152638.73000000001</v>
      </c>
      <c r="J36" s="540">
        <f t="shared" si="6"/>
        <v>8.4148218808486108E-2</v>
      </c>
      <c r="M36" s="54"/>
    </row>
    <row r="37" spans="1:13" ht="15" customHeight="1">
      <c r="A37" s="534" t="s">
        <v>71</v>
      </c>
      <c r="B37" s="40"/>
      <c r="C37" s="40"/>
      <c r="D37" s="40" t="s">
        <v>72</v>
      </c>
      <c r="E37" s="40"/>
      <c r="F37" s="42"/>
      <c r="G37" s="40"/>
      <c r="H37" s="40"/>
      <c r="I37" s="42">
        <f>SUM(I38:I39)</f>
        <v>98220.55</v>
      </c>
      <c r="J37" s="535">
        <f>SUM(J38:J39)</f>
        <v>5.4148015597940635E-2</v>
      </c>
      <c r="M37" s="54"/>
    </row>
    <row r="38" spans="1:13" ht="54.6" customHeight="1">
      <c r="A38" s="536" t="s">
        <v>73</v>
      </c>
      <c r="B38" s="44" t="s">
        <v>74</v>
      </c>
      <c r="C38" s="43" t="s">
        <v>24</v>
      </c>
      <c r="D38" s="43" t="s">
        <v>75</v>
      </c>
      <c r="E38" s="45" t="s">
        <v>76</v>
      </c>
      <c r="F38" s="46">
        <f>VLOOKUP(A38,'OBRA 02 - MEMÓRIA'!$A:$O,15,0)</f>
        <v>885.87</v>
      </c>
      <c r="G38" s="46">
        <f>'OBRA 02 - ANALÍTICA'!J343</f>
        <v>50.003387999999994</v>
      </c>
      <c r="H38" s="46">
        <f t="shared" si="5"/>
        <v>60.489098463599994</v>
      </c>
      <c r="I38" s="46">
        <f>TRUNC(F38*H38,2)</f>
        <v>53585.47</v>
      </c>
      <c r="J38" s="537">
        <f>I38/$H$50</f>
        <v>2.9541138441832999E-2</v>
      </c>
      <c r="M38" s="54"/>
    </row>
    <row r="39" spans="1:13" ht="30" customHeight="1">
      <c r="A39" s="536" t="s">
        <v>77</v>
      </c>
      <c r="B39" s="44" t="s">
        <v>78</v>
      </c>
      <c r="C39" s="43" t="s">
        <v>24</v>
      </c>
      <c r="D39" s="43" t="s">
        <v>79</v>
      </c>
      <c r="E39" s="45" t="s">
        <v>76</v>
      </c>
      <c r="F39" s="46">
        <f>VLOOKUP(A39,'OBRA 02 - MEMÓRIA'!$A:$O,15,0)</f>
        <v>885.87</v>
      </c>
      <c r="G39" s="46">
        <f>'OBRA 02 - ANALÍTICA'!J354</f>
        <v>41.651311</v>
      </c>
      <c r="H39" s="46">
        <f t="shared" si="5"/>
        <v>50.385590916699996</v>
      </c>
      <c r="I39" s="46">
        <f>TRUNC(F39*H39,2)</f>
        <v>44635.08</v>
      </c>
      <c r="J39" s="537">
        <f>I39/$H$50</f>
        <v>2.460687715610764E-2</v>
      </c>
      <c r="M39" s="54"/>
    </row>
    <row r="40" spans="1:13" ht="15" customHeight="1">
      <c r="A40" s="534" t="s">
        <v>80</v>
      </c>
      <c r="B40" s="40"/>
      <c r="C40" s="40"/>
      <c r="D40" s="40" t="s">
        <v>81</v>
      </c>
      <c r="E40" s="40"/>
      <c r="F40" s="42"/>
      <c r="G40" s="40"/>
      <c r="H40" s="40"/>
      <c r="I40" s="42">
        <f>SUM(I41:I44)</f>
        <v>109844.35</v>
      </c>
      <c r="J40" s="535">
        <f>SUM(J41:J44)</f>
        <v>6.0556101316329942E-2</v>
      </c>
      <c r="M40" s="54"/>
    </row>
    <row r="41" spans="1:13" ht="30" customHeight="1">
      <c r="A41" s="536" t="s">
        <v>372</v>
      </c>
      <c r="B41" s="44" t="s">
        <v>82</v>
      </c>
      <c r="C41" s="43" t="s">
        <v>24</v>
      </c>
      <c r="D41" s="43" t="s">
        <v>83</v>
      </c>
      <c r="E41" s="45" t="s">
        <v>21</v>
      </c>
      <c r="F41" s="46">
        <f>VLOOKUP(A41,'OBRA 02 - MEMÓRIA'!$A:$O,15,0)</f>
        <v>191.62</v>
      </c>
      <c r="G41" s="46">
        <f>'OBRA 02 - ANALÍTICA'!J367</f>
        <v>81.545006000000001</v>
      </c>
      <c r="H41" s="46">
        <f t="shared" ref="H41:H44" si="10">G41*(1+$G$2)</f>
        <v>98.644993758200002</v>
      </c>
      <c r="I41" s="46">
        <f>TRUNC(F41*H41,2)</f>
        <v>18902.349999999999</v>
      </c>
      <c r="J41" s="537">
        <f>I41/$H$50</f>
        <v>1.0420678184328363E-2</v>
      </c>
      <c r="M41" s="54"/>
    </row>
    <row r="42" spans="1:13" ht="42" customHeight="1">
      <c r="A42" s="536" t="s">
        <v>373</v>
      </c>
      <c r="B42" s="44" t="s">
        <v>422</v>
      </c>
      <c r="C42" s="43" t="s">
        <v>24</v>
      </c>
      <c r="D42" s="43" t="s">
        <v>423</v>
      </c>
      <c r="E42" s="45" t="s">
        <v>21</v>
      </c>
      <c r="F42" s="46">
        <f>VLOOKUP(A42,'OBRA 02 - MEMÓRIA'!$A:$O,15,0)</f>
        <v>927.05</v>
      </c>
      <c r="G42" s="46">
        <f>'OBRA 02 - ANALÍTICA'!J382</f>
        <v>79.956769999999992</v>
      </c>
      <c r="H42" s="46">
        <f t="shared" si="10"/>
        <v>96.723704668999986</v>
      </c>
      <c r="I42" s="46">
        <f>TRUNC(F42*H42,2)</f>
        <v>89667.71</v>
      </c>
      <c r="J42" s="537">
        <f>I42/$H$50</f>
        <v>4.94329196864772E-2</v>
      </c>
      <c r="M42" s="54"/>
    </row>
    <row r="43" spans="1:13" ht="15" customHeight="1">
      <c r="A43" s="536" t="s">
        <v>374</v>
      </c>
      <c r="B43" s="44" t="s">
        <v>42</v>
      </c>
      <c r="C43" s="43" t="s">
        <v>24</v>
      </c>
      <c r="D43" s="43" t="s">
        <v>667</v>
      </c>
      <c r="E43" s="45" t="s">
        <v>28</v>
      </c>
      <c r="F43" s="46">
        <f>VLOOKUP(A43,'OBRA 02 - MEMÓRIA'!$A:$O,15,0)</f>
        <v>12.761892000000001</v>
      </c>
      <c r="G43" s="46">
        <f>'OBRA 02 - ANALÍTICA'!J395</f>
        <v>7.8073019999999991</v>
      </c>
      <c r="H43" s="46">
        <f t="shared" si="10"/>
        <v>9.444493229399999</v>
      </c>
      <c r="I43" s="46">
        <f>TRUNC(F43*H43,2)</f>
        <v>120.52</v>
      </c>
      <c r="J43" s="537">
        <f>I43/$H$50</f>
        <v>6.6441481338312656E-5</v>
      </c>
    </row>
    <row r="44" spans="1:13" ht="15" customHeight="1">
      <c r="A44" s="536" t="s">
        <v>424</v>
      </c>
      <c r="B44" s="44" t="s">
        <v>56</v>
      </c>
      <c r="C44" s="43" t="s">
        <v>24</v>
      </c>
      <c r="D44" s="43" t="s">
        <v>653</v>
      </c>
      <c r="E44" s="45" t="s">
        <v>36</v>
      </c>
      <c r="F44" s="46">
        <f>VLOOKUP(A44,'OBRA 02 - MEMÓRIA'!$A:$O,15,0)</f>
        <v>382.85676000000007</v>
      </c>
      <c r="G44" s="46">
        <f>'OBRA 02 - ANALÍTICA'!J405</f>
        <v>2.4911820000000002</v>
      </c>
      <c r="H44" s="46">
        <f t="shared" si="10"/>
        <v>3.0135828654000001</v>
      </c>
      <c r="I44" s="46">
        <f>TRUNC(F44*H44,2)</f>
        <v>1153.77</v>
      </c>
      <c r="J44" s="537">
        <f>I44/$H$50</f>
        <v>6.3606196418606871E-4</v>
      </c>
    </row>
    <row r="45" spans="1:13" ht="15" customHeight="1">
      <c r="A45" s="534">
        <v>6</v>
      </c>
      <c r="B45" s="40"/>
      <c r="C45" s="40"/>
      <c r="D45" s="40" t="s">
        <v>329</v>
      </c>
      <c r="E45" s="40"/>
      <c r="F45" s="42"/>
      <c r="G45" s="40"/>
      <c r="H45" s="40"/>
      <c r="I45" s="42">
        <f>I46</f>
        <v>20992.07</v>
      </c>
      <c r="J45" s="535">
        <f>J46</f>
        <v>1.157272010585424E-2</v>
      </c>
    </row>
    <row r="46" spans="1:13" ht="15" customHeight="1">
      <c r="A46" s="536" t="s">
        <v>85</v>
      </c>
      <c r="B46" s="44" t="s">
        <v>330</v>
      </c>
      <c r="C46" s="43" t="s">
        <v>24</v>
      </c>
      <c r="D46" s="43" t="s">
        <v>331</v>
      </c>
      <c r="E46" s="45" t="s">
        <v>76</v>
      </c>
      <c r="F46" s="46">
        <f>VLOOKUP(A46,'OBRA 02 - MEMÓRIA'!$A:$O,15,0)</f>
        <v>2716.65</v>
      </c>
      <c r="G46" s="63">
        <f>'OBRA 02 - ANALÍTICA'!J414</f>
        <v>6.3876930000000005</v>
      </c>
      <c r="H46" s="46">
        <f t="shared" ref="H46" si="11">G46*(1+$G$2)</f>
        <v>7.7271922221000002</v>
      </c>
      <c r="I46" s="63">
        <f>TRUNC(F46*H46,2)</f>
        <v>20992.07</v>
      </c>
      <c r="J46" s="572">
        <f>I46/$H$50</f>
        <v>1.157272010585424E-2</v>
      </c>
    </row>
    <row r="47" spans="1:13" ht="15" customHeight="1">
      <c r="A47" s="534">
        <v>7</v>
      </c>
      <c r="B47" s="40"/>
      <c r="C47" s="40"/>
      <c r="D47" s="40" t="s">
        <v>87</v>
      </c>
      <c r="E47" s="40"/>
      <c r="F47" s="42"/>
      <c r="G47" s="40"/>
      <c r="H47" s="40"/>
      <c r="I47" s="42">
        <f>I48</f>
        <v>98595.19</v>
      </c>
      <c r="J47" s="535">
        <f>J48</f>
        <v>5.4354550916299295E-2</v>
      </c>
    </row>
    <row r="48" spans="1:13" ht="15" customHeight="1">
      <c r="A48" s="536" t="s">
        <v>86</v>
      </c>
      <c r="B48" s="44" t="s">
        <v>88</v>
      </c>
      <c r="C48" s="43" t="s">
        <v>19</v>
      </c>
      <c r="D48" s="43" t="s">
        <v>89</v>
      </c>
      <c r="E48" s="45" t="s">
        <v>90</v>
      </c>
      <c r="F48" s="46">
        <f>'OBRA 02 - MEMÓRIA'!O89</f>
        <v>1.6</v>
      </c>
      <c r="G48" s="46">
        <f>'OBRA 02 - ANALÍTICA'!J429</f>
        <v>50939.899999999994</v>
      </c>
      <c r="H48" s="46">
        <f t="shared" ref="H48" si="12">G48*(1+$G$2)</f>
        <v>61621.997029999991</v>
      </c>
      <c r="I48" s="46">
        <f>TRUNC(F48*H48,2)</f>
        <v>98595.19</v>
      </c>
      <c r="J48" s="537">
        <f>I48/$H$50</f>
        <v>5.4354550916299295E-2</v>
      </c>
    </row>
    <row r="49" spans="1:10">
      <c r="A49" s="573"/>
      <c r="B49" s="574"/>
      <c r="C49" s="574"/>
      <c r="D49" s="574"/>
      <c r="E49" s="574"/>
      <c r="F49" s="575"/>
      <c r="G49" s="574"/>
      <c r="H49" s="574"/>
      <c r="I49" s="574"/>
      <c r="J49" s="576"/>
    </row>
    <row r="50" spans="1:10">
      <c r="A50" s="998"/>
      <c r="B50" s="999"/>
      <c r="C50" s="999"/>
      <c r="D50" s="545"/>
      <c r="E50" s="544"/>
      <c r="F50" s="999" t="s">
        <v>328</v>
      </c>
      <c r="G50" s="999"/>
      <c r="H50" s="1000">
        <f>I47+I40+I37+I16+I12+I7+I45</f>
        <v>1813927.0463631826</v>
      </c>
      <c r="I50" s="999"/>
      <c r="J50" s="1001"/>
    </row>
    <row r="51" spans="1:10">
      <c r="A51" s="1002" t="s">
        <v>793</v>
      </c>
      <c r="B51" s="1002"/>
      <c r="C51" s="1002"/>
      <c r="D51" s="65"/>
      <c r="E51" s="64"/>
      <c r="F51" s="1110"/>
      <c r="G51" s="1111"/>
      <c r="H51" s="1112"/>
      <c r="I51" s="1111"/>
      <c r="J51" s="1111"/>
    </row>
    <row r="52" spans="1:10">
      <c r="A52" s="1003"/>
      <c r="B52" s="1003"/>
      <c r="C52" s="1003"/>
      <c r="D52" s="65"/>
      <c r="E52" s="64"/>
      <c r="F52" s="1110"/>
      <c r="G52" s="1111"/>
      <c r="H52" s="1112"/>
      <c r="I52" s="1111"/>
      <c r="J52" s="1111"/>
    </row>
    <row r="53" spans="1:10">
      <c r="A53" s="812"/>
      <c r="B53" s="50" t="s">
        <v>794</v>
      </c>
    </row>
    <row r="54" spans="1:10">
      <c r="A54" s="813"/>
      <c r="B54" s="50" t="s">
        <v>795</v>
      </c>
    </row>
  </sheetData>
  <mergeCells count="17">
    <mergeCell ref="F51:G51"/>
    <mergeCell ref="H51:J51"/>
    <mergeCell ref="F52:G52"/>
    <mergeCell ref="H52:J52"/>
    <mergeCell ref="A51:C52"/>
    <mergeCell ref="A50:C50"/>
    <mergeCell ref="F50:G50"/>
    <mergeCell ref="H50:J50"/>
    <mergeCell ref="A5:J5"/>
    <mergeCell ref="A4:D4"/>
    <mergeCell ref="E4:J4"/>
    <mergeCell ref="D2:F2"/>
    <mergeCell ref="A1:C2"/>
    <mergeCell ref="I1:J2"/>
    <mergeCell ref="A3:D3"/>
    <mergeCell ref="E3:J3"/>
    <mergeCell ref="D1:F1"/>
  </mergeCells>
  <phoneticPr fontId="18" type="noConversion"/>
  <conditionalFormatting sqref="D10">
    <cfRule type="duplicateValues" dxfId="43" priority="1"/>
  </conditionalFormatting>
  <pageMargins left="0.511811024" right="0.511811024" top="0.78740157499999996" bottom="0.78740157499999996" header="0.31496062000000002" footer="0.31496062000000002"/>
  <pageSetup paperSize="9" scale="81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O91"/>
  <sheetViews>
    <sheetView zoomScale="80" zoomScaleNormal="80" workbookViewId="0">
      <pane ySplit="2" topLeftCell="A3" activePane="bottomLeft" state="frozen"/>
      <selection activeCell="E1" sqref="E1"/>
      <selection pane="bottomLeft" activeCell="O90" sqref="A1:O90"/>
    </sheetView>
  </sheetViews>
  <sheetFormatPr defaultColWidth="9" defaultRowHeight="14.25"/>
  <cols>
    <col min="1" max="1" width="6" bestFit="1" customWidth="1"/>
    <col min="2" max="2" width="8.625" bestFit="1" customWidth="1"/>
    <col min="3" max="3" width="6.875" customWidth="1"/>
    <col min="4" max="4" width="60" bestFit="1" customWidth="1"/>
    <col min="5" max="5" width="8.625" customWidth="1"/>
    <col min="6" max="7" width="10.75" customWidth="1"/>
    <col min="8" max="8" width="12.75" customWidth="1"/>
    <col min="9" max="14" width="10.75" customWidth="1"/>
    <col min="15" max="15" width="13" customWidth="1"/>
  </cols>
  <sheetData>
    <row r="1" spans="1:15" ht="24">
      <c r="A1" s="1005"/>
      <c r="B1" s="1006"/>
      <c r="C1" s="1006"/>
      <c r="D1" s="1007" t="s">
        <v>790</v>
      </c>
      <c r="E1" s="1008"/>
      <c r="F1" s="1008"/>
      <c r="G1" s="811" t="s">
        <v>774</v>
      </c>
      <c r="H1" s="811" t="s">
        <v>775</v>
      </c>
      <c r="I1" s="1011"/>
      <c r="J1" s="1012"/>
      <c r="K1" s="1012"/>
      <c r="L1" s="1012"/>
      <c r="M1" s="1012"/>
      <c r="N1" s="1012"/>
      <c r="O1" s="1013"/>
    </row>
    <row r="2" spans="1:15" ht="54.6" customHeight="1">
      <c r="A2" s="1006"/>
      <c r="B2" s="1006"/>
      <c r="C2" s="1006"/>
      <c r="D2" s="1009" t="s">
        <v>3</v>
      </c>
      <c r="E2" s="1010"/>
      <c r="F2" s="1010"/>
      <c r="G2" s="817">
        <v>0.2097</v>
      </c>
      <c r="H2" s="816">
        <v>0.14019999999999999</v>
      </c>
      <c r="I2" s="1014"/>
      <c r="J2" s="1015"/>
      <c r="K2" s="1015"/>
      <c r="L2" s="1015"/>
      <c r="M2" s="1015"/>
      <c r="N2" s="1015"/>
      <c r="O2" s="1016"/>
    </row>
    <row r="3" spans="1:15" ht="15" customHeight="1">
      <c r="A3" s="979" t="s">
        <v>732</v>
      </c>
      <c r="B3" s="1018"/>
      <c r="C3" s="1018"/>
      <c r="D3" s="1018"/>
      <c r="E3" s="1019" t="s">
        <v>738</v>
      </c>
      <c r="F3" s="991"/>
      <c r="G3" s="991"/>
      <c r="H3" s="991"/>
      <c r="I3" s="991"/>
      <c r="J3" s="991"/>
      <c r="K3" s="991"/>
      <c r="L3" s="991"/>
      <c r="M3" s="991"/>
      <c r="N3" s="991"/>
      <c r="O3" s="991"/>
    </row>
    <row r="4" spans="1:15" ht="15" customHeight="1">
      <c r="A4" s="977" t="s">
        <v>736</v>
      </c>
      <c r="B4" s="978"/>
      <c r="C4" s="978"/>
      <c r="D4" s="978"/>
      <c r="E4" s="1017" t="s">
        <v>5</v>
      </c>
      <c r="F4" s="991"/>
      <c r="G4" s="991"/>
      <c r="H4" s="991"/>
      <c r="I4" s="991"/>
      <c r="J4" s="991"/>
      <c r="K4" s="991"/>
      <c r="L4" s="991"/>
      <c r="M4" s="991"/>
      <c r="N4" s="991"/>
      <c r="O4" s="991"/>
    </row>
    <row r="5" spans="1:15" ht="30" customHeight="1">
      <c r="A5" s="1004" t="s">
        <v>345</v>
      </c>
      <c r="B5" s="1004"/>
      <c r="C5" s="1004"/>
      <c r="D5" s="1004"/>
      <c r="E5" s="1004"/>
      <c r="F5" s="1004"/>
      <c r="G5" s="1004"/>
      <c r="H5" s="1004"/>
      <c r="I5" s="1004"/>
      <c r="J5" s="1004"/>
      <c r="K5" s="1004"/>
      <c r="L5" s="1004"/>
      <c r="M5" s="1004"/>
      <c r="N5" s="1004"/>
      <c r="O5" s="1004"/>
    </row>
    <row r="6" spans="1:15" ht="30.6" customHeight="1">
      <c r="A6" s="557" t="s">
        <v>6</v>
      </c>
      <c r="B6" s="66" t="s">
        <v>7</v>
      </c>
      <c r="C6" s="66" t="s">
        <v>8</v>
      </c>
      <c r="D6" s="66" t="s">
        <v>9</v>
      </c>
      <c r="E6" s="66" t="s">
        <v>10</v>
      </c>
      <c r="F6" s="66" t="s">
        <v>312</v>
      </c>
      <c r="G6" s="66" t="s">
        <v>313</v>
      </c>
      <c r="H6" s="66" t="s">
        <v>314</v>
      </c>
      <c r="I6" s="66" t="s">
        <v>315</v>
      </c>
      <c r="J6" s="66" t="s">
        <v>316</v>
      </c>
      <c r="K6" s="66" t="s">
        <v>425</v>
      </c>
      <c r="L6" s="66" t="s">
        <v>426</v>
      </c>
      <c r="M6" s="66" t="s">
        <v>427</v>
      </c>
      <c r="N6" s="66" t="s">
        <v>428</v>
      </c>
      <c r="O6" s="558" t="s">
        <v>14</v>
      </c>
    </row>
    <row r="7" spans="1:15" ht="15.6" customHeight="1">
      <c r="A7" s="518" t="s">
        <v>16</v>
      </c>
      <c r="B7" s="25"/>
      <c r="C7" s="25"/>
      <c r="D7" s="25" t="s">
        <v>17</v>
      </c>
      <c r="E7" s="25"/>
      <c r="F7" s="1"/>
      <c r="G7" s="25"/>
      <c r="H7" s="25"/>
      <c r="I7" s="2"/>
      <c r="J7" s="2"/>
      <c r="K7" s="2"/>
      <c r="L7" s="2"/>
      <c r="M7" s="2"/>
      <c r="N7" s="2"/>
      <c r="O7" s="519"/>
    </row>
    <row r="8" spans="1:15" ht="15.6" customHeight="1">
      <c r="A8" s="492" t="s">
        <v>18</v>
      </c>
      <c r="B8" s="3" t="s">
        <v>302</v>
      </c>
      <c r="C8" s="27" t="s">
        <v>19</v>
      </c>
      <c r="D8" s="27" t="s">
        <v>20</v>
      </c>
      <c r="E8" s="4" t="s">
        <v>21</v>
      </c>
      <c r="F8" s="3"/>
      <c r="G8" s="6"/>
      <c r="H8" s="6"/>
      <c r="I8" s="6"/>
      <c r="J8" s="6"/>
      <c r="K8" s="6"/>
      <c r="L8" s="6"/>
      <c r="M8" s="6"/>
      <c r="N8" s="6"/>
      <c r="O8" s="615">
        <f>O9</f>
        <v>6</v>
      </c>
    </row>
    <row r="9" spans="1:15" ht="15.6" customHeight="1">
      <c r="A9" s="616"/>
      <c r="B9" s="33"/>
      <c r="C9" s="32"/>
      <c r="D9" s="32"/>
      <c r="E9" s="37"/>
      <c r="F9" s="33"/>
      <c r="G9" s="38"/>
      <c r="H9" s="38"/>
      <c r="I9" s="38">
        <v>6</v>
      </c>
      <c r="J9" s="38"/>
      <c r="K9" s="38"/>
      <c r="L9" s="38"/>
      <c r="M9" s="38"/>
      <c r="N9" s="38"/>
      <c r="O9" s="617">
        <f>I9</f>
        <v>6</v>
      </c>
    </row>
    <row r="10" spans="1:15">
      <c r="A10" s="492" t="s">
        <v>410</v>
      </c>
      <c r="B10" s="3" t="s">
        <v>29</v>
      </c>
      <c r="C10" s="27" t="s">
        <v>30</v>
      </c>
      <c r="D10" s="554" t="s">
        <v>642</v>
      </c>
      <c r="E10" s="4" t="s">
        <v>31</v>
      </c>
      <c r="F10" s="3"/>
      <c r="G10" s="6"/>
      <c r="H10" s="6"/>
      <c r="I10" s="6"/>
      <c r="J10" s="6"/>
      <c r="K10" s="6"/>
      <c r="L10" s="6"/>
      <c r="M10" s="6"/>
      <c r="N10" s="6"/>
      <c r="O10" s="615">
        <f>SUM(O11:O13)</f>
        <v>533.35</v>
      </c>
    </row>
    <row r="11" spans="1:15" ht="15.6" customHeight="1">
      <c r="A11" s="616"/>
      <c r="B11" s="33"/>
      <c r="C11" s="32"/>
      <c r="D11" s="33" t="s">
        <v>429</v>
      </c>
      <c r="E11" s="37"/>
      <c r="F11" s="33">
        <v>447.81</v>
      </c>
      <c r="G11" s="38"/>
      <c r="H11" s="38"/>
      <c r="I11" s="38"/>
      <c r="J11" s="38"/>
      <c r="K11" s="38"/>
      <c r="L11" s="38"/>
      <c r="M11" s="38"/>
      <c r="N11" s="38"/>
      <c r="O11" s="617">
        <f>F11</f>
        <v>447.81</v>
      </c>
    </row>
    <row r="12" spans="1:15" ht="15" customHeight="1">
      <c r="A12" s="616"/>
      <c r="B12" s="33"/>
      <c r="C12" s="32"/>
      <c r="D12" s="33" t="s">
        <v>430</v>
      </c>
      <c r="E12" s="37"/>
      <c r="F12" s="33">
        <v>0</v>
      </c>
      <c r="G12" s="38"/>
      <c r="H12" s="38"/>
      <c r="I12" s="38"/>
      <c r="J12" s="38"/>
      <c r="K12" s="38"/>
      <c r="L12" s="38"/>
      <c r="M12" s="38"/>
      <c r="N12" s="38"/>
      <c r="O12" s="617">
        <f>F12</f>
        <v>0</v>
      </c>
    </row>
    <row r="13" spans="1:15" ht="15.6" customHeight="1">
      <c r="A13" s="616"/>
      <c r="B13" s="33"/>
      <c r="C13" s="32"/>
      <c r="D13" s="33" t="s">
        <v>431</v>
      </c>
      <c r="E13" s="37"/>
      <c r="F13" s="33">
        <v>85.54</v>
      </c>
      <c r="G13" s="38"/>
      <c r="H13" s="38"/>
      <c r="I13" s="38"/>
      <c r="J13" s="38"/>
      <c r="K13" s="38"/>
      <c r="L13" s="38"/>
      <c r="M13" s="38"/>
      <c r="N13" s="38"/>
      <c r="O13" s="617">
        <f>F13</f>
        <v>85.54</v>
      </c>
    </row>
    <row r="14" spans="1:15" ht="54.6" customHeight="1">
      <c r="A14" s="492" t="s">
        <v>572</v>
      </c>
      <c r="B14" s="235" t="s">
        <v>42</v>
      </c>
      <c r="C14" s="235" t="s">
        <v>24</v>
      </c>
      <c r="D14" s="234" t="s">
        <v>669</v>
      </c>
      <c r="E14" s="4" t="s">
        <v>28</v>
      </c>
      <c r="F14" s="3"/>
      <c r="G14" s="6"/>
      <c r="H14" s="6"/>
      <c r="I14" s="6"/>
      <c r="J14" s="6"/>
      <c r="K14" s="6"/>
      <c r="L14" s="6"/>
      <c r="M14" s="6"/>
      <c r="N14" s="6"/>
      <c r="O14" s="615">
        <f>SUM(O15:O15)</f>
        <v>24.00075</v>
      </c>
    </row>
    <row r="15" spans="1:15" ht="15" customHeight="1">
      <c r="A15" s="616"/>
      <c r="B15" s="33"/>
      <c r="C15" s="32"/>
      <c r="D15" s="33" t="s">
        <v>324</v>
      </c>
      <c r="E15" s="37"/>
      <c r="F15" s="33">
        <f>F11+F12+F13</f>
        <v>533.35</v>
      </c>
      <c r="G15" s="38">
        <v>0.15</v>
      </c>
      <c r="H15" s="38">
        <v>0.3</v>
      </c>
      <c r="I15" s="38"/>
      <c r="J15" s="38"/>
      <c r="K15" s="38"/>
      <c r="L15" s="38"/>
      <c r="M15" s="38"/>
      <c r="N15" s="38"/>
      <c r="O15" s="617">
        <f>F15*G15*H15</f>
        <v>24.00075</v>
      </c>
    </row>
    <row r="16" spans="1:15" ht="15.6" customHeight="1">
      <c r="A16" s="492" t="s">
        <v>573</v>
      </c>
      <c r="B16" s="3" t="s">
        <v>34</v>
      </c>
      <c r="C16" s="27" t="s">
        <v>24</v>
      </c>
      <c r="D16" s="27" t="s">
        <v>656</v>
      </c>
      <c r="E16" s="4" t="s">
        <v>36</v>
      </c>
      <c r="F16" s="3"/>
      <c r="G16" s="6"/>
      <c r="H16" s="6"/>
      <c r="I16" s="6"/>
      <c r="J16" s="6"/>
      <c r="K16" s="6"/>
      <c r="L16" s="6"/>
      <c r="M16" s="6"/>
      <c r="N16" s="6"/>
      <c r="O16" s="615">
        <f>O17</f>
        <v>720.02250000000004</v>
      </c>
    </row>
    <row r="17" spans="1:15" ht="15.6" customHeight="1">
      <c r="A17" s="616"/>
      <c r="B17" s="33"/>
      <c r="C17" s="32"/>
      <c r="D17" s="32"/>
      <c r="E17" s="37"/>
      <c r="F17" s="33"/>
      <c r="G17" s="38"/>
      <c r="H17" s="38"/>
      <c r="I17" s="38"/>
      <c r="J17" s="38">
        <f>O14</f>
        <v>24.00075</v>
      </c>
      <c r="K17" s="38"/>
      <c r="L17" s="38"/>
      <c r="M17" s="38"/>
      <c r="N17" s="38">
        <v>30</v>
      </c>
      <c r="O17" s="617">
        <f>J17*N17</f>
        <v>720.02250000000004</v>
      </c>
    </row>
    <row r="18" spans="1:15" ht="15.6" customHeight="1">
      <c r="A18" s="518" t="s">
        <v>37</v>
      </c>
      <c r="B18" s="25"/>
      <c r="C18" s="25"/>
      <c r="D18" s="25" t="s">
        <v>38</v>
      </c>
      <c r="E18" s="25"/>
      <c r="F18" s="1"/>
      <c r="G18" s="25"/>
      <c r="H18" s="25"/>
      <c r="I18" s="2"/>
      <c r="J18" s="2"/>
      <c r="K18" s="2"/>
      <c r="L18" s="2"/>
      <c r="M18" s="2"/>
      <c r="N18" s="2"/>
      <c r="O18" s="519"/>
    </row>
    <row r="19" spans="1:15" ht="42" customHeight="1">
      <c r="A19" s="492" t="s">
        <v>39</v>
      </c>
      <c r="B19" s="3">
        <v>101124</v>
      </c>
      <c r="C19" s="27" t="s">
        <v>24</v>
      </c>
      <c r="D19" s="27" t="s">
        <v>397</v>
      </c>
      <c r="E19" s="4" t="s">
        <v>28</v>
      </c>
      <c r="F19" s="3"/>
      <c r="G19" s="6"/>
      <c r="H19" s="6"/>
      <c r="I19" s="6"/>
      <c r="J19" s="6"/>
      <c r="K19" s="6"/>
      <c r="L19" s="6"/>
      <c r="M19" s="6"/>
      <c r="N19" s="6"/>
      <c r="O19" s="615">
        <f>O20</f>
        <v>1524.1254800000002</v>
      </c>
    </row>
    <row r="20" spans="1:15" ht="15.6" customHeight="1">
      <c r="A20" s="616"/>
      <c r="B20" s="33"/>
      <c r="C20" s="32"/>
      <c r="D20" s="32"/>
      <c r="E20" s="37"/>
      <c r="F20" s="33"/>
      <c r="G20" s="38"/>
      <c r="H20" s="38">
        <v>0.4</v>
      </c>
      <c r="I20" s="38">
        <v>3810.3137000000002</v>
      </c>
      <c r="J20" s="38"/>
      <c r="K20" s="38"/>
      <c r="L20" s="38">
        <v>1</v>
      </c>
      <c r="M20" s="38"/>
      <c r="N20" s="38"/>
      <c r="O20" s="617">
        <f>H20*I20*L20</f>
        <v>1524.1254800000002</v>
      </c>
    </row>
    <row r="21" spans="1:15" ht="15.6" customHeight="1">
      <c r="A21" s="492" t="s">
        <v>40</v>
      </c>
      <c r="B21" s="3" t="s">
        <v>41</v>
      </c>
      <c r="C21" s="27" t="s">
        <v>27</v>
      </c>
      <c r="D21" s="554" t="s">
        <v>643</v>
      </c>
      <c r="E21" s="4" t="s">
        <v>28</v>
      </c>
      <c r="F21" s="3"/>
      <c r="G21" s="6"/>
      <c r="H21" s="6"/>
      <c r="I21" s="6"/>
      <c r="J21" s="6"/>
      <c r="K21" s="6"/>
      <c r="L21" s="6"/>
      <c r="M21" s="6"/>
      <c r="N21" s="6"/>
      <c r="O21" s="615">
        <f>O22</f>
        <v>1524.1254800000002</v>
      </c>
    </row>
    <row r="22" spans="1:15" ht="15.6" customHeight="1">
      <c r="A22" s="616"/>
      <c r="B22" s="33"/>
      <c r="C22" s="32"/>
      <c r="D22" s="32"/>
      <c r="E22" s="37"/>
      <c r="F22" s="33"/>
      <c r="G22" s="38"/>
      <c r="H22" s="38">
        <v>0.4</v>
      </c>
      <c r="I22" s="38">
        <v>3810.3137000000002</v>
      </c>
      <c r="J22" s="38"/>
      <c r="K22" s="38"/>
      <c r="L22" s="38"/>
      <c r="M22" s="38"/>
      <c r="N22" s="38"/>
      <c r="O22" s="617">
        <f>H22*I22</f>
        <v>1524.1254800000002</v>
      </c>
    </row>
    <row r="23" spans="1:15" ht="30" customHeight="1">
      <c r="A23" s="492" t="s">
        <v>396</v>
      </c>
      <c r="B23" s="3" t="s">
        <v>34</v>
      </c>
      <c r="C23" s="27" t="s">
        <v>24</v>
      </c>
      <c r="D23" s="27" t="s">
        <v>654</v>
      </c>
      <c r="E23" s="4" t="s">
        <v>36</v>
      </c>
      <c r="F23" s="3"/>
      <c r="G23" s="6"/>
      <c r="H23" s="6"/>
      <c r="I23" s="6"/>
      <c r="J23" s="6"/>
      <c r="K23" s="6"/>
      <c r="L23" s="6"/>
      <c r="M23" s="6"/>
      <c r="N23" s="6"/>
      <c r="O23" s="615">
        <f>O24</f>
        <v>57154.705500000011</v>
      </c>
    </row>
    <row r="24" spans="1:15" ht="15.6" customHeight="1">
      <c r="A24" s="616"/>
      <c r="B24" s="33"/>
      <c r="C24" s="32"/>
      <c r="D24" s="32"/>
      <c r="E24" s="37"/>
      <c r="F24" s="33"/>
      <c r="G24" s="38"/>
      <c r="H24" s="38"/>
      <c r="I24" s="38"/>
      <c r="J24" s="38">
        <f>O20</f>
        <v>1524.1254800000002</v>
      </c>
      <c r="K24" s="38"/>
      <c r="L24" s="38">
        <v>1.25</v>
      </c>
      <c r="M24" s="38"/>
      <c r="N24" s="38">
        <v>30</v>
      </c>
      <c r="O24" s="617">
        <f>J24*L24*N24</f>
        <v>57154.705500000011</v>
      </c>
    </row>
    <row r="25" spans="1:15" ht="14.45" customHeight="1">
      <c r="A25" s="518" t="s">
        <v>44</v>
      </c>
      <c r="B25" s="25"/>
      <c r="C25" s="25"/>
      <c r="D25" s="25" t="s">
        <v>45</v>
      </c>
      <c r="E25" s="25"/>
      <c r="F25" s="1"/>
      <c r="G25" s="25"/>
      <c r="H25" s="25"/>
      <c r="I25" s="2"/>
      <c r="J25" s="2"/>
      <c r="K25" s="2"/>
      <c r="L25" s="2"/>
      <c r="M25" s="2"/>
      <c r="N25" s="2"/>
      <c r="O25" s="519"/>
    </row>
    <row r="26" spans="1:15" ht="15" customHeight="1">
      <c r="A26" s="518" t="s">
        <v>46</v>
      </c>
      <c r="B26" s="25"/>
      <c r="C26" s="25"/>
      <c r="D26" s="25" t="s">
        <v>47</v>
      </c>
      <c r="E26" s="25"/>
      <c r="F26" s="1"/>
      <c r="G26" s="25"/>
      <c r="H26" s="25"/>
      <c r="I26" s="2"/>
      <c r="J26" s="2"/>
      <c r="K26" s="2"/>
      <c r="L26" s="2"/>
      <c r="M26" s="2"/>
      <c r="N26" s="2"/>
      <c r="O26" s="519"/>
    </row>
    <row r="27" spans="1:15" ht="15" customHeight="1">
      <c r="A27" s="492" t="s">
        <v>48</v>
      </c>
      <c r="B27" s="3" t="s">
        <v>49</v>
      </c>
      <c r="C27" s="27" t="s">
        <v>24</v>
      </c>
      <c r="D27" s="27" t="s">
        <v>50</v>
      </c>
      <c r="E27" s="4" t="s">
        <v>21</v>
      </c>
      <c r="F27" s="3"/>
      <c r="G27" s="6"/>
      <c r="H27" s="6"/>
      <c r="I27" s="6"/>
      <c r="J27" s="6"/>
      <c r="K27" s="6"/>
      <c r="L27" s="6"/>
      <c r="M27" s="6"/>
      <c r="N27" s="6"/>
      <c r="O27" s="615">
        <f>SUM(O28:O28)</f>
        <v>3810.3137000000002</v>
      </c>
    </row>
    <row r="28" spans="1:15" ht="15.6" customHeight="1">
      <c r="A28" s="616"/>
      <c r="B28" s="33"/>
      <c r="C28" s="32"/>
      <c r="D28" s="33"/>
      <c r="E28" s="37"/>
      <c r="F28" s="33"/>
      <c r="G28" s="38"/>
      <c r="H28" s="38"/>
      <c r="I28" s="38">
        <f>I20</f>
        <v>3810.3137000000002</v>
      </c>
      <c r="J28" s="38"/>
      <c r="K28" s="38"/>
      <c r="L28" s="38"/>
      <c r="M28" s="38"/>
      <c r="N28" s="38"/>
      <c r="O28" s="617">
        <f>I28</f>
        <v>3810.3137000000002</v>
      </c>
    </row>
    <row r="29" spans="1:15" ht="54.6" customHeight="1">
      <c r="A29" s="492" t="s">
        <v>51</v>
      </c>
      <c r="B29" s="3" t="s">
        <v>52</v>
      </c>
      <c r="C29" s="27" t="s">
        <v>24</v>
      </c>
      <c r="D29" s="27" t="s">
        <v>53</v>
      </c>
      <c r="E29" s="4" t="s">
        <v>28</v>
      </c>
      <c r="F29" s="3"/>
      <c r="G29" s="6"/>
      <c r="H29" s="6"/>
      <c r="I29" s="6"/>
      <c r="J29" s="6"/>
      <c r="K29" s="6"/>
      <c r="L29" s="6"/>
      <c r="M29" s="6"/>
      <c r="N29" s="6"/>
      <c r="O29" s="615">
        <f>SUM(O30:O30)</f>
        <v>762.06274000000008</v>
      </c>
    </row>
    <row r="30" spans="1:15" ht="15.6" customHeight="1">
      <c r="A30" s="616"/>
      <c r="B30" s="33"/>
      <c r="C30" s="32"/>
      <c r="D30" s="33"/>
      <c r="E30" s="37"/>
      <c r="F30" s="33"/>
      <c r="G30" s="38"/>
      <c r="H30" s="38">
        <v>0.2</v>
      </c>
      <c r="I30" s="38">
        <f>I28</f>
        <v>3810.3137000000002</v>
      </c>
      <c r="J30" s="38"/>
      <c r="K30" s="38"/>
      <c r="L30" s="38"/>
      <c r="M30" s="38"/>
      <c r="N30" s="38"/>
      <c r="O30" s="617">
        <f>I30*H30</f>
        <v>762.06274000000008</v>
      </c>
    </row>
    <row r="31" spans="1:15" ht="15" customHeight="1">
      <c r="A31" s="522" t="s">
        <v>411</v>
      </c>
      <c r="B31" s="16" t="s">
        <v>307</v>
      </c>
      <c r="C31" s="28" t="s">
        <v>24</v>
      </c>
      <c r="D31" s="28" t="s">
        <v>308</v>
      </c>
      <c r="E31" s="17" t="s">
        <v>28</v>
      </c>
      <c r="F31" s="16"/>
      <c r="G31" s="19"/>
      <c r="H31" s="19"/>
      <c r="I31" s="19"/>
      <c r="J31" s="19"/>
      <c r="K31" s="19"/>
      <c r="L31" s="19"/>
      <c r="M31" s="19"/>
      <c r="N31" s="19"/>
      <c r="O31" s="618">
        <f>O32</f>
        <v>476.28921250000008</v>
      </c>
    </row>
    <row r="32" spans="1:15" ht="15.6" customHeight="1">
      <c r="A32" s="616"/>
      <c r="B32" s="33"/>
      <c r="C32" s="32"/>
      <c r="D32" s="32"/>
      <c r="E32" s="37"/>
      <c r="F32" s="33"/>
      <c r="G32" s="38"/>
      <c r="H32" s="38"/>
      <c r="I32" s="38">
        <f>O29*0.5</f>
        <v>381.03137000000004</v>
      </c>
      <c r="J32" s="38"/>
      <c r="K32" s="38"/>
      <c r="L32" s="38">
        <v>1.25</v>
      </c>
      <c r="M32" s="38"/>
      <c r="N32" s="38"/>
      <c r="O32" s="617">
        <f>I32*L32</f>
        <v>476.28921250000008</v>
      </c>
    </row>
    <row r="33" spans="1:15" ht="42" customHeight="1">
      <c r="A33" s="492" t="s">
        <v>309</v>
      </c>
      <c r="B33" s="3">
        <v>96396</v>
      </c>
      <c r="C33" s="27" t="s">
        <v>24</v>
      </c>
      <c r="D33" s="27" t="s">
        <v>412</v>
      </c>
      <c r="E33" s="4" t="s">
        <v>28</v>
      </c>
      <c r="F33" s="3"/>
      <c r="G33" s="6"/>
      <c r="H33" s="6"/>
      <c r="I33" s="6"/>
      <c r="J33" s="6"/>
      <c r="K33" s="6"/>
      <c r="L33" s="6"/>
      <c r="M33" s="6"/>
      <c r="N33" s="6"/>
      <c r="O33" s="615">
        <f>SUM(O34:O34)</f>
        <v>762.06274000000008</v>
      </c>
    </row>
    <row r="34" spans="1:15" ht="15" customHeight="1">
      <c r="A34" s="616"/>
      <c r="B34" s="33"/>
      <c r="C34" s="32"/>
      <c r="D34" s="33"/>
      <c r="E34" s="37"/>
      <c r="F34" s="33"/>
      <c r="G34" s="38"/>
      <c r="H34" s="38">
        <v>0.2</v>
      </c>
      <c r="I34" s="38">
        <f>I28</f>
        <v>3810.3137000000002</v>
      </c>
      <c r="J34" s="38"/>
      <c r="K34" s="38"/>
      <c r="L34" s="38"/>
      <c r="M34" s="38"/>
      <c r="N34" s="38"/>
      <c r="O34" s="617">
        <f>I34*H34</f>
        <v>762.06274000000008</v>
      </c>
    </row>
    <row r="35" spans="1:15" ht="54.6" customHeight="1">
      <c r="A35" s="536" t="s">
        <v>326</v>
      </c>
      <c r="B35" s="3" t="s">
        <v>42</v>
      </c>
      <c r="C35" s="27" t="s">
        <v>24</v>
      </c>
      <c r="D35" s="27" t="s">
        <v>659</v>
      </c>
      <c r="E35" s="4" t="s">
        <v>28</v>
      </c>
      <c r="F35" s="3"/>
      <c r="G35" s="6"/>
      <c r="H35" s="6"/>
      <c r="I35" s="6"/>
      <c r="J35" s="6"/>
      <c r="K35" s="6"/>
      <c r="L35" s="6"/>
      <c r="M35" s="6"/>
      <c r="N35" s="6"/>
      <c r="O35" s="615">
        <f>SUM(O36:O37)</f>
        <v>1905.1568500000003</v>
      </c>
    </row>
    <row r="36" spans="1:15" ht="15.6" customHeight="1">
      <c r="A36" s="616"/>
      <c r="B36" s="33"/>
      <c r="C36" s="32"/>
      <c r="D36" s="33" t="s">
        <v>432</v>
      </c>
      <c r="E36" s="37"/>
      <c r="F36" s="33"/>
      <c r="G36" s="38"/>
      <c r="H36" s="38"/>
      <c r="I36" s="38"/>
      <c r="J36" s="38">
        <f>O31</f>
        <v>476.28921250000008</v>
      </c>
      <c r="K36" s="38"/>
      <c r="L36" s="38"/>
      <c r="M36" s="38"/>
      <c r="N36" s="38"/>
      <c r="O36" s="617">
        <f>J36</f>
        <v>476.28921250000008</v>
      </c>
    </row>
    <row r="37" spans="1:15" ht="15" customHeight="1">
      <c r="A37" s="616"/>
      <c r="B37" s="33"/>
      <c r="C37" s="32"/>
      <c r="D37" s="33" t="s">
        <v>433</v>
      </c>
      <c r="E37" s="37"/>
      <c r="F37" s="33"/>
      <c r="G37" s="38"/>
      <c r="H37" s="38"/>
      <c r="I37" s="38"/>
      <c r="J37" s="223">
        <f>((O29/2)*1.25)+O33*1.25</f>
        <v>1428.8676375000002</v>
      </c>
      <c r="K37" s="38"/>
      <c r="L37" s="38"/>
      <c r="M37" s="38"/>
      <c r="N37" s="38"/>
      <c r="O37" s="617">
        <f>J37</f>
        <v>1428.8676375000002</v>
      </c>
    </row>
    <row r="38" spans="1:15" ht="30" customHeight="1">
      <c r="A38" s="536" t="s">
        <v>327</v>
      </c>
      <c r="B38" s="3" t="s">
        <v>56</v>
      </c>
      <c r="C38" s="27" t="s">
        <v>24</v>
      </c>
      <c r="D38" s="27" t="s">
        <v>658</v>
      </c>
      <c r="E38" s="4" t="s">
        <v>36</v>
      </c>
      <c r="F38" s="3"/>
      <c r="G38" s="6"/>
      <c r="H38" s="6"/>
      <c r="I38" s="6"/>
      <c r="J38" s="6"/>
      <c r="K38" s="6"/>
      <c r="L38" s="6"/>
      <c r="M38" s="6"/>
      <c r="N38" s="6"/>
      <c r="O38" s="615">
        <f>O39</f>
        <v>57154.705500000011</v>
      </c>
    </row>
    <row r="39" spans="1:15" ht="15.6" customHeight="1">
      <c r="A39" s="616"/>
      <c r="B39" s="33"/>
      <c r="C39" s="32"/>
      <c r="D39" s="32"/>
      <c r="E39" s="37"/>
      <c r="F39" s="33"/>
      <c r="G39" s="38"/>
      <c r="H39" s="38"/>
      <c r="I39" s="38"/>
      <c r="J39" s="38">
        <f>O35</f>
        <v>1905.1568500000003</v>
      </c>
      <c r="K39" s="38"/>
      <c r="L39" s="38"/>
      <c r="M39" s="38"/>
      <c r="N39" s="38">
        <v>30</v>
      </c>
      <c r="O39" s="617">
        <f>J39*N39</f>
        <v>57154.705500000011</v>
      </c>
    </row>
    <row r="40" spans="1:15" ht="15.6" customHeight="1">
      <c r="A40" s="518" t="s">
        <v>58</v>
      </c>
      <c r="B40" s="25"/>
      <c r="C40" s="25"/>
      <c r="D40" s="25" t="s">
        <v>59</v>
      </c>
      <c r="E40" s="25"/>
      <c r="F40" s="1"/>
      <c r="G40" s="25"/>
      <c r="H40" s="25"/>
      <c r="I40" s="2"/>
      <c r="J40" s="2"/>
      <c r="K40" s="2"/>
      <c r="L40" s="2"/>
      <c r="M40" s="2"/>
      <c r="N40" s="2"/>
      <c r="O40" s="519"/>
    </row>
    <row r="41" spans="1:15" ht="30" customHeight="1">
      <c r="A41" s="492" t="s">
        <v>335</v>
      </c>
      <c r="B41" s="3">
        <v>4011484</v>
      </c>
      <c r="C41" s="27" t="s">
        <v>27</v>
      </c>
      <c r="D41" s="27" t="s">
        <v>650</v>
      </c>
      <c r="E41" s="4" t="s">
        <v>28</v>
      </c>
      <c r="F41" s="3"/>
      <c r="G41" s="6"/>
      <c r="H41" s="6"/>
      <c r="I41" s="6"/>
      <c r="J41" s="6"/>
      <c r="K41" s="6"/>
      <c r="L41" s="6"/>
      <c r="M41" s="6"/>
      <c r="N41" s="6"/>
      <c r="O41" s="615">
        <f>SUM(O42:O42)</f>
        <v>1288.20108</v>
      </c>
    </row>
    <row r="42" spans="1:15" ht="15.6" customHeight="1">
      <c r="A42" s="616"/>
      <c r="B42" s="33"/>
      <c r="C42" s="32"/>
      <c r="D42" s="33" t="s">
        <v>637</v>
      </c>
      <c r="E42" s="37"/>
      <c r="F42" s="33"/>
      <c r="G42" s="38"/>
      <c r="H42" s="38">
        <v>0.3</v>
      </c>
      <c r="I42" s="38">
        <v>4294.0036</v>
      </c>
      <c r="J42" s="38"/>
      <c r="K42" s="38"/>
      <c r="L42" s="38"/>
      <c r="M42" s="38"/>
      <c r="N42" s="38"/>
      <c r="O42" s="617">
        <f>I42*H42</f>
        <v>1288.20108</v>
      </c>
    </row>
    <row r="43" spans="1:15" ht="15.6" customHeight="1">
      <c r="A43" s="536" t="s">
        <v>414</v>
      </c>
      <c r="B43" s="3" t="s">
        <v>62</v>
      </c>
      <c r="C43" s="27" t="s">
        <v>27</v>
      </c>
      <c r="D43" s="554" t="s">
        <v>563</v>
      </c>
      <c r="E43" s="4" t="s">
        <v>21</v>
      </c>
      <c r="F43" s="3"/>
      <c r="G43" s="6"/>
      <c r="H43" s="6"/>
      <c r="I43" s="6"/>
      <c r="J43" s="6"/>
      <c r="K43" s="6"/>
      <c r="L43" s="6"/>
      <c r="M43" s="6"/>
      <c r="N43" s="6"/>
      <c r="O43" s="615">
        <f>SUM(O44:O44)</f>
        <v>4127.808</v>
      </c>
    </row>
    <row r="44" spans="1:15" ht="15.6" customHeight="1">
      <c r="A44" s="616"/>
      <c r="B44" s="33"/>
      <c r="C44" s="32"/>
      <c r="D44" s="33" t="s">
        <v>59</v>
      </c>
      <c r="E44" s="37"/>
      <c r="F44" s="33"/>
      <c r="G44" s="38"/>
      <c r="H44" s="38"/>
      <c r="I44" s="38">
        <v>4127.808</v>
      </c>
      <c r="J44" s="38"/>
      <c r="K44" s="38"/>
      <c r="L44" s="38"/>
      <c r="M44" s="38"/>
      <c r="N44" s="38"/>
      <c r="O44" s="617">
        <f>I44</f>
        <v>4127.808</v>
      </c>
    </row>
    <row r="45" spans="1:15" ht="15" customHeight="1">
      <c r="A45" s="536" t="s">
        <v>415</v>
      </c>
      <c r="B45" s="3" t="s">
        <v>63</v>
      </c>
      <c r="C45" s="27" t="s">
        <v>27</v>
      </c>
      <c r="D45" s="554" t="s">
        <v>564</v>
      </c>
      <c r="E45" s="4" t="s">
        <v>21</v>
      </c>
      <c r="F45" s="3"/>
      <c r="G45" s="6"/>
      <c r="H45" s="6"/>
      <c r="I45" s="6"/>
      <c r="J45" s="6"/>
      <c r="K45" s="6"/>
      <c r="L45" s="6"/>
      <c r="M45" s="6"/>
      <c r="N45" s="6"/>
      <c r="O45" s="615">
        <f>SUM(O46:O47)</f>
        <v>8421.8116000000009</v>
      </c>
    </row>
    <row r="46" spans="1:15" ht="15.6" customHeight="1">
      <c r="A46" s="616"/>
      <c r="B46" s="33"/>
      <c r="C46" s="32"/>
      <c r="D46" s="33" t="s">
        <v>59</v>
      </c>
      <c r="E46" s="37"/>
      <c r="F46" s="33"/>
      <c r="G46" s="38"/>
      <c r="H46" s="38"/>
      <c r="I46" s="38">
        <v>4127.808</v>
      </c>
      <c r="J46" s="38"/>
      <c r="K46" s="38"/>
      <c r="L46" s="38"/>
      <c r="M46" s="38"/>
      <c r="N46" s="38"/>
      <c r="O46" s="617">
        <f>I46</f>
        <v>4127.808</v>
      </c>
    </row>
    <row r="47" spans="1:15" ht="15.6" customHeight="1">
      <c r="A47" s="616"/>
      <c r="B47" s="33"/>
      <c r="C47" s="32"/>
      <c r="D47" s="33" t="s">
        <v>637</v>
      </c>
      <c r="E47" s="37"/>
      <c r="F47" s="33"/>
      <c r="G47" s="38"/>
      <c r="H47" s="38"/>
      <c r="I47" s="38">
        <v>4294.0036</v>
      </c>
      <c r="J47" s="38"/>
      <c r="K47" s="38"/>
      <c r="L47" s="38"/>
      <c r="M47" s="38"/>
      <c r="N47" s="38"/>
      <c r="O47" s="617">
        <f>I47</f>
        <v>4294.0036</v>
      </c>
    </row>
    <row r="48" spans="1:15" ht="15.6" customHeight="1">
      <c r="A48" s="536" t="s">
        <v>416</v>
      </c>
      <c r="B48" s="3" t="s">
        <v>60</v>
      </c>
      <c r="C48" s="27" t="s">
        <v>27</v>
      </c>
      <c r="D48" s="554" t="s">
        <v>565</v>
      </c>
      <c r="E48" s="4" t="s">
        <v>61</v>
      </c>
      <c r="F48" s="3"/>
      <c r="G48" s="6"/>
      <c r="H48" s="6"/>
      <c r="I48" s="6"/>
      <c r="J48" s="6"/>
      <c r="K48" s="6"/>
      <c r="L48" s="6"/>
      <c r="M48" s="6"/>
      <c r="N48" s="6"/>
      <c r="O48" s="615">
        <f>SUM(O49:O50)</f>
        <v>1010.617392</v>
      </c>
    </row>
    <row r="49" spans="1:15" ht="15" customHeight="1">
      <c r="A49" s="619"/>
      <c r="B49" s="33"/>
      <c r="C49" s="32"/>
      <c r="D49" s="33" t="s">
        <v>59</v>
      </c>
      <c r="E49" s="37"/>
      <c r="F49" s="33"/>
      <c r="G49" s="38"/>
      <c r="H49" s="38">
        <v>0.05</v>
      </c>
      <c r="I49" s="38">
        <v>4127.808</v>
      </c>
      <c r="J49" s="38"/>
      <c r="K49" s="38"/>
      <c r="L49" s="223">
        <v>2.4</v>
      </c>
      <c r="M49" s="38"/>
      <c r="N49" s="38"/>
      <c r="O49" s="617">
        <f>H49*I49*L49</f>
        <v>495.33695999999998</v>
      </c>
    </row>
    <row r="50" spans="1:15" ht="15.6" customHeight="1">
      <c r="A50" s="616"/>
      <c r="B50" s="33"/>
      <c r="C50" s="32"/>
      <c r="D50" s="33" t="s">
        <v>637</v>
      </c>
      <c r="E50" s="37"/>
      <c r="F50" s="33"/>
      <c r="G50" s="38"/>
      <c r="H50" s="38">
        <v>0.05</v>
      </c>
      <c r="I50" s="38">
        <v>4294.0036</v>
      </c>
      <c r="J50" s="38"/>
      <c r="K50" s="38"/>
      <c r="L50" s="223">
        <v>2.4</v>
      </c>
      <c r="M50" s="38"/>
      <c r="N50" s="38"/>
      <c r="O50" s="617">
        <f>H50*I50*L50</f>
        <v>515.28043200000002</v>
      </c>
    </row>
    <row r="51" spans="1:15" ht="30" customHeight="1">
      <c r="A51" s="492" t="s">
        <v>339</v>
      </c>
      <c r="B51" s="3" t="s">
        <v>56</v>
      </c>
      <c r="C51" s="27" t="s">
        <v>24</v>
      </c>
      <c r="D51" s="27" t="s">
        <v>418</v>
      </c>
      <c r="E51" s="4" t="s">
        <v>36</v>
      </c>
      <c r="F51" s="3"/>
      <c r="G51" s="6"/>
      <c r="H51" s="6"/>
      <c r="I51" s="6"/>
      <c r="J51" s="6"/>
      <c r="K51" s="6"/>
      <c r="L51" s="6"/>
      <c r="M51" s="6"/>
      <c r="N51" s="6"/>
      <c r="O51" s="615">
        <f>O52</f>
        <v>12632.717400000001</v>
      </c>
    </row>
    <row r="52" spans="1:15" ht="15.6" customHeight="1">
      <c r="A52" s="616"/>
      <c r="B52" s="33"/>
      <c r="C52" s="32"/>
      <c r="D52" s="33"/>
      <c r="E52" s="37"/>
      <c r="F52" s="33"/>
      <c r="G52" s="38"/>
      <c r="H52" s="38">
        <v>0.05</v>
      </c>
      <c r="I52" s="38">
        <f>O45</f>
        <v>8421.8116000000009</v>
      </c>
      <c r="J52" s="38"/>
      <c r="K52" s="38"/>
      <c r="L52" s="38"/>
      <c r="M52" s="38"/>
      <c r="N52" s="38">
        <v>30</v>
      </c>
      <c r="O52" s="617">
        <f>H52*I52*N52</f>
        <v>12632.717400000001</v>
      </c>
    </row>
    <row r="53" spans="1:15" ht="30" customHeight="1">
      <c r="A53" s="492" t="s">
        <v>340</v>
      </c>
      <c r="B53" s="3" t="s">
        <v>56</v>
      </c>
      <c r="C53" s="27" t="s">
        <v>24</v>
      </c>
      <c r="D53" s="27" t="s">
        <v>419</v>
      </c>
      <c r="E53" s="4" t="s">
        <v>36</v>
      </c>
      <c r="F53" s="3"/>
      <c r="G53" s="6"/>
      <c r="H53" s="6"/>
      <c r="I53" s="6"/>
      <c r="J53" s="6"/>
      <c r="K53" s="6"/>
      <c r="L53" s="6"/>
      <c r="M53" s="6"/>
      <c r="N53" s="6"/>
      <c r="O53" s="615">
        <f>O54</f>
        <v>9661.5081000000009</v>
      </c>
    </row>
    <row r="54" spans="1:15" ht="15.6" customHeight="1">
      <c r="A54" s="616"/>
      <c r="B54" s="33"/>
      <c r="C54" s="32"/>
      <c r="D54" s="33"/>
      <c r="E54" s="37"/>
      <c r="F54" s="33"/>
      <c r="G54" s="38"/>
      <c r="H54" s="38"/>
      <c r="I54" s="38"/>
      <c r="J54" s="38">
        <f>O41</f>
        <v>1288.20108</v>
      </c>
      <c r="K54" s="38"/>
      <c r="L54" s="38">
        <v>0.25</v>
      </c>
      <c r="M54" s="38"/>
      <c r="N54" s="38">
        <v>30</v>
      </c>
      <c r="O54" s="617">
        <f>J54*L54*N54</f>
        <v>9661.5081000000009</v>
      </c>
    </row>
    <row r="55" spans="1:15" ht="41.45" customHeight="1">
      <c r="A55" s="492" t="s">
        <v>341</v>
      </c>
      <c r="B55" s="3" t="s">
        <v>64</v>
      </c>
      <c r="C55" s="27" t="s">
        <v>24</v>
      </c>
      <c r="D55" s="27" t="s">
        <v>65</v>
      </c>
      <c r="E55" s="4" t="s">
        <v>66</v>
      </c>
      <c r="F55" s="3"/>
      <c r="G55" s="6"/>
      <c r="H55" s="6"/>
      <c r="I55" s="6"/>
      <c r="J55" s="6"/>
      <c r="K55" s="6"/>
      <c r="L55" s="6"/>
      <c r="M55" s="6"/>
      <c r="N55" s="6"/>
      <c r="O55" s="615">
        <f>O56</f>
        <v>1271.5920203904002</v>
      </c>
    </row>
    <row r="56" spans="1:15" ht="15.6" customHeight="1">
      <c r="A56" s="616"/>
      <c r="B56" s="33"/>
      <c r="C56" s="32"/>
      <c r="D56" s="32"/>
      <c r="E56" s="37"/>
      <c r="F56" s="33"/>
      <c r="G56" s="38"/>
      <c r="H56" s="38"/>
      <c r="I56" s="38"/>
      <c r="J56" s="38"/>
      <c r="K56" s="38">
        <f>O61+O63+O65</f>
        <v>42.386400679680008</v>
      </c>
      <c r="L56" s="38"/>
      <c r="M56" s="38"/>
      <c r="N56" s="38">
        <v>30</v>
      </c>
      <c r="O56" s="617">
        <f>K56*N56</f>
        <v>1271.5920203904002</v>
      </c>
    </row>
    <row r="57" spans="1:15" ht="42" customHeight="1">
      <c r="A57" s="492" t="s">
        <v>342</v>
      </c>
      <c r="B57" s="3" t="s">
        <v>67</v>
      </c>
      <c r="C57" s="27" t="s">
        <v>24</v>
      </c>
      <c r="D57" s="27" t="s">
        <v>68</v>
      </c>
      <c r="E57" s="4" t="s">
        <v>66</v>
      </c>
      <c r="F57" s="3"/>
      <c r="G57" s="6"/>
      <c r="H57" s="6"/>
      <c r="I57" s="6"/>
      <c r="J57" s="6"/>
      <c r="K57" s="6"/>
      <c r="L57" s="6"/>
      <c r="M57" s="6"/>
      <c r="N57" s="6"/>
      <c r="O57" s="615">
        <f>O58</f>
        <v>19921.608319449602</v>
      </c>
    </row>
    <row r="58" spans="1:15" ht="15.6" customHeight="1">
      <c r="A58" s="616"/>
      <c r="B58" s="33"/>
      <c r="C58" s="32"/>
      <c r="D58" s="32"/>
      <c r="E58" s="37"/>
      <c r="F58" s="33"/>
      <c r="G58" s="38"/>
      <c r="H58" s="38"/>
      <c r="I58" s="38"/>
      <c r="J58" s="38"/>
      <c r="K58" s="38">
        <f>K56</f>
        <v>42.386400679680008</v>
      </c>
      <c r="L58" s="38"/>
      <c r="M58" s="38"/>
      <c r="N58" s="38">
        <f>500-N56</f>
        <v>470</v>
      </c>
      <c r="O58" s="617">
        <f>K58*N58</f>
        <v>19921.608319449602</v>
      </c>
    </row>
    <row r="59" spans="1:15" ht="15.6" customHeight="1">
      <c r="A59" s="492" t="s">
        <v>343</v>
      </c>
      <c r="B59" s="3" t="s">
        <v>69</v>
      </c>
      <c r="C59" s="27" t="s">
        <v>19</v>
      </c>
      <c r="D59" s="27" t="s">
        <v>70</v>
      </c>
      <c r="E59" s="4" t="s">
        <v>21</v>
      </c>
      <c r="F59" s="3"/>
      <c r="G59" s="6"/>
      <c r="H59" s="6"/>
      <c r="I59" s="6"/>
      <c r="J59" s="6"/>
      <c r="K59" s="6"/>
      <c r="L59" s="6"/>
      <c r="M59" s="6"/>
      <c r="N59" s="6"/>
      <c r="O59" s="615">
        <f>O60</f>
        <v>8421.8116000000009</v>
      </c>
    </row>
    <row r="60" spans="1:15" ht="15.6" customHeight="1">
      <c r="A60" s="616"/>
      <c r="B60" s="33"/>
      <c r="C60" s="32"/>
      <c r="D60" s="32"/>
      <c r="E60" s="37"/>
      <c r="F60" s="33"/>
      <c r="G60" s="38"/>
      <c r="H60" s="38"/>
      <c r="I60" s="38">
        <f>O45</f>
        <v>8421.8116000000009</v>
      </c>
      <c r="J60" s="38"/>
      <c r="K60" s="38"/>
      <c r="L60" s="38"/>
      <c r="M60" s="38"/>
      <c r="N60" s="38"/>
      <c r="O60" s="617">
        <f>I60</f>
        <v>8421.8116000000009</v>
      </c>
    </row>
    <row r="61" spans="1:15" ht="15.6" customHeight="1">
      <c r="A61" s="565" t="s">
        <v>344</v>
      </c>
      <c r="B61" s="71" t="s">
        <v>303</v>
      </c>
      <c r="C61" s="71" t="s">
        <v>303</v>
      </c>
      <c r="D61" s="70" t="s">
        <v>304</v>
      </c>
      <c r="E61" s="72" t="s">
        <v>306</v>
      </c>
      <c r="F61" s="71"/>
      <c r="G61" s="73"/>
      <c r="H61" s="73"/>
      <c r="I61" s="73"/>
      <c r="J61" s="73"/>
      <c r="K61" s="73"/>
      <c r="L61" s="73"/>
      <c r="M61" s="73"/>
      <c r="N61" s="73"/>
      <c r="O61" s="620">
        <f>O62</f>
        <v>3.7898152200000004</v>
      </c>
    </row>
    <row r="62" spans="1:15" ht="15.6" customHeight="1">
      <c r="A62" s="616"/>
      <c r="B62" s="33"/>
      <c r="C62" s="33"/>
      <c r="D62" s="32"/>
      <c r="E62" s="37"/>
      <c r="F62" s="33"/>
      <c r="G62" s="38"/>
      <c r="H62" s="38"/>
      <c r="I62" s="38">
        <f>O45</f>
        <v>8421.8116000000009</v>
      </c>
      <c r="J62" s="38"/>
      <c r="K62" s="38"/>
      <c r="L62" s="67">
        <v>4.4999999999999999E-4</v>
      </c>
      <c r="M62" s="38"/>
      <c r="N62" s="38"/>
      <c r="O62" s="617">
        <f>I62*L62</f>
        <v>3.7898152200000004</v>
      </c>
    </row>
    <row r="63" spans="1:15" ht="15" customHeight="1">
      <c r="A63" s="565" t="s">
        <v>420</v>
      </c>
      <c r="B63" s="71" t="s">
        <v>303</v>
      </c>
      <c r="C63" s="71" t="s">
        <v>303</v>
      </c>
      <c r="D63" s="70" t="s">
        <v>305</v>
      </c>
      <c r="E63" s="72" t="s">
        <v>306</v>
      </c>
      <c r="F63" s="71"/>
      <c r="G63" s="73"/>
      <c r="H63" s="73"/>
      <c r="I63" s="73"/>
      <c r="J63" s="73"/>
      <c r="K63" s="73"/>
      <c r="L63" s="73"/>
      <c r="M63" s="73"/>
      <c r="N63" s="73"/>
      <c r="O63" s="620">
        <f>O64</f>
        <v>5.3661503999999995</v>
      </c>
    </row>
    <row r="64" spans="1:15" ht="15" customHeight="1">
      <c r="A64" s="616"/>
      <c r="B64" s="33"/>
      <c r="C64" s="33"/>
      <c r="D64" s="32"/>
      <c r="E64" s="37"/>
      <c r="F64" s="33"/>
      <c r="G64" s="38"/>
      <c r="H64" s="38"/>
      <c r="I64" s="38">
        <f>O43</f>
        <v>4127.808</v>
      </c>
      <c r="J64" s="38"/>
      <c r="K64" s="38"/>
      <c r="L64" s="68">
        <v>1.2999999999999999E-3</v>
      </c>
      <c r="M64" s="38"/>
      <c r="N64" s="38"/>
      <c r="O64" s="617">
        <f>I64*L64</f>
        <v>5.3661503999999995</v>
      </c>
    </row>
    <row r="65" spans="1:15" ht="15.6" customHeight="1">
      <c r="A65" s="565" t="s">
        <v>421</v>
      </c>
      <c r="B65" s="71" t="s">
        <v>303</v>
      </c>
      <c r="C65" s="71" t="s">
        <v>303</v>
      </c>
      <c r="D65" s="70" t="s">
        <v>310</v>
      </c>
      <c r="E65" s="72" t="s">
        <v>306</v>
      </c>
      <c r="F65" s="71"/>
      <c r="G65" s="73"/>
      <c r="H65" s="73"/>
      <c r="I65" s="73"/>
      <c r="J65" s="73"/>
      <c r="K65" s="73"/>
      <c r="L65" s="73"/>
      <c r="M65" s="73"/>
      <c r="N65" s="73"/>
      <c r="O65" s="620">
        <f>O66</f>
        <v>33.230435059680005</v>
      </c>
    </row>
    <row r="66" spans="1:15" ht="15.6" customHeight="1">
      <c r="A66" s="616"/>
      <c r="B66" s="33"/>
      <c r="C66" s="33"/>
      <c r="D66" s="32"/>
      <c r="E66" s="37"/>
      <c r="F66" s="33"/>
      <c r="G66" s="38"/>
      <c r="H66" s="38"/>
      <c r="I66" s="38">
        <f>O50</f>
        <v>515.28043200000002</v>
      </c>
      <c r="J66" s="38"/>
      <c r="K66" s="38"/>
      <c r="L66" s="68">
        <v>6.4490000000000006E-2</v>
      </c>
      <c r="M66" s="38"/>
      <c r="N66" s="38"/>
      <c r="O66" s="617">
        <f>I66*L66</f>
        <v>33.230435059680005</v>
      </c>
    </row>
    <row r="67" spans="1:15" ht="15" customHeight="1">
      <c r="A67" s="518" t="s">
        <v>71</v>
      </c>
      <c r="B67" s="25"/>
      <c r="C67" s="25"/>
      <c r="D67" s="25" t="s">
        <v>72</v>
      </c>
      <c r="E67" s="25"/>
      <c r="F67" s="1"/>
      <c r="G67" s="25"/>
      <c r="H67" s="25"/>
      <c r="I67" s="2"/>
      <c r="J67" s="2"/>
      <c r="K67" s="2"/>
      <c r="L67" s="2"/>
      <c r="M67" s="2"/>
      <c r="N67" s="2"/>
      <c r="O67" s="519"/>
    </row>
    <row r="68" spans="1:15" ht="54.6" customHeight="1">
      <c r="A68" s="492" t="s">
        <v>73</v>
      </c>
      <c r="B68" s="3" t="s">
        <v>74</v>
      </c>
      <c r="C68" s="27" t="s">
        <v>24</v>
      </c>
      <c r="D68" s="27" t="s">
        <v>75</v>
      </c>
      <c r="E68" s="4" t="s">
        <v>76</v>
      </c>
      <c r="F68" s="3"/>
      <c r="G68" s="6"/>
      <c r="H68" s="6"/>
      <c r="I68" s="6"/>
      <c r="J68" s="6"/>
      <c r="K68" s="6"/>
      <c r="L68" s="6"/>
      <c r="M68" s="6"/>
      <c r="N68" s="6"/>
      <c r="O68" s="615">
        <f>SUM(O69:O70)</f>
        <v>885.87</v>
      </c>
    </row>
    <row r="69" spans="1:15" ht="15" customHeight="1">
      <c r="A69" s="616"/>
      <c r="B69" s="33"/>
      <c r="C69" s="32"/>
      <c r="D69" s="33" t="s">
        <v>640</v>
      </c>
      <c r="E69" s="37"/>
      <c r="F69" s="33">
        <v>793.37</v>
      </c>
      <c r="G69" s="38"/>
      <c r="H69" s="38"/>
      <c r="I69" s="38"/>
      <c r="J69" s="38"/>
      <c r="K69" s="38"/>
      <c r="L69" s="38"/>
      <c r="M69" s="38"/>
      <c r="N69" s="38"/>
      <c r="O69" s="617">
        <f>F69</f>
        <v>793.37</v>
      </c>
    </row>
    <row r="70" spans="1:15" ht="15.6" customHeight="1">
      <c r="A70" s="616"/>
      <c r="B70" s="33"/>
      <c r="C70" s="32"/>
      <c r="D70" s="33" t="s">
        <v>639</v>
      </c>
      <c r="E70" s="37"/>
      <c r="F70" s="33">
        <v>92.5</v>
      </c>
      <c r="G70" s="38"/>
      <c r="H70" s="38"/>
      <c r="I70" s="38"/>
      <c r="J70" s="38"/>
      <c r="K70" s="38"/>
      <c r="L70" s="38"/>
      <c r="M70" s="38"/>
      <c r="N70" s="38"/>
      <c r="O70" s="617">
        <f t="shared" ref="O70" si="0">F70</f>
        <v>92.5</v>
      </c>
    </row>
    <row r="71" spans="1:15" ht="30" customHeight="1">
      <c r="A71" s="536" t="s">
        <v>77</v>
      </c>
      <c r="B71" s="3" t="s">
        <v>78</v>
      </c>
      <c r="C71" s="27" t="s">
        <v>24</v>
      </c>
      <c r="D71" s="27" t="s">
        <v>79</v>
      </c>
      <c r="E71" s="4" t="s">
        <v>76</v>
      </c>
      <c r="F71" s="3"/>
      <c r="G71" s="6"/>
      <c r="H71" s="6"/>
      <c r="I71" s="6"/>
      <c r="J71" s="6"/>
      <c r="K71" s="6"/>
      <c r="L71" s="6"/>
      <c r="M71" s="6"/>
      <c r="N71" s="6"/>
      <c r="O71" s="615">
        <f>SUM(O72:O73)</f>
        <v>885.87</v>
      </c>
    </row>
    <row r="72" spans="1:15" ht="15.6" customHeight="1">
      <c r="A72" s="616"/>
      <c r="B72" s="33"/>
      <c r="C72" s="32"/>
      <c r="D72" s="33" t="s">
        <v>638</v>
      </c>
      <c r="E72" s="37"/>
      <c r="F72" s="33">
        <v>793.37</v>
      </c>
      <c r="G72" s="38"/>
      <c r="H72" s="38"/>
      <c r="I72" s="38"/>
      <c r="J72" s="38"/>
      <c r="K72" s="38"/>
      <c r="L72" s="38"/>
      <c r="M72" s="38"/>
      <c r="N72" s="38"/>
      <c r="O72" s="617">
        <f>F72</f>
        <v>793.37</v>
      </c>
    </row>
    <row r="73" spans="1:15" ht="15" customHeight="1">
      <c r="A73" s="616"/>
      <c r="B73" s="33"/>
      <c r="C73" s="32"/>
      <c r="D73" s="33" t="s">
        <v>639</v>
      </c>
      <c r="E73" s="37"/>
      <c r="F73" s="33">
        <v>92.5</v>
      </c>
      <c r="G73" s="38"/>
      <c r="H73" s="38"/>
      <c r="I73" s="38"/>
      <c r="J73" s="38"/>
      <c r="K73" s="38"/>
      <c r="L73" s="38"/>
      <c r="M73" s="38"/>
      <c r="N73" s="38"/>
      <c r="O73" s="617">
        <f t="shared" ref="O73" si="1">F73</f>
        <v>92.5</v>
      </c>
    </row>
    <row r="74" spans="1:15" ht="15.6" customHeight="1">
      <c r="A74" s="518" t="s">
        <v>80</v>
      </c>
      <c r="B74" s="25"/>
      <c r="C74" s="25"/>
      <c r="D74" s="25" t="s">
        <v>81</v>
      </c>
      <c r="E74" s="25"/>
      <c r="F74" s="1"/>
      <c r="G74" s="25"/>
      <c r="H74" s="25"/>
      <c r="I74" s="2"/>
      <c r="J74" s="2"/>
      <c r="K74" s="2"/>
      <c r="L74" s="2"/>
      <c r="M74" s="2"/>
      <c r="N74" s="2"/>
      <c r="O74" s="519"/>
    </row>
    <row r="75" spans="1:15" ht="30" customHeight="1">
      <c r="A75" s="492" t="s">
        <v>372</v>
      </c>
      <c r="B75" s="3" t="s">
        <v>82</v>
      </c>
      <c r="C75" s="27" t="s">
        <v>24</v>
      </c>
      <c r="D75" s="27" t="s">
        <v>83</v>
      </c>
      <c r="E75" s="4" t="s">
        <v>21</v>
      </c>
      <c r="F75" s="3"/>
      <c r="G75" s="6"/>
      <c r="H75" s="6"/>
      <c r="I75" s="6"/>
      <c r="J75" s="6"/>
      <c r="K75" s="6"/>
      <c r="L75" s="6"/>
      <c r="M75" s="6"/>
      <c r="N75" s="6"/>
      <c r="O75" s="615">
        <f>O76</f>
        <v>191.62</v>
      </c>
    </row>
    <row r="76" spans="1:15" ht="15" customHeight="1">
      <c r="A76" s="616"/>
      <c r="B76" s="33"/>
      <c r="C76" s="32"/>
      <c r="D76" s="33" t="s">
        <v>639</v>
      </c>
      <c r="E76" s="37"/>
      <c r="F76" s="33"/>
      <c r="G76" s="38"/>
      <c r="H76" s="38"/>
      <c r="I76" s="38">
        <v>191.62</v>
      </c>
      <c r="J76" s="38"/>
      <c r="K76" s="38"/>
      <c r="L76" s="38"/>
      <c r="M76" s="38"/>
      <c r="N76" s="38"/>
      <c r="O76" s="617">
        <f>I76</f>
        <v>191.62</v>
      </c>
    </row>
    <row r="77" spans="1:15" ht="15.6" customHeight="1">
      <c r="A77" s="492" t="s">
        <v>373</v>
      </c>
      <c r="B77" s="3" t="s">
        <v>422</v>
      </c>
      <c r="C77" s="27" t="s">
        <v>24</v>
      </c>
      <c r="D77" s="27" t="s">
        <v>423</v>
      </c>
      <c r="E77" s="4" t="s">
        <v>21</v>
      </c>
      <c r="F77" s="3"/>
      <c r="G77" s="6"/>
      <c r="H77" s="6"/>
      <c r="I77" s="6"/>
      <c r="J77" s="6"/>
      <c r="K77" s="6"/>
      <c r="L77" s="6"/>
      <c r="M77" s="6"/>
      <c r="N77" s="6"/>
      <c r="O77" s="615">
        <f>SUM(O78:O79)</f>
        <v>927.05</v>
      </c>
    </row>
    <row r="78" spans="1:15" ht="15.6" customHeight="1">
      <c r="A78" s="616"/>
      <c r="B78" s="33"/>
      <c r="C78" s="32"/>
      <c r="D78" s="33" t="s">
        <v>429</v>
      </c>
      <c r="E78" s="37"/>
      <c r="F78" s="33"/>
      <c r="G78" s="38"/>
      <c r="H78" s="38"/>
      <c r="I78" s="38">
        <v>810.98</v>
      </c>
      <c r="J78" s="38"/>
      <c r="K78" s="38"/>
      <c r="L78" s="38"/>
      <c r="M78" s="38"/>
      <c r="N78" s="38"/>
      <c r="O78" s="617">
        <f>I78</f>
        <v>810.98</v>
      </c>
    </row>
    <row r="79" spans="1:15" ht="15" customHeight="1">
      <c r="A79" s="616"/>
      <c r="B79" s="33"/>
      <c r="C79" s="32"/>
      <c r="D79" s="33" t="s">
        <v>641</v>
      </c>
      <c r="E79" s="37"/>
      <c r="F79" s="33"/>
      <c r="G79" s="38"/>
      <c r="H79" s="38"/>
      <c r="I79" s="38">
        <v>116.07</v>
      </c>
      <c r="J79" s="38"/>
      <c r="K79" s="38"/>
      <c r="L79" s="38"/>
      <c r="M79" s="38"/>
      <c r="N79" s="38"/>
      <c r="O79" s="617">
        <f>I79</f>
        <v>116.07</v>
      </c>
    </row>
    <row r="80" spans="1:15" ht="54.6" customHeight="1">
      <c r="A80" s="492" t="s">
        <v>374</v>
      </c>
      <c r="B80" s="3" t="s">
        <v>42</v>
      </c>
      <c r="C80" s="27" t="s">
        <v>24</v>
      </c>
      <c r="D80" s="27" t="s">
        <v>667</v>
      </c>
      <c r="E80" s="4" t="s">
        <v>28</v>
      </c>
      <c r="F80" s="3"/>
      <c r="G80" s="6"/>
      <c r="H80" s="6"/>
      <c r="I80" s="6"/>
      <c r="J80" s="6"/>
      <c r="K80" s="6"/>
      <c r="L80" s="6"/>
      <c r="M80" s="6"/>
      <c r="N80" s="6"/>
      <c r="O80" s="615">
        <f>SUM(O81:O82)</f>
        <v>12.761892000000001</v>
      </c>
    </row>
    <row r="81" spans="1:15" ht="15.6" customHeight="1">
      <c r="A81" s="616"/>
      <c r="B81" s="33"/>
      <c r="C81" s="32"/>
      <c r="D81" s="33" t="s">
        <v>321</v>
      </c>
      <c r="E81" s="37"/>
      <c r="F81" s="33"/>
      <c r="G81" s="38"/>
      <c r="H81" s="38"/>
      <c r="I81" s="38">
        <f>I76</f>
        <v>191.62</v>
      </c>
      <c r="J81" s="38"/>
      <c r="K81" s="38"/>
      <c r="L81" s="68">
        <v>5.6800000000000003E-2</v>
      </c>
      <c r="M81" s="38"/>
      <c r="N81" s="38"/>
      <c r="O81" s="617">
        <f>I81*L81</f>
        <v>10.884016000000001</v>
      </c>
    </row>
    <row r="82" spans="1:15" ht="15" customHeight="1">
      <c r="A82" s="616"/>
      <c r="B82" s="33"/>
      <c r="C82" s="32"/>
      <c r="D82" s="33" t="s">
        <v>322</v>
      </c>
      <c r="E82" s="37"/>
      <c r="F82" s="33"/>
      <c r="G82" s="38"/>
      <c r="H82" s="38"/>
      <c r="I82" s="38">
        <f>I81</f>
        <v>191.62</v>
      </c>
      <c r="J82" s="38"/>
      <c r="K82" s="38"/>
      <c r="L82" s="68">
        <v>9.7999999999999997E-3</v>
      </c>
      <c r="M82" s="38"/>
      <c r="N82" s="38"/>
      <c r="O82" s="617">
        <f>I82*L82</f>
        <v>1.8778759999999999</v>
      </c>
    </row>
    <row r="83" spans="1:15" ht="42" customHeight="1">
      <c r="A83" s="492" t="s">
        <v>424</v>
      </c>
      <c r="B83" s="3" t="s">
        <v>56</v>
      </c>
      <c r="C83" s="27" t="s">
        <v>24</v>
      </c>
      <c r="D83" s="27" t="s">
        <v>653</v>
      </c>
      <c r="E83" s="4" t="s">
        <v>36</v>
      </c>
      <c r="F83" s="3"/>
      <c r="G83" s="6"/>
      <c r="H83" s="6"/>
      <c r="I83" s="6"/>
      <c r="J83" s="6"/>
      <c r="K83" s="6"/>
      <c r="L83" s="6"/>
      <c r="M83" s="6"/>
      <c r="N83" s="6"/>
      <c r="O83" s="615">
        <f>O84</f>
        <v>382.85676000000007</v>
      </c>
    </row>
    <row r="84" spans="1:15" ht="15.6" customHeight="1">
      <c r="A84" s="616"/>
      <c r="B84" s="33"/>
      <c r="C84" s="32"/>
      <c r="D84" s="32"/>
      <c r="E84" s="37"/>
      <c r="F84" s="33"/>
      <c r="G84" s="38"/>
      <c r="H84" s="38"/>
      <c r="I84" s="38"/>
      <c r="J84" s="38">
        <f>O80</f>
        <v>12.761892000000001</v>
      </c>
      <c r="K84" s="38"/>
      <c r="L84" s="38"/>
      <c r="M84" s="38"/>
      <c r="N84" s="38">
        <v>30</v>
      </c>
      <c r="O84" s="617">
        <f>J84*N84</f>
        <v>382.85676000000007</v>
      </c>
    </row>
    <row r="85" spans="1:15" ht="15.6" customHeight="1">
      <c r="A85" s="518">
        <v>6</v>
      </c>
      <c r="B85" s="25"/>
      <c r="C85" s="25"/>
      <c r="D85" s="25" t="s">
        <v>329</v>
      </c>
      <c r="E85" s="25"/>
      <c r="F85" s="1"/>
      <c r="G85" s="25"/>
      <c r="H85" s="25"/>
      <c r="I85" s="2"/>
      <c r="J85" s="2"/>
      <c r="K85" s="2"/>
      <c r="L85" s="2"/>
      <c r="M85" s="2"/>
      <c r="N85" s="2"/>
      <c r="O85" s="519"/>
    </row>
    <row r="86" spans="1:15" ht="42" customHeight="1">
      <c r="A86" s="492" t="s">
        <v>85</v>
      </c>
      <c r="B86" s="3" t="s">
        <v>330</v>
      </c>
      <c r="C86" s="27" t="s">
        <v>24</v>
      </c>
      <c r="D86" s="27" t="s">
        <v>331</v>
      </c>
      <c r="E86" s="4" t="s">
        <v>76</v>
      </c>
      <c r="F86" s="3"/>
      <c r="G86" s="6"/>
      <c r="H86" s="6"/>
      <c r="I86" s="6"/>
      <c r="J86" s="6"/>
      <c r="K86" s="6"/>
      <c r="L86" s="6"/>
      <c r="M86" s="6"/>
      <c r="N86" s="6"/>
      <c r="O86" s="615">
        <f>SUM(O87:O88)</f>
        <v>2716.65</v>
      </c>
    </row>
    <row r="87" spans="1:15">
      <c r="A87" s="616"/>
      <c r="B87" s="33"/>
      <c r="C87" s="32"/>
      <c r="D87" s="33" t="s">
        <v>429</v>
      </c>
      <c r="E87" s="37"/>
      <c r="F87" s="33">
        <v>445.1</v>
      </c>
      <c r="G87" s="38"/>
      <c r="H87" s="38"/>
      <c r="I87" s="38"/>
      <c r="J87" s="38"/>
      <c r="K87" s="38"/>
      <c r="L87" s="38"/>
      <c r="M87" s="38">
        <v>3</v>
      </c>
      <c r="N87" s="38"/>
      <c r="O87" s="617">
        <f>F87*M87</f>
        <v>1335.3000000000002</v>
      </c>
    </row>
    <row r="88" spans="1:15">
      <c r="A88" s="616"/>
      <c r="B88" s="33"/>
      <c r="C88" s="32"/>
      <c r="D88" s="33" t="s">
        <v>430</v>
      </c>
      <c r="E88" s="37"/>
      <c r="F88" s="33">
        <v>460.45</v>
      </c>
      <c r="G88" s="38"/>
      <c r="H88" s="38"/>
      <c r="I88" s="38"/>
      <c r="J88" s="38"/>
      <c r="K88" s="38"/>
      <c r="L88" s="38"/>
      <c r="M88" s="38">
        <v>3</v>
      </c>
      <c r="N88" s="38"/>
      <c r="O88" s="617">
        <f>F88*M88</f>
        <v>1381.35</v>
      </c>
    </row>
    <row r="89" spans="1:15">
      <c r="A89" s="518">
        <v>7</v>
      </c>
      <c r="B89" s="25"/>
      <c r="C89" s="25"/>
      <c r="D89" s="25" t="s">
        <v>87</v>
      </c>
      <c r="E89" s="25"/>
      <c r="F89" s="1"/>
      <c r="G89" s="25"/>
      <c r="H89" s="25"/>
      <c r="I89" s="2"/>
      <c r="J89" s="2"/>
      <c r="K89" s="2"/>
      <c r="L89" s="2"/>
      <c r="M89" s="2"/>
      <c r="N89" s="2"/>
      <c r="O89" s="519">
        <f>O90</f>
        <v>1.6</v>
      </c>
    </row>
    <row r="90" spans="1:15">
      <c r="A90" s="621" t="s">
        <v>86</v>
      </c>
      <c r="B90" s="622" t="s">
        <v>88</v>
      </c>
      <c r="C90" s="623" t="s">
        <v>19</v>
      </c>
      <c r="D90" s="623" t="s">
        <v>89</v>
      </c>
      <c r="E90" s="624" t="s">
        <v>90</v>
      </c>
      <c r="F90" s="622"/>
      <c r="G90" s="625"/>
      <c r="H90" s="625"/>
      <c r="I90" s="625"/>
      <c r="J90" s="625"/>
      <c r="K90" s="625"/>
      <c r="L90" s="625"/>
      <c r="M90" s="625">
        <v>1.6</v>
      </c>
      <c r="N90" s="625"/>
      <c r="O90" s="626">
        <f>M90</f>
        <v>1.6</v>
      </c>
    </row>
    <row r="91" spans="1:1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</row>
  </sheetData>
  <mergeCells count="9">
    <mergeCell ref="A1:C2"/>
    <mergeCell ref="D1:F1"/>
    <mergeCell ref="I1:O2"/>
    <mergeCell ref="D2:F2"/>
    <mergeCell ref="A5:O5"/>
    <mergeCell ref="A3:D3"/>
    <mergeCell ref="E3:O3"/>
    <mergeCell ref="A4:D4"/>
    <mergeCell ref="E4:O4"/>
  </mergeCells>
  <conditionalFormatting sqref="D14">
    <cfRule type="duplicateValues" dxfId="42" priority="1"/>
  </conditionalFormatting>
  <pageMargins left="0.511811024" right="0.511811024" top="0.78740157499999996" bottom="0.78740157499999996" header="0.31496062000000002" footer="0.31496062000000002"/>
  <pageSetup paperSize="9" scale="62" fitToHeight="0" orientation="landscape" r:id="rId1"/>
  <ignoredErrors>
    <ignoredError sqref="O56 O54" formula="1"/>
    <ignoredError sqref="B57 B55 B53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L441"/>
  <sheetViews>
    <sheetView zoomScale="80" zoomScaleNormal="80" workbookViewId="0">
      <selection activeCell="L9" sqref="L9"/>
    </sheetView>
  </sheetViews>
  <sheetFormatPr defaultRowHeight="14.25"/>
  <cols>
    <col min="1" max="1" width="10" bestFit="1" customWidth="1"/>
    <col min="2" max="2" width="13.5" style="84" customWidth="1"/>
    <col min="3" max="3" width="10" bestFit="1" customWidth="1"/>
    <col min="4" max="4" width="60" bestFit="1" customWidth="1"/>
    <col min="5" max="5" width="15" bestFit="1" customWidth="1"/>
    <col min="6" max="7" width="12" bestFit="1" customWidth="1"/>
    <col min="8" max="8" width="14.625" bestFit="1" customWidth="1"/>
    <col min="9" max="9" width="13" bestFit="1" customWidth="1"/>
    <col min="10" max="10" width="14" bestFit="1" customWidth="1"/>
    <col min="11" max="11" width="22.375" customWidth="1"/>
  </cols>
  <sheetData>
    <row r="1" spans="1:10" ht="25.5">
      <c r="A1" s="982"/>
      <c r="B1" s="983"/>
      <c r="C1" s="983"/>
      <c r="D1" s="1113" t="s">
        <v>791</v>
      </c>
      <c r="E1" s="1114"/>
      <c r="F1" s="1115"/>
      <c r="G1" s="781" t="s">
        <v>774</v>
      </c>
      <c r="H1" s="782" t="s">
        <v>775</v>
      </c>
      <c r="I1" s="1072"/>
      <c r="J1" s="1073"/>
    </row>
    <row r="2" spans="1:10" ht="54.6" customHeight="1">
      <c r="A2" s="983"/>
      <c r="B2" s="983"/>
      <c r="C2" s="983"/>
      <c r="D2" s="984" t="s">
        <v>631</v>
      </c>
      <c r="E2" s="985"/>
      <c r="F2" s="986"/>
      <c r="G2" s="814">
        <v>0.2097</v>
      </c>
      <c r="H2" s="815">
        <v>0.14019999999999999</v>
      </c>
      <c r="I2" s="1074"/>
      <c r="J2" s="1075"/>
    </row>
    <row r="3" spans="1:10" ht="15.6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0" ht="30.6" customHeight="1">
      <c r="A4" s="977" t="s">
        <v>736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0" ht="18">
      <c r="A5" s="1093" t="s">
        <v>91</v>
      </c>
      <c r="B5" s="1094"/>
      <c r="C5" s="1094"/>
      <c r="D5" s="1094"/>
      <c r="E5" s="1094"/>
      <c r="F5" s="1094"/>
      <c r="G5" s="1094"/>
      <c r="H5" s="1094"/>
      <c r="I5" s="1094"/>
      <c r="J5" s="1095"/>
    </row>
    <row r="6" spans="1:10">
      <c r="A6" s="518" t="s">
        <v>16</v>
      </c>
      <c r="B6" s="229"/>
      <c r="C6" s="25"/>
      <c r="D6" s="25" t="s">
        <v>17</v>
      </c>
      <c r="E6" s="25"/>
      <c r="F6" s="1139"/>
      <c r="G6" s="1140"/>
      <c r="H6" s="1"/>
      <c r="I6" s="25"/>
      <c r="J6" s="519">
        <f>J18+J28+J38+J46</f>
        <v>11862.82</v>
      </c>
    </row>
    <row r="7" spans="1:10" ht="15">
      <c r="A7" s="490" t="s">
        <v>18</v>
      </c>
      <c r="B7" s="31" t="s">
        <v>7</v>
      </c>
      <c r="C7" s="31" t="s">
        <v>8</v>
      </c>
      <c r="D7" s="31" t="s">
        <v>9</v>
      </c>
      <c r="E7" s="1128" t="s">
        <v>92</v>
      </c>
      <c r="F7" s="1130"/>
      <c r="G7" s="31" t="s">
        <v>10</v>
      </c>
      <c r="H7" s="31" t="s">
        <v>11</v>
      </c>
      <c r="I7" s="31" t="s">
        <v>12</v>
      </c>
      <c r="J7" s="516" t="s">
        <v>14</v>
      </c>
    </row>
    <row r="8" spans="1:10">
      <c r="A8" s="492" t="s">
        <v>93</v>
      </c>
      <c r="B8" s="4" t="s">
        <v>302</v>
      </c>
      <c r="C8" s="27" t="s">
        <v>19</v>
      </c>
      <c r="D8" s="27" t="s">
        <v>20</v>
      </c>
      <c r="E8" s="1141" t="s">
        <v>94</v>
      </c>
      <c r="F8" s="1142"/>
      <c r="G8" s="4" t="s">
        <v>21</v>
      </c>
      <c r="H8" s="5">
        <v>1</v>
      </c>
      <c r="I8" s="6">
        <v>371.36</v>
      </c>
      <c r="J8" s="493">
        <f>SUM(J9:J15)</f>
        <v>374.03189999999995</v>
      </c>
    </row>
    <row r="9" spans="1:10" ht="38.25">
      <c r="A9" s="494" t="s">
        <v>95</v>
      </c>
      <c r="B9" s="8" t="s">
        <v>96</v>
      </c>
      <c r="C9" s="23" t="s">
        <v>24</v>
      </c>
      <c r="D9" s="23" t="s">
        <v>97</v>
      </c>
      <c r="E9" s="1135" t="s">
        <v>98</v>
      </c>
      <c r="F9" s="1136"/>
      <c r="G9" s="8" t="s">
        <v>28</v>
      </c>
      <c r="H9" s="9">
        <v>0.01</v>
      </c>
      <c r="I9" s="10">
        <v>406.72</v>
      </c>
      <c r="J9" s="495">
        <f>H9*I9</f>
        <v>4.0672000000000006</v>
      </c>
    </row>
    <row r="10" spans="1:10" ht="29.45" customHeight="1">
      <c r="A10" s="494" t="s">
        <v>95</v>
      </c>
      <c r="B10" s="8" t="s">
        <v>99</v>
      </c>
      <c r="C10" s="23" t="s">
        <v>24</v>
      </c>
      <c r="D10" s="23" t="s">
        <v>100</v>
      </c>
      <c r="E10" s="1135" t="s">
        <v>101</v>
      </c>
      <c r="F10" s="1136"/>
      <c r="G10" s="8" t="s">
        <v>102</v>
      </c>
      <c r="H10" s="9">
        <v>1</v>
      </c>
      <c r="I10" s="10">
        <v>26.12</v>
      </c>
      <c r="J10" s="495">
        <f t="shared" ref="J10:J15" si="0">H10*I10</f>
        <v>26.12</v>
      </c>
    </row>
    <row r="11" spans="1:10" ht="30" customHeight="1">
      <c r="A11" s="494" t="s">
        <v>95</v>
      </c>
      <c r="B11" s="8" t="s">
        <v>103</v>
      </c>
      <c r="C11" s="23" t="s">
        <v>24</v>
      </c>
      <c r="D11" s="23" t="s">
        <v>104</v>
      </c>
      <c r="E11" s="1135" t="s">
        <v>101</v>
      </c>
      <c r="F11" s="1136"/>
      <c r="G11" s="8" t="s">
        <v>102</v>
      </c>
      <c r="H11" s="9">
        <v>2</v>
      </c>
      <c r="I11" s="10">
        <v>21.05</v>
      </c>
      <c r="J11" s="495">
        <f t="shared" si="0"/>
        <v>42.1</v>
      </c>
    </row>
    <row r="12" spans="1:10" ht="30" customHeight="1">
      <c r="A12" s="496" t="s">
        <v>105</v>
      </c>
      <c r="B12" s="11" t="s">
        <v>106</v>
      </c>
      <c r="C12" s="24" t="s">
        <v>24</v>
      </c>
      <c r="D12" s="24" t="s">
        <v>107</v>
      </c>
      <c r="E12" s="1137" t="s">
        <v>108</v>
      </c>
      <c r="F12" s="1138"/>
      <c r="G12" s="11" t="s">
        <v>76</v>
      </c>
      <c r="H12" s="12">
        <v>4</v>
      </c>
      <c r="I12" s="13">
        <v>10.66</v>
      </c>
      <c r="J12" s="497">
        <f t="shared" si="0"/>
        <v>42.64</v>
      </c>
    </row>
    <row r="13" spans="1:10" ht="25.5">
      <c r="A13" s="496" t="s">
        <v>105</v>
      </c>
      <c r="B13" s="11" t="s">
        <v>109</v>
      </c>
      <c r="C13" s="24" t="s">
        <v>24</v>
      </c>
      <c r="D13" s="24" t="s">
        <v>110</v>
      </c>
      <c r="E13" s="1137" t="s">
        <v>108</v>
      </c>
      <c r="F13" s="1138"/>
      <c r="G13" s="11" t="s">
        <v>21</v>
      </c>
      <c r="H13" s="12">
        <v>1</v>
      </c>
      <c r="I13" s="13">
        <v>250</v>
      </c>
      <c r="J13" s="497">
        <f t="shared" si="0"/>
        <v>250</v>
      </c>
    </row>
    <row r="14" spans="1:10" ht="15.6" customHeight="1">
      <c r="A14" s="496" t="s">
        <v>105</v>
      </c>
      <c r="B14" s="11" t="s">
        <v>111</v>
      </c>
      <c r="C14" s="24" t="s">
        <v>24</v>
      </c>
      <c r="D14" s="24" t="s">
        <v>112</v>
      </c>
      <c r="E14" s="1137" t="s">
        <v>108</v>
      </c>
      <c r="F14" s="1138"/>
      <c r="G14" s="11" t="s">
        <v>113</v>
      </c>
      <c r="H14" s="12">
        <v>0.11</v>
      </c>
      <c r="I14" s="13">
        <v>15.77</v>
      </c>
      <c r="J14" s="497">
        <f t="shared" si="0"/>
        <v>1.7346999999999999</v>
      </c>
    </row>
    <row r="15" spans="1:10" ht="38.25">
      <c r="A15" s="496" t="s">
        <v>105</v>
      </c>
      <c r="B15" s="11" t="s">
        <v>114</v>
      </c>
      <c r="C15" s="24" t="s">
        <v>24</v>
      </c>
      <c r="D15" s="24" t="s">
        <v>115</v>
      </c>
      <c r="E15" s="1137" t="s">
        <v>108</v>
      </c>
      <c r="F15" s="1138"/>
      <c r="G15" s="11" t="s">
        <v>76</v>
      </c>
      <c r="H15" s="12">
        <v>1</v>
      </c>
      <c r="I15" s="13">
        <v>7.37</v>
      </c>
      <c r="J15" s="497">
        <f t="shared" si="0"/>
        <v>7.37</v>
      </c>
    </row>
    <row r="16" spans="1:10">
      <c r="A16" s="498"/>
      <c r="B16" s="20"/>
      <c r="C16" s="499"/>
      <c r="D16" s="499"/>
      <c r="E16" s="499" t="s">
        <v>116</v>
      </c>
      <c r="F16" s="500">
        <v>52.77</v>
      </c>
      <c r="G16" s="499" t="s">
        <v>117</v>
      </c>
      <c r="H16" s="500">
        <v>0</v>
      </c>
      <c r="I16" s="499" t="s">
        <v>118</v>
      </c>
      <c r="J16" s="501">
        <v>52.77</v>
      </c>
    </row>
    <row r="17" spans="1:10">
      <c r="A17" s="498"/>
      <c r="B17" s="20"/>
      <c r="C17" s="499"/>
      <c r="D17" s="499"/>
      <c r="E17" s="499" t="s">
        <v>119</v>
      </c>
      <c r="F17" s="500">
        <f>J17-J8</f>
        <v>78.434489429999985</v>
      </c>
      <c r="G17" s="499"/>
      <c r="H17" s="1082" t="s">
        <v>120</v>
      </c>
      <c r="I17" s="1082"/>
      <c r="J17" s="501">
        <f>J8*(1+G2)</f>
        <v>452.46638942999994</v>
      </c>
    </row>
    <row r="18" spans="1:10" ht="15" thickBot="1">
      <c r="A18" s="503"/>
      <c r="B18" s="666"/>
      <c r="C18" s="14"/>
      <c r="D18" s="14"/>
      <c r="E18" s="14"/>
      <c r="F18" s="14"/>
      <c r="G18" s="14" t="s">
        <v>121</v>
      </c>
      <c r="H18" s="504">
        <f>'OBRA 02 - MEMÓRIA'!O8</f>
        <v>6</v>
      </c>
      <c r="I18" s="14" t="s">
        <v>122</v>
      </c>
      <c r="J18" s="505">
        <f>TRUNC(H18*J17,2)</f>
        <v>2714.79</v>
      </c>
    </row>
    <row r="19" spans="1:10" ht="15.6" customHeight="1" thickTop="1">
      <c r="A19" s="506"/>
      <c r="B19" s="230"/>
      <c r="C19" s="15"/>
      <c r="D19" s="15"/>
      <c r="E19" s="15"/>
      <c r="F19" s="15"/>
      <c r="G19" s="15"/>
      <c r="H19" s="15"/>
      <c r="I19" s="15"/>
      <c r="J19" s="507"/>
    </row>
    <row r="20" spans="1:10" ht="15.6" customHeight="1">
      <c r="A20" s="490" t="s">
        <v>410</v>
      </c>
      <c r="B20" s="31" t="s">
        <v>7</v>
      </c>
      <c r="C20" s="26" t="s">
        <v>8</v>
      </c>
      <c r="D20" s="26" t="s">
        <v>9</v>
      </c>
      <c r="E20" s="1143" t="s">
        <v>92</v>
      </c>
      <c r="F20" s="1144"/>
      <c r="G20" s="31" t="s">
        <v>10</v>
      </c>
      <c r="H20" s="29" t="s">
        <v>11</v>
      </c>
      <c r="I20" s="29" t="s">
        <v>12</v>
      </c>
      <c r="J20" s="491" t="s">
        <v>14</v>
      </c>
    </row>
    <row r="21" spans="1:10">
      <c r="A21" s="492" t="s">
        <v>93</v>
      </c>
      <c r="B21" s="4" t="s">
        <v>29</v>
      </c>
      <c r="C21" s="27" t="s">
        <v>30</v>
      </c>
      <c r="D21" s="27" t="s">
        <v>560</v>
      </c>
      <c r="E21" s="1141" t="s">
        <v>173</v>
      </c>
      <c r="F21" s="1142"/>
      <c r="G21" s="4" t="s">
        <v>31</v>
      </c>
      <c r="H21" s="5">
        <v>1</v>
      </c>
      <c r="I21" s="6">
        <v>9.8000000000000007</v>
      </c>
      <c r="J21" s="493">
        <f>SUM(J22:J25)</f>
        <v>9.8135000000000012</v>
      </c>
    </row>
    <row r="22" spans="1:10" ht="25.5">
      <c r="A22" s="494" t="s">
        <v>95</v>
      </c>
      <c r="B22" s="8" t="s">
        <v>174</v>
      </c>
      <c r="C22" s="23" t="s">
        <v>30</v>
      </c>
      <c r="D22" s="23" t="s">
        <v>175</v>
      </c>
      <c r="E22" s="1135" t="s">
        <v>176</v>
      </c>
      <c r="F22" s="1136"/>
      <c r="G22" s="8" t="s">
        <v>177</v>
      </c>
      <c r="H22" s="9">
        <v>0.5</v>
      </c>
      <c r="I22" s="10">
        <v>3.79</v>
      </c>
      <c r="J22" s="495">
        <f>I22*H22</f>
        <v>1.895</v>
      </c>
    </row>
    <row r="23" spans="1:10" ht="25.5">
      <c r="A23" s="494" t="s">
        <v>95</v>
      </c>
      <c r="B23" s="8" t="s">
        <v>178</v>
      </c>
      <c r="C23" s="23" t="s">
        <v>30</v>
      </c>
      <c r="D23" s="23" t="s">
        <v>179</v>
      </c>
      <c r="E23" s="1135" t="s">
        <v>176</v>
      </c>
      <c r="F23" s="1136"/>
      <c r="G23" s="8" t="s">
        <v>177</v>
      </c>
      <c r="H23" s="9">
        <v>0.05</v>
      </c>
      <c r="I23" s="10">
        <v>3.66</v>
      </c>
      <c r="J23" s="495">
        <f t="shared" ref="J23:J25" si="1">I23*H23</f>
        <v>0.18300000000000002</v>
      </c>
    </row>
    <row r="24" spans="1:10" ht="15" customHeight="1">
      <c r="A24" s="496" t="s">
        <v>105</v>
      </c>
      <c r="B24" s="11" t="s">
        <v>180</v>
      </c>
      <c r="C24" s="24" t="s">
        <v>30</v>
      </c>
      <c r="D24" s="24" t="s">
        <v>181</v>
      </c>
      <c r="E24" s="1137" t="s">
        <v>147</v>
      </c>
      <c r="F24" s="1138"/>
      <c r="G24" s="11" t="s">
        <v>177</v>
      </c>
      <c r="H24" s="12">
        <v>0.05</v>
      </c>
      <c r="I24" s="13">
        <v>18.21</v>
      </c>
      <c r="J24" s="497">
        <f t="shared" si="1"/>
        <v>0.91050000000000009</v>
      </c>
    </row>
    <row r="25" spans="1:10" ht="18" customHeight="1">
      <c r="A25" s="496" t="s">
        <v>105</v>
      </c>
      <c r="B25" s="231" t="s">
        <v>182</v>
      </c>
      <c r="C25" s="24" t="s">
        <v>30</v>
      </c>
      <c r="D25" s="24" t="s">
        <v>183</v>
      </c>
      <c r="E25" s="1137" t="s">
        <v>147</v>
      </c>
      <c r="F25" s="1138"/>
      <c r="G25" s="11" t="s">
        <v>177</v>
      </c>
      <c r="H25" s="12">
        <v>0.5</v>
      </c>
      <c r="I25" s="13">
        <v>13.65</v>
      </c>
      <c r="J25" s="497">
        <f t="shared" si="1"/>
        <v>6.8250000000000002</v>
      </c>
    </row>
    <row r="26" spans="1:10" ht="15" customHeight="1">
      <c r="A26" s="498"/>
      <c r="B26" s="20"/>
      <c r="C26" s="499"/>
      <c r="D26" s="499"/>
      <c r="E26" s="499" t="s">
        <v>116</v>
      </c>
      <c r="F26" s="500">
        <v>7.73</v>
      </c>
      <c r="G26" s="499" t="s">
        <v>117</v>
      </c>
      <c r="H26" s="500">
        <v>0</v>
      </c>
      <c r="I26" s="499" t="s">
        <v>118</v>
      </c>
      <c r="J26" s="501">
        <v>7.73</v>
      </c>
    </row>
    <row r="27" spans="1:10" ht="15" customHeight="1">
      <c r="A27" s="498"/>
      <c r="B27" s="20"/>
      <c r="C27" s="499"/>
      <c r="D27" s="499"/>
      <c r="E27" s="499" t="s">
        <v>119</v>
      </c>
      <c r="F27" s="500">
        <f>J27-J21</f>
        <v>2.0578909500000009</v>
      </c>
      <c r="G27" s="499"/>
      <c r="H27" s="1082" t="s">
        <v>120</v>
      </c>
      <c r="I27" s="1082"/>
      <c r="J27" s="501">
        <f>J21*(1+G2)</f>
        <v>11.871390950000002</v>
      </c>
    </row>
    <row r="28" spans="1:10" ht="15" customHeight="1" thickBot="1">
      <c r="A28" s="503"/>
      <c r="B28" s="666"/>
      <c r="C28" s="14"/>
      <c r="D28" s="14"/>
      <c r="E28" s="14"/>
      <c r="F28" s="14"/>
      <c r="G28" s="14" t="s">
        <v>121</v>
      </c>
      <c r="H28" s="504">
        <f>'OBRA 02 - MEMÓRIA'!O10</f>
        <v>533.35</v>
      </c>
      <c r="I28" s="14" t="s">
        <v>122</v>
      </c>
      <c r="J28" s="505">
        <f>TRUNC(H28*J27,2)</f>
        <v>6331.6</v>
      </c>
    </row>
    <row r="29" spans="1:10" ht="15" customHeight="1" thickTop="1">
      <c r="A29" s="506"/>
      <c r="B29" s="230"/>
      <c r="C29" s="15"/>
      <c r="D29" s="15"/>
      <c r="E29" s="15"/>
      <c r="F29" s="15"/>
      <c r="G29" s="15"/>
      <c r="H29" s="15"/>
      <c r="I29" s="15"/>
      <c r="J29" s="507"/>
    </row>
    <row r="30" spans="1:10" ht="15" customHeight="1">
      <c r="A30" s="490" t="s">
        <v>326</v>
      </c>
      <c r="B30" s="31" t="s">
        <v>7</v>
      </c>
      <c r="C30" s="26" t="s">
        <v>8</v>
      </c>
      <c r="D30" s="26" t="s">
        <v>9</v>
      </c>
      <c r="E30" s="1143" t="s">
        <v>92</v>
      </c>
      <c r="F30" s="1144"/>
      <c r="G30" s="31" t="s">
        <v>10</v>
      </c>
      <c r="H30" s="29" t="s">
        <v>11</v>
      </c>
      <c r="I30" s="29" t="s">
        <v>12</v>
      </c>
      <c r="J30" s="491" t="s">
        <v>14</v>
      </c>
    </row>
    <row r="31" spans="1:10" ht="55.15" customHeight="1">
      <c r="A31" s="492" t="s">
        <v>93</v>
      </c>
      <c r="B31" s="4" t="s">
        <v>42</v>
      </c>
      <c r="C31" s="27" t="s">
        <v>24</v>
      </c>
      <c r="D31" s="27" t="s">
        <v>659</v>
      </c>
      <c r="E31" s="1141" t="s">
        <v>184</v>
      </c>
      <c r="F31" s="1142"/>
      <c r="G31" s="4" t="s">
        <v>28</v>
      </c>
      <c r="H31" s="5">
        <v>1</v>
      </c>
      <c r="I31" s="6">
        <v>7.67</v>
      </c>
      <c r="J31" s="493">
        <f>SUM(J32:J35)</f>
        <v>7.8073019999999991</v>
      </c>
    </row>
    <row r="32" spans="1:10" ht="54.6" customHeight="1">
      <c r="A32" s="494" t="s">
        <v>95</v>
      </c>
      <c r="B32" s="8" t="s">
        <v>185</v>
      </c>
      <c r="C32" s="23" t="s">
        <v>24</v>
      </c>
      <c r="D32" s="23" t="s">
        <v>186</v>
      </c>
      <c r="E32" s="1135" t="s">
        <v>125</v>
      </c>
      <c r="F32" s="1136"/>
      <c r="G32" s="8" t="s">
        <v>126</v>
      </c>
      <c r="H32" s="9">
        <v>2.2499999999999999E-2</v>
      </c>
      <c r="I32" s="10">
        <v>186.94</v>
      </c>
      <c r="J32" s="495">
        <f>I32*H32</f>
        <v>4.2061500000000001</v>
      </c>
    </row>
    <row r="33" spans="1:10" ht="55.15" customHeight="1">
      <c r="A33" s="494" t="s">
        <v>95</v>
      </c>
      <c r="B33" s="8" t="s">
        <v>187</v>
      </c>
      <c r="C33" s="23" t="s">
        <v>24</v>
      </c>
      <c r="D33" s="23" t="s">
        <v>188</v>
      </c>
      <c r="E33" s="1135" t="s">
        <v>125</v>
      </c>
      <c r="F33" s="1136"/>
      <c r="G33" s="8" t="s">
        <v>129</v>
      </c>
      <c r="H33" s="9">
        <v>1.8499999999999999E-2</v>
      </c>
      <c r="I33" s="10">
        <v>62.47</v>
      </c>
      <c r="J33" s="495">
        <f t="shared" ref="J33:J35" si="2">I33*H33</f>
        <v>1.1556949999999999</v>
      </c>
    </row>
    <row r="34" spans="1:10" ht="30" customHeight="1">
      <c r="A34" s="494" t="s">
        <v>95</v>
      </c>
      <c r="B34" s="8" t="s">
        <v>200</v>
      </c>
      <c r="C34" s="23" t="s">
        <v>24</v>
      </c>
      <c r="D34" s="23" t="s">
        <v>201</v>
      </c>
      <c r="E34" s="1135" t="s">
        <v>125</v>
      </c>
      <c r="F34" s="1136"/>
      <c r="G34" s="8" t="s">
        <v>126</v>
      </c>
      <c r="H34" s="9">
        <v>4.1999999999999997E-3</v>
      </c>
      <c r="I34" s="10">
        <v>257.7</v>
      </c>
      <c r="J34" s="495">
        <f t="shared" si="2"/>
        <v>1.0823399999999999</v>
      </c>
    </row>
    <row r="35" spans="1:10" ht="30" customHeight="1">
      <c r="A35" s="494" t="s">
        <v>95</v>
      </c>
      <c r="B35" s="8" t="s">
        <v>202</v>
      </c>
      <c r="C35" s="23" t="s">
        <v>24</v>
      </c>
      <c r="D35" s="23" t="s">
        <v>203</v>
      </c>
      <c r="E35" s="1135" t="s">
        <v>125</v>
      </c>
      <c r="F35" s="1136"/>
      <c r="G35" s="8" t="s">
        <v>129</v>
      </c>
      <c r="H35" s="9">
        <v>1.3299999999999999E-2</v>
      </c>
      <c r="I35" s="10">
        <v>102.49</v>
      </c>
      <c r="J35" s="495">
        <f t="shared" si="2"/>
        <v>1.3631169999999999</v>
      </c>
    </row>
    <row r="36" spans="1:10" ht="15" customHeight="1">
      <c r="A36" s="498"/>
      <c r="B36" s="20"/>
      <c r="C36" s="499"/>
      <c r="D36" s="499"/>
      <c r="E36" s="499" t="s">
        <v>116</v>
      </c>
      <c r="F36" s="500">
        <v>1.4</v>
      </c>
      <c r="G36" s="499" t="s">
        <v>117</v>
      </c>
      <c r="H36" s="500">
        <v>0</v>
      </c>
      <c r="I36" s="499" t="s">
        <v>118</v>
      </c>
      <c r="J36" s="501">
        <v>1.4</v>
      </c>
    </row>
    <row r="37" spans="1:10" ht="15" customHeight="1">
      <c r="A37" s="498"/>
      <c r="B37" s="20"/>
      <c r="C37" s="499"/>
      <c r="D37" s="499"/>
      <c r="E37" s="499" t="s">
        <v>119</v>
      </c>
      <c r="F37" s="500">
        <f>J37-J31</f>
        <v>1.6371912293999999</v>
      </c>
      <c r="G37" s="499"/>
      <c r="H37" s="1082" t="s">
        <v>120</v>
      </c>
      <c r="I37" s="1082"/>
      <c r="J37" s="501">
        <f>J31*(1+G2)</f>
        <v>9.444493229399999</v>
      </c>
    </row>
    <row r="38" spans="1:10" ht="14.45" customHeight="1" thickBot="1">
      <c r="A38" s="503"/>
      <c r="B38" s="666"/>
      <c r="C38" s="14"/>
      <c r="D38" s="14"/>
      <c r="E38" s="14"/>
      <c r="F38" s="14"/>
      <c r="G38" s="14" t="s">
        <v>121</v>
      </c>
      <c r="H38" s="504">
        <f>'OBRA 02 - MEMÓRIA'!O14</f>
        <v>24.00075</v>
      </c>
      <c r="I38" s="14" t="s">
        <v>122</v>
      </c>
      <c r="J38" s="505">
        <f>TRUNC(H38*J37,2)</f>
        <v>226.67</v>
      </c>
    </row>
    <row r="39" spans="1:10" ht="15" customHeight="1" thickTop="1">
      <c r="A39" s="506"/>
      <c r="B39" s="230"/>
      <c r="C39" s="15"/>
      <c r="D39" s="15"/>
      <c r="E39" s="15"/>
      <c r="F39" s="15"/>
      <c r="G39" s="15"/>
      <c r="H39" s="15"/>
      <c r="I39" s="15"/>
      <c r="J39" s="507"/>
    </row>
    <row r="40" spans="1:10" ht="15" customHeight="1">
      <c r="A40" s="490" t="s">
        <v>573</v>
      </c>
      <c r="B40" s="31" t="s">
        <v>7</v>
      </c>
      <c r="C40" s="26" t="s">
        <v>8</v>
      </c>
      <c r="D40" s="26" t="s">
        <v>9</v>
      </c>
      <c r="E40" s="1143" t="s">
        <v>92</v>
      </c>
      <c r="F40" s="1144"/>
      <c r="G40" s="31" t="s">
        <v>10</v>
      </c>
      <c r="H40" s="29" t="s">
        <v>11</v>
      </c>
      <c r="I40" s="29" t="s">
        <v>12</v>
      </c>
      <c r="J40" s="491" t="s">
        <v>14</v>
      </c>
    </row>
    <row r="41" spans="1:10" ht="30" customHeight="1">
      <c r="A41" s="492" t="s">
        <v>93</v>
      </c>
      <c r="B41" s="4" t="s">
        <v>34</v>
      </c>
      <c r="C41" s="27" t="s">
        <v>24</v>
      </c>
      <c r="D41" s="27" t="s">
        <v>656</v>
      </c>
      <c r="E41" s="1141" t="s">
        <v>184</v>
      </c>
      <c r="F41" s="1142"/>
      <c r="G41" s="4" t="s">
        <v>36</v>
      </c>
      <c r="H41" s="5">
        <v>1</v>
      </c>
      <c r="I41" s="6">
        <v>2.92</v>
      </c>
      <c r="J41" s="493">
        <f>SUM(J42:J43)</f>
        <v>2.9732859999999999</v>
      </c>
    </row>
    <row r="42" spans="1:10" ht="42" customHeight="1">
      <c r="A42" s="494" t="s">
        <v>95</v>
      </c>
      <c r="B42" s="8" t="s">
        <v>185</v>
      </c>
      <c r="C42" s="23" t="s">
        <v>24</v>
      </c>
      <c r="D42" s="23" t="s">
        <v>186</v>
      </c>
      <c r="E42" s="1135" t="s">
        <v>125</v>
      </c>
      <c r="F42" s="1136"/>
      <c r="G42" s="8" t="s">
        <v>126</v>
      </c>
      <c r="H42" s="9">
        <v>1.3899999999999999E-2</v>
      </c>
      <c r="I42" s="10">
        <v>186.94</v>
      </c>
      <c r="J42" s="495">
        <f>H42*I42</f>
        <v>2.5984659999999997</v>
      </c>
    </row>
    <row r="43" spans="1:10" ht="55.15" customHeight="1">
      <c r="A43" s="494" t="s">
        <v>95</v>
      </c>
      <c r="B43" s="8" t="s">
        <v>187</v>
      </c>
      <c r="C43" s="23" t="s">
        <v>24</v>
      </c>
      <c r="D43" s="23" t="s">
        <v>188</v>
      </c>
      <c r="E43" s="1135" t="s">
        <v>125</v>
      </c>
      <c r="F43" s="1136"/>
      <c r="G43" s="8" t="s">
        <v>129</v>
      </c>
      <c r="H43" s="9">
        <v>6.0000000000000001E-3</v>
      </c>
      <c r="I43" s="10">
        <v>62.47</v>
      </c>
      <c r="J43" s="495">
        <f>H43*I43</f>
        <v>0.37481999999999999</v>
      </c>
    </row>
    <row r="44" spans="1:10" ht="15" customHeight="1">
      <c r="A44" s="498"/>
      <c r="B44" s="20"/>
      <c r="C44" s="499"/>
      <c r="D44" s="499"/>
      <c r="E44" s="499" t="s">
        <v>116</v>
      </c>
      <c r="F44" s="500">
        <v>0.41</v>
      </c>
      <c r="G44" s="499" t="s">
        <v>117</v>
      </c>
      <c r="H44" s="500">
        <v>0</v>
      </c>
      <c r="I44" s="499" t="s">
        <v>118</v>
      </c>
      <c r="J44" s="501">
        <v>0.41</v>
      </c>
    </row>
    <row r="45" spans="1:10" ht="15" customHeight="1">
      <c r="A45" s="498"/>
      <c r="B45" s="20"/>
      <c r="C45" s="499"/>
      <c r="D45" s="499"/>
      <c r="E45" s="499" t="s">
        <v>119</v>
      </c>
      <c r="F45" s="500">
        <f>J45-J41</f>
        <v>0.62349807420000003</v>
      </c>
      <c r="G45" s="499"/>
      <c r="H45" s="1082" t="s">
        <v>120</v>
      </c>
      <c r="I45" s="1082"/>
      <c r="J45" s="501">
        <f>J41*(1+G2)</f>
        <v>3.5967840741999999</v>
      </c>
    </row>
    <row r="46" spans="1:10" ht="15" customHeight="1" thickBot="1">
      <c r="A46" s="503"/>
      <c r="B46" s="666"/>
      <c r="C46" s="14"/>
      <c r="D46" s="14"/>
      <c r="E46" s="14"/>
      <c r="F46" s="14"/>
      <c r="G46" s="14" t="s">
        <v>121</v>
      </c>
      <c r="H46" s="504">
        <f>'OBRA 02 - MEMÓRIA'!O16</f>
        <v>720.02250000000004</v>
      </c>
      <c r="I46" s="14" t="s">
        <v>122</v>
      </c>
      <c r="J46" s="505">
        <f>TRUNC(H46*J45,2)</f>
        <v>2589.7600000000002</v>
      </c>
    </row>
    <row r="47" spans="1:10" ht="15" customHeight="1" thickTop="1">
      <c r="A47" s="506"/>
      <c r="B47" s="230"/>
      <c r="C47" s="15"/>
      <c r="D47" s="15"/>
      <c r="E47" s="15"/>
      <c r="F47" s="15"/>
      <c r="G47" s="15"/>
      <c r="H47" s="15"/>
      <c r="I47" s="15"/>
      <c r="J47" s="507"/>
    </row>
    <row r="48" spans="1:10" ht="15" customHeight="1">
      <c r="A48" s="518" t="s">
        <v>37</v>
      </c>
      <c r="B48" s="229"/>
      <c r="C48" s="25"/>
      <c r="D48" s="25" t="s">
        <v>38</v>
      </c>
      <c r="E48" s="25"/>
      <c r="F48" s="1139"/>
      <c r="G48" s="1140"/>
      <c r="H48" s="1"/>
      <c r="I48" s="25"/>
      <c r="J48" s="519">
        <f>J57+J80+J88</f>
        <v>242869.67</v>
      </c>
    </row>
    <row r="49" spans="1:10" ht="15" customHeight="1">
      <c r="A49" s="490" t="s">
        <v>39</v>
      </c>
      <c r="B49" s="31" t="s">
        <v>7</v>
      </c>
      <c r="C49" s="26" t="s">
        <v>8</v>
      </c>
      <c r="D49" s="26" t="s">
        <v>9</v>
      </c>
      <c r="E49" s="1143" t="s">
        <v>92</v>
      </c>
      <c r="F49" s="1144"/>
      <c r="G49" s="31" t="s">
        <v>10</v>
      </c>
      <c r="H49" s="29" t="s">
        <v>11</v>
      </c>
      <c r="I49" s="29" t="s">
        <v>12</v>
      </c>
      <c r="J49" s="491" t="s">
        <v>14</v>
      </c>
    </row>
    <row r="50" spans="1:10" ht="42" customHeight="1">
      <c r="A50" s="492" t="s">
        <v>93</v>
      </c>
      <c r="B50" s="4">
        <v>101124</v>
      </c>
      <c r="C50" s="27" t="s">
        <v>24</v>
      </c>
      <c r="D50" s="27" t="s">
        <v>397</v>
      </c>
      <c r="E50" s="1141" t="s">
        <v>189</v>
      </c>
      <c r="F50" s="1142"/>
      <c r="G50" s="4" t="s">
        <v>28</v>
      </c>
      <c r="H50" s="5">
        <v>1</v>
      </c>
      <c r="I50" s="6">
        <v>15.26</v>
      </c>
      <c r="J50" s="493">
        <f>SUM(J51:J54)</f>
        <v>15.327324999999998</v>
      </c>
    </row>
    <row r="51" spans="1:10" ht="30" customHeight="1">
      <c r="A51" s="494" t="s">
        <v>95</v>
      </c>
      <c r="B51" s="8" t="s">
        <v>398</v>
      </c>
      <c r="C51" s="23" t="s">
        <v>24</v>
      </c>
      <c r="D51" s="23" t="s">
        <v>104</v>
      </c>
      <c r="E51" s="1135" t="s">
        <v>125</v>
      </c>
      <c r="F51" s="1136"/>
      <c r="G51" s="8" t="s">
        <v>102</v>
      </c>
      <c r="H51" s="9" t="s">
        <v>405</v>
      </c>
      <c r="I51" s="10" t="s">
        <v>406</v>
      </c>
      <c r="J51" s="495">
        <f>H51*I51</f>
        <v>0.65254999999999996</v>
      </c>
    </row>
    <row r="52" spans="1:10" ht="30" customHeight="1">
      <c r="A52" s="494" t="s">
        <v>95</v>
      </c>
      <c r="B52" s="8" t="s">
        <v>399</v>
      </c>
      <c r="C52" s="23" t="s">
        <v>24</v>
      </c>
      <c r="D52" s="23" t="s">
        <v>401</v>
      </c>
      <c r="E52" s="1135" t="s">
        <v>125</v>
      </c>
      <c r="F52" s="1136"/>
      <c r="G52" s="8" t="s">
        <v>126</v>
      </c>
      <c r="H52" s="9" t="s">
        <v>407</v>
      </c>
      <c r="I52" s="10">
        <v>80.77</v>
      </c>
      <c r="J52" s="495">
        <f t="shared" ref="J52:J54" si="3">H52*I52</f>
        <v>1.5750149999999998</v>
      </c>
    </row>
    <row r="53" spans="1:10" ht="30" customHeight="1">
      <c r="A53" s="494" t="s">
        <v>95</v>
      </c>
      <c r="B53" s="8" t="s">
        <v>400</v>
      </c>
      <c r="C53" s="23" t="s">
        <v>24</v>
      </c>
      <c r="D53" s="23" t="s">
        <v>402</v>
      </c>
      <c r="E53" s="1135" t="s">
        <v>101</v>
      </c>
      <c r="F53" s="1136"/>
      <c r="G53" s="8" t="s">
        <v>129</v>
      </c>
      <c r="H53" s="9" t="s">
        <v>408</v>
      </c>
      <c r="I53" s="10">
        <v>203.24</v>
      </c>
      <c r="J53" s="495">
        <f t="shared" si="3"/>
        <v>2.3372600000000001</v>
      </c>
    </row>
    <row r="54" spans="1:10" ht="55.15" customHeight="1">
      <c r="A54" s="494" t="s">
        <v>95</v>
      </c>
      <c r="B54" s="8">
        <v>100974</v>
      </c>
      <c r="C54" s="23" t="s">
        <v>24</v>
      </c>
      <c r="D54" s="23" t="s">
        <v>403</v>
      </c>
      <c r="E54" s="1135" t="s">
        <v>184</v>
      </c>
      <c r="F54" s="1136"/>
      <c r="G54" s="8" t="s">
        <v>404</v>
      </c>
      <c r="H54" s="9" t="s">
        <v>409</v>
      </c>
      <c r="I54" s="10">
        <v>8.61</v>
      </c>
      <c r="J54" s="495">
        <f t="shared" si="3"/>
        <v>10.762499999999999</v>
      </c>
    </row>
    <row r="55" spans="1:10" ht="15.6" customHeight="1">
      <c r="A55" s="498"/>
      <c r="B55" s="20"/>
      <c r="C55" s="499"/>
      <c r="D55" s="499"/>
      <c r="E55" s="499" t="s">
        <v>116</v>
      </c>
      <c r="F55" s="500">
        <v>1.3</v>
      </c>
      <c r="G55" s="499" t="s">
        <v>117</v>
      </c>
      <c r="H55" s="500">
        <v>0</v>
      </c>
      <c r="I55" s="499" t="s">
        <v>118</v>
      </c>
      <c r="J55" s="501">
        <v>1.3</v>
      </c>
    </row>
    <row r="56" spans="1:10" ht="15.6" customHeight="1">
      <c r="A56" s="498"/>
      <c r="B56" s="20"/>
      <c r="C56" s="499"/>
      <c r="D56" s="499"/>
      <c r="E56" s="499" t="s">
        <v>119</v>
      </c>
      <c r="F56" s="500">
        <f>J56-J50</f>
        <v>3.2141400524999995</v>
      </c>
      <c r="G56" s="499"/>
      <c r="H56" s="1082" t="s">
        <v>120</v>
      </c>
      <c r="I56" s="1082"/>
      <c r="J56" s="501">
        <f>J50*(1+G2)</f>
        <v>18.541465052499998</v>
      </c>
    </row>
    <row r="57" spans="1:10" ht="15" customHeight="1" thickBot="1">
      <c r="A57" s="503"/>
      <c r="B57" s="666"/>
      <c r="C57" s="14"/>
      <c r="D57" s="14"/>
      <c r="E57" s="14"/>
      <c r="F57" s="14"/>
      <c r="G57" s="14" t="s">
        <v>121</v>
      </c>
      <c r="H57" s="504">
        <f>'OBRA 02 - MEMÓRIA'!O19</f>
        <v>1524.1254800000002</v>
      </c>
      <c r="I57" s="14" t="s">
        <v>122</v>
      </c>
      <c r="J57" s="505">
        <f>TRUNC(H57*J56,2)</f>
        <v>28259.51</v>
      </c>
    </row>
    <row r="58" spans="1:10" ht="15" thickTop="1">
      <c r="A58" s="506"/>
      <c r="B58" s="230"/>
      <c r="C58" s="15"/>
      <c r="D58" s="15"/>
      <c r="E58" s="15"/>
      <c r="F58" s="15"/>
      <c r="G58" s="15"/>
      <c r="H58" s="15"/>
      <c r="I58" s="15"/>
      <c r="J58" s="507"/>
    </row>
    <row r="59" spans="1:10" ht="15">
      <c r="A59" s="490" t="s">
        <v>40</v>
      </c>
      <c r="B59" s="31" t="s">
        <v>7</v>
      </c>
      <c r="C59" s="26" t="s">
        <v>8</v>
      </c>
      <c r="D59" s="26" t="s">
        <v>9</v>
      </c>
      <c r="E59" s="1143" t="s">
        <v>92</v>
      </c>
      <c r="F59" s="1144"/>
      <c r="G59" s="31" t="s">
        <v>10</v>
      </c>
      <c r="H59" s="29" t="s">
        <v>11</v>
      </c>
      <c r="I59" s="29" t="s">
        <v>12</v>
      </c>
      <c r="J59" s="491" t="s">
        <v>14</v>
      </c>
    </row>
    <row r="60" spans="1:10">
      <c r="A60" s="492" t="s">
        <v>93</v>
      </c>
      <c r="B60" s="4" t="s">
        <v>41</v>
      </c>
      <c r="C60" s="27" t="s">
        <v>27</v>
      </c>
      <c r="D60" s="27" t="s">
        <v>562</v>
      </c>
      <c r="E60" s="1141" t="s">
        <v>136</v>
      </c>
      <c r="F60" s="1142"/>
      <c r="G60" s="4" t="s">
        <v>28</v>
      </c>
      <c r="H60" s="5">
        <v>1</v>
      </c>
      <c r="I60" s="6">
        <v>4.8899999999999997</v>
      </c>
      <c r="J60" s="493">
        <f>SUM(J75+J77)</f>
        <v>4.9014837633769313</v>
      </c>
    </row>
    <row r="61" spans="1:10" ht="15">
      <c r="A61" s="1145" t="s">
        <v>137</v>
      </c>
      <c r="B61" s="1147" t="s">
        <v>7</v>
      </c>
      <c r="C61" s="1149" t="s">
        <v>8</v>
      </c>
      <c r="D61" s="1149" t="s">
        <v>138</v>
      </c>
      <c r="E61" s="1151" t="s">
        <v>139</v>
      </c>
      <c r="F61" s="1128" t="s">
        <v>140</v>
      </c>
      <c r="G61" s="1130"/>
      <c r="H61" s="1128" t="s">
        <v>141</v>
      </c>
      <c r="I61" s="1130"/>
      <c r="J61" s="1133" t="s">
        <v>142</v>
      </c>
    </row>
    <row r="62" spans="1:10" ht="15">
      <c r="A62" s="1146"/>
      <c r="B62" s="1148"/>
      <c r="C62" s="1150"/>
      <c r="D62" s="1150"/>
      <c r="E62" s="1152"/>
      <c r="F62" s="29" t="s">
        <v>143</v>
      </c>
      <c r="G62" s="29" t="s">
        <v>144</v>
      </c>
      <c r="H62" s="29" t="s">
        <v>143</v>
      </c>
      <c r="I62" s="29" t="s">
        <v>144</v>
      </c>
      <c r="J62" s="1134"/>
    </row>
    <row r="63" spans="1:10">
      <c r="A63" s="496" t="s">
        <v>105</v>
      </c>
      <c r="B63" s="11" t="s">
        <v>190</v>
      </c>
      <c r="C63" s="24" t="s">
        <v>27</v>
      </c>
      <c r="D63" s="24" t="s">
        <v>191</v>
      </c>
      <c r="E63" s="12">
        <v>1</v>
      </c>
      <c r="F63" s="13">
        <v>0.9</v>
      </c>
      <c r="G63" s="13">
        <v>0.1</v>
      </c>
      <c r="H63" s="30">
        <v>317.52929999999998</v>
      </c>
      <c r="I63" s="30">
        <v>83.430800000000005</v>
      </c>
      <c r="J63" s="510">
        <f>E63*((F63*H63+G63*I63))</f>
        <v>294.11944999999997</v>
      </c>
    </row>
    <row r="64" spans="1:10">
      <c r="A64" s="496" t="s">
        <v>105</v>
      </c>
      <c r="B64" s="11" t="s">
        <v>192</v>
      </c>
      <c r="C64" s="24" t="s">
        <v>27</v>
      </c>
      <c r="D64" s="24" t="s">
        <v>193</v>
      </c>
      <c r="E64" s="12">
        <v>1</v>
      </c>
      <c r="F64" s="13">
        <v>0.52</v>
      </c>
      <c r="G64" s="13">
        <v>0.48</v>
      </c>
      <c r="H64" s="30">
        <v>5.0606</v>
      </c>
      <c r="I64" s="30">
        <v>3.5240999999999998</v>
      </c>
      <c r="J64" s="510">
        <f t="shared" ref="J64:J67" si="4">E64*((F64*H64+G64*I64))</f>
        <v>4.32308</v>
      </c>
    </row>
    <row r="65" spans="1:10">
      <c r="A65" s="496" t="s">
        <v>105</v>
      </c>
      <c r="B65" s="11" t="s">
        <v>194</v>
      </c>
      <c r="C65" s="24" t="s">
        <v>27</v>
      </c>
      <c r="D65" s="24" t="s">
        <v>195</v>
      </c>
      <c r="E65" s="12">
        <v>1</v>
      </c>
      <c r="F65" s="13">
        <v>0.28999999999999998</v>
      </c>
      <c r="G65" s="13">
        <v>0.71</v>
      </c>
      <c r="H65" s="30">
        <v>283.78109999999998</v>
      </c>
      <c r="I65" s="30">
        <v>123.81480000000001</v>
      </c>
      <c r="J65" s="510">
        <f t="shared" si="4"/>
        <v>170.20502699999997</v>
      </c>
    </row>
    <row r="66" spans="1:10" ht="25.5">
      <c r="A66" s="496" t="s">
        <v>105</v>
      </c>
      <c r="B66" s="11" t="s">
        <v>196</v>
      </c>
      <c r="C66" s="24" t="s">
        <v>27</v>
      </c>
      <c r="D66" s="24" t="s">
        <v>197</v>
      </c>
      <c r="E66" s="12">
        <v>1</v>
      </c>
      <c r="F66" s="13">
        <v>1</v>
      </c>
      <c r="G66" s="13">
        <v>0</v>
      </c>
      <c r="H66" s="30">
        <v>215.97239999999999</v>
      </c>
      <c r="I66" s="30">
        <v>96.660799999999995</v>
      </c>
      <c r="J66" s="510">
        <f t="shared" si="4"/>
        <v>215.97239999999999</v>
      </c>
    </row>
    <row r="67" spans="1:10">
      <c r="A67" s="496" t="s">
        <v>105</v>
      </c>
      <c r="B67" s="11" t="s">
        <v>198</v>
      </c>
      <c r="C67" s="24" t="s">
        <v>27</v>
      </c>
      <c r="D67" s="24" t="s">
        <v>199</v>
      </c>
      <c r="E67" s="12">
        <v>1</v>
      </c>
      <c r="F67" s="13">
        <v>0.52</v>
      </c>
      <c r="G67" s="13">
        <v>0.48</v>
      </c>
      <c r="H67" s="30">
        <v>150.51249999999999</v>
      </c>
      <c r="I67" s="30">
        <v>56.817900000000002</v>
      </c>
      <c r="J67" s="510">
        <f t="shared" si="4"/>
        <v>105.539092</v>
      </c>
    </row>
    <row r="68" spans="1:10">
      <c r="A68" s="1124"/>
      <c r="B68" s="1125"/>
      <c r="C68" s="1125"/>
      <c r="D68" s="1125"/>
      <c r="E68" s="1125"/>
      <c r="F68" s="1125" t="s">
        <v>145</v>
      </c>
      <c r="G68" s="1125"/>
      <c r="H68" s="1125"/>
      <c r="I68" s="1125"/>
      <c r="J68" s="511">
        <f>SUM(J63:J67)</f>
        <v>790.15904899999987</v>
      </c>
    </row>
    <row r="69" spans="1:10" ht="15">
      <c r="A69" s="490" t="s">
        <v>146</v>
      </c>
      <c r="B69" s="31" t="s">
        <v>7</v>
      </c>
      <c r="C69" s="26" t="s">
        <v>8</v>
      </c>
      <c r="D69" s="26" t="s">
        <v>147</v>
      </c>
      <c r="E69" s="29" t="s">
        <v>139</v>
      </c>
      <c r="F69" s="1118" t="s">
        <v>148</v>
      </c>
      <c r="G69" s="1119"/>
      <c r="H69" s="1119"/>
      <c r="I69" s="1120"/>
      <c r="J69" s="491" t="s">
        <v>142</v>
      </c>
    </row>
    <row r="70" spans="1:10">
      <c r="A70" s="496" t="s">
        <v>105</v>
      </c>
      <c r="B70" s="11">
        <v>88316</v>
      </c>
      <c r="C70" s="24" t="s">
        <v>27</v>
      </c>
      <c r="D70" s="24" t="s">
        <v>149</v>
      </c>
      <c r="E70" s="12">
        <v>1</v>
      </c>
      <c r="F70" s="24"/>
      <c r="G70" s="24"/>
      <c r="H70" s="24"/>
      <c r="I70" s="30">
        <v>21.05</v>
      </c>
      <c r="J70" s="510">
        <f>I70*E70</f>
        <v>21.05</v>
      </c>
    </row>
    <row r="71" spans="1:10">
      <c r="A71" s="1131"/>
      <c r="B71" s="1132"/>
      <c r="C71" s="1132"/>
      <c r="D71" s="1132"/>
      <c r="E71" s="1132"/>
      <c r="F71" s="1132" t="s">
        <v>150</v>
      </c>
      <c r="G71" s="1132"/>
      <c r="H71" s="1132"/>
      <c r="I71" s="1132"/>
      <c r="J71" s="511">
        <f>J70</f>
        <v>21.05</v>
      </c>
    </row>
    <row r="72" spans="1:10">
      <c r="A72" s="1083"/>
      <c r="B72" s="1084"/>
      <c r="C72" s="1084"/>
      <c r="D72" s="1084"/>
      <c r="E72" s="1084"/>
      <c r="F72" s="1084" t="s">
        <v>151</v>
      </c>
      <c r="G72" s="1084"/>
      <c r="H72" s="1084"/>
      <c r="I72" s="1084"/>
      <c r="J72" s="511">
        <v>0</v>
      </c>
    </row>
    <row r="73" spans="1:10">
      <c r="A73" s="1083"/>
      <c r="B73" s="1084"/>
      <c r="C73" s="1084"/>
      <c r="D73" s="1084"/>
      <c r="E73" s="1084"/>
      <c r="F73" s="1084" t="s">
        <v>152</v>
      </c>
      <c r="G73" s="1084"/>
      <c r="H73" s="1084"/>
      <c r="I73" s="1084"/>
      <c r="J73" s="511">
        <f>J71+J68</f>
        <v>811.20904899999982</v>
      </c>
    </row>
    <row r="74" spans="1:10">
      <c r="A74" s="1083"/>
      <c r="B74" s="1084"/>
      <c r="C74" s="1084"/>
      <c r="D74" s="1084"/>
      <c r="E74" s="1084"/>
      <c r="F74" s="1084" t="s">
        <v>153</v>
      </c>
      <c r="G74" s="1084"/>
      <c r="H74" s="1084"/>
      <c r="I74" s="1084"/>
      <c r="J74" s="511">
        <v>1.6299999999999999E-2</v>
      </c>
    </row>
    <row r="75" spans="1:10">
      <c r="A75" s="1083"/>
      <c r="B75" s="1084"/>
      <c r="C75" s="1084"/>
      <c r="D75" s="1084"/>
      <c r="E75" s="1084"/>
      <c r="F75" s="1084" t="s">
        <v>154</v>
      </c>
      <c r="G75" s="1084"/>
      <c r="H75" s="1084"/>
      <c r="I75" s="1084"/>
      <c r="J75" s="511">
        <v>7.8600000000000003E-2</v>
      </c>
    </row>
    <row r="76" spans="1:10">
      <c r="A76" s="1083"/>
      <c r="B76" s="1084"/>
      <c r="C76" s="1084"/>
      <c r="D76" s="1084"/>
      <c r="E76" s="1084"/>
      <c r="F76" s="1084" t="s">
        <v>155</v>
      </c>
      <c r="G76" s="1084"/>
      <c r="H76" s="1084"/>
      <c r="I76" s="1084"/>
      <c r="J76" s="511">
        <v>168.2</v>
      </c>
    </row>
    <row r="77" spans="1:10">
      <c r="A77" s="1083"/>
      <c r="B77" s="1084"/>
      <c r="C77" s="1084"/>
      <c r="D77" s="1084"/>
      <c r="E77" s="1084"/>
      <c r="F77" s="1084" t="s">
        <v>156</v>
      </c>
      <c r="G77" s="1084"/>
      <c r="H77" s="1084"/>
      <c r="I77" s="1084"/>
      <c r="J77" s="511">
        <f>J73/J76</f>
        <v>4.8228837633769315</v>
      </c>
    </row>
    <row r="78" spans="1:10" ht="15" customHeight="1">
      <c r="A78" s="498"/>
      <c r="B78" s="20"/>
      <c r="C78" s="499"/>
      <c r="D78" s="499"/>
      <c r="E78" s="499" t="s">
        <v>116</v>
      </c>
      <c r="F78" s="500">
        <v>0.12714447086801428</v>
      </c>
      <c r="G78" s="499" t="s">
        <v>117</v>
      </c>
      <c r="H78" s="500">
        <v>0</v>
      </c>
      <c r="I78" s="499" t="s">
        <v>118</v>
      </c>
      <c r="J78" s="501">
        <v>0.12714447086801428</v>
      </c>
    </row>
    <row r="79" spans="1:10">
      <c r="A79" s="498"/>
      <c r="B79" s="20"/>
      <c r="C79" s="499"/>
      <c r="D79" s="499"/>
      <c r="E79" s="499" t="s">
        <v>119</v>
      </c>
      <c r="F79" s="500">
        <f>J79-J60</f>
        <v>1.0278411451801421</v>
      </c>
      <c r="G79" s="499"/>
      <c r="H79" s="1082" t="s">
        <v>120</v>
      </c>
      <c r="I79" s="1082"/>
      <c r="J79" s="501">
        <f>J60*(1+G2)</f>
        <v>5.9293249085570734</v>
      </c>
    </row>
    <row r="80" spans="1:10" ht="15" thickBot="1">
      <c r="A80" s="503"/>
      <c r="B80" s="666"/>
      <c r="C80" s="14"/>
      <c r="D80" s="14"/>
      <c r="E80" s="14"/>
      <c r="F80" s="14"/>
      <c r="G80" s="14" t="s">
        <v>121</v>
      </c>
      <c r="H80" s="504">
        <f>'OBRA 02 - MEMÓRIA'!O21</f>
        <v>1524.1254800000002</v>
      </c>
      <c r="I80" s="14" t="s">
        <v>122</v>
      </c>
      <c r="J80" s="505">
        <f>TRUNC(H80*J79,2)</f>
        <v>9037.0300000000007</v>
      </c>
    </row>
    <row r="81" spans="1:10" ht="15" thickTop="1">
      <c r="A81" s="506"/>
      <c r="B81" s="230"/>
      <c r="C81" s="15"/>
      <c r="D81" s="15"/>
      <c r="E81" s="15"/>
      <c r="F81" s="15"/>
      <c r="G81" s="15"/>
      <c r="H81" s="15"/>
      <c r="I81" s="15"/>
      <c r="J81" s="507"/>
    </row>
    <row r="82" spans="1:10" ht="15">
      <c r="A82" s="490" t="s">
        <v>396</v>
      </c>
      <c r="B82" s="31" t="s">
        <v>7</v>
      </c>
      <c r="C82" s="26" t="s">
        <v>8</v>
      </c>
      <c r="D82" s="26" t="s">
        <v>9</v>
      </c>
      <c r="E82" s="1143" t="s">
        <v>92</v>
      </c>
      <c r="F82" s="1144"/>
      <c r="G82" s="31" t="s">
        <v>10</v>
      </c>
      <c r="H82" s="29" t="s">
        <v>11</v>
      </c>
      <c r="I82" s="29" t="s">
        <v>12</v>
      </c>
      <c r="J82" s="491" t="s">
        <v>14</v>
      </c>
    </row>
    <row r="83" spans="1:10" ht="25.5">
      <c r="A83" s="492" t="s">
        <v>93</v>
      </c>
      <c r="B83" s="4" t="s">
        <v>34</v>
      </c>
      <c r="C83" s="27" t="s">
        <v>24</v>
      </c>
      <c r="D83" s="27" t="s">
        <v>654</v>
      </c>
      <c r="E83" s="1141" t="s">
        <v>184</v>
      </c>
      <c r="F83" s="1142"/>
      <c r="G83" s="4" t="s">
        <v>36</v>
      </c>
      <c r="H83" s="5">
        <v>1</v>
      </c>
      <c r="I83" s="6">
        <v>2.92</v>
      </c>
      <c r="J83" s="493">
        <f>J84+J85</f>
        <v>2.9732859999999999</v>
      </c>
    </row>
    <row r="84" spans="1:10" ht="51">
      <c r="A84" s="494" t="s">
        <v>95</v>
      </c>
      <c r="B84" s="8" t="s">
        <v>185</v>
      </c>
      <c r="C84" s="23" t="s">
        <v>24</v>
      </c>
      <c r="D84" s="23" t="s">
        <v>186</v>
      </c>
      <c r="E84" s="1135" t="s">
        <v>125</v>
      </c>
      <c r="F84" s="1136"/>
      <c r="G84" s="8" t="s">
        <v>126</v>
      </c>
      <c r="H84" s="9">
        <v>1.3899999999999999E-2</v>
      </c>
      <c r="I84" s="10">
        <v>186.94</v>
      </c>
      <c r="J84" s="495">
        <f>H84*I84</f>
        <v>2.5984659999999997</v>
      </c>
    </row>
    <row r="85" spans="1:10" ht="51">
      <c r="A85" s="494" t="s">
        <v>95</v>
      </c>
      <c r="B85" s="8" t="s">
        <v>187</v>
      </c>
      <c r="C85" s="23" t="s">
        <v>24</v>
      </c>
      <c r="D85" s="23" t="s">
        <v>188</v>
      </c>
      <c r="E85" s="1135" t="s">
        <v>125</v>
      </c>
      <c r="F85" s="1136"/>
      <c r="G85" s="8" t="s">
        <v>129</v>
      </c>
      <c r="H85" s="9">
        <v>6.0000000000000001E-3</v>
      </c>
      <c r="I85" s="10">
        <v>62.47</v>
      </c>
      <c r="J85" s="495">
        <f>H85*I85</f>
        <v>0.37481999999999999</v>
      </c>
    </row>
    <row r="86" spans="1:10">
      <c r="A86" s="498"/>
      <c r="B86" s="20"/>
      <c r="C86" s="499"/>
      <c r="D86" s="499"/>
      <c r="E86" s="499" t="s">
        <v>116</v>
      </c>
      <c r="F86" s="500">
        <v>0.41</v>
      </c>
      <c r="G86" s="499" t="s">
        <v>117</v>
      </c>
      <c r="H86" s="500">
        <v>0</v>
      </c>
      <c r="I86" s="499" t="s">
        <v>118</v>
      </c>
      <c r="J86" s="501">
        <v>0.41</v>
      </c>
    </row>
    <row r="87" spans="1:10">
      <c r="A87" s="498"/>
      <c r="B87" s="20"/>
      <c r="C87" s="499"/>
      <c r="D87" s="499"/>
      <c r="E87" s="499" t="s">
        <v>119</v>
      </c>
      <c r="F87" s="500">
        <f>J87-J83</f>
        <v>0.62349807420000003</v>
      </c>
      <c r="G87" s="499"/>
      <c r="H87" s="1082" t="s">
        <v>120</v>
      </c>
      <c r="I87" s="1082"/>
      <c r="J87" s="501">
        <f>J83*(1+G2)</f>
        <v>3.5967840741999999</v>
      </c>
    </row>
    <row r="88" spans="1:10" ht="15" thickBot="1">
      <c r="A88" s="503"/>
      <c r="B88" s="666"/>
      <c r="C88" s="14"/>
      <c r="D88" s="14"/>
      <c r="E88" s="14"/>
      <c r="F88" s="14"/>
      <c r="G88" s="14" t="s">
        <v>121</v>
      </c>
      <c r="H88" s="504">
        <f>'OBRA 02 - MEMÓRIA'!O23</f>
        <v>57154.705500000011</v>
      </c>
      <c r="I88" s="14" t="s">
        <v>122</v>
      </c>
      <c r="J88" s="505">
        <f>TRUNC(H88*J87,2)</f>
        <v>205573.13</v>
      </c>
    </row>
    <row r="89" spans="1:10" ht="15" thickTop="1">
      <c r="A89" s="506"/>
      <c r="B89" s="230"/>
      <c r="C89" s="15"/>
      <c r="D89" s="15"/>
      <c r="E89" s="15"/>
      <c r="F89" s="15"/>
      <c r="G89" s="15"/>
      <c r="H89" s="15"/>
      <c r="I89" s="15"/>
      <c r="J89" s="507"/>
    </row>
    <row r="90" spans="1:10">
      <c r="A90" s="518" t="s">
        <v>44</v>
      </c>
      <c r="B90" s="229"/>
      <c r="C90" s="25"/>
      <c r="D90" s="25" t="s">
        <v>45</v>
      </c>
      <c r="E90" s="25"/>
      <c r="F90" s="1139"/>
      <c r="G90" s="1140"/>
      <c r="H90" s="1"/>
      <c r="I90" s="25"/>
      <c r="J90" s="519">
        <f>J91+J165</f>
        <v>1231542.3999265288</v>
      </c>
    </row>
    <row r="91" spans="1:10">
      <c r="A91" s="518" t="s">
        <v>46</v>
      </c>
      <c r="B91" s="229"/>
      <c r="C91" s="25"/>
      <c r="D91" s="25" t="s">
        <v>47</v>
      </c>
      <c r="E91" s="25"/>
      <c r="F91" s="1139"/>
      <c r="G91" s="1140"/>
      <c r="H91" s="1"/>
      <c r="I91" s="25"/>
      <c r="J91" s="519">
        <f>J103+J123+J145+J129+J155+J163</f>
        <v>534700.58000000007</v>
      </c>
    </row>
    <row r="92" spans="1:10" ht="15">
      <c r="A92" s="490" t="s">
        <v>48</v>
      </c>
      <c r="B92" s="31" t="s">
        <v>7</v>
      </c>
      <c r="C92" s="26" t="s">
        <v>8</v>
      </c>
      <c r="D92" s="26" t="s">
        <v>9</v>
      </c>
      <c r="E92" s="1143" t="s">
        <v>92</v>
      </c>
      <c r="F92" s="1144"/>
      <c r="G92" s="31" t="s">
        <v>10</v>
      </c>
      <c r="H92" s="29" t="s">
        <v>11</v>
      </c>
      <c r="I92" s="29" t="s">
        <v>12</v>
      </c>
      <c r="J92" s="491" t="s">
        <v>14</v>
      </c>
    </row>
    <row r="93" spans="1:10" ht="25.5">
      <c r="A93" s="492" t="s">
        <v>93</v>
      </c>
      <c r="B93" s="4">
        <v>105598</v>
      </c>
      <c r="C93" s="27" t="s">
        <v>24</v>
      </c>
      <c r="D93" s="27" t="s">
        <v>50</v>
      </c>
      <c r="E93" s="1141" t="s">
        <v>204</v>
      </c>
      <c r="F93" s="1142"/>
      <c r="G93" s="4" t="s">
        <v>21</v>
      </c>
      <c r="H93" s="5">
        <v>1</v>
      </c>
      <c r="I93" s="6">
        <v>1.25</v>
      </c>
      <c r="J93" s="493">
        <f>SUM(J94:J100)</f>
        <v>1.98004779</v>
      </c>
    </row>
    <row r="94" spans="1:10" ht="51">
      <c r="A94" s="494" t="s">
        <v>95</v>
      </c>
      <c r="B94" s="8" t="s">
        <v>205</v>
      </c>
      <c r="C94" s="23" t="s">
        <v>24</v>
      </c>
      <c r="D94" s="23" t="s">
        <v>206</v>
      </c>
      <c r="E94" s="1135" t="s">
        <v>125</v>
      </c>
      <c r="F94" s="1136"/>
      <c r="G94" s="8" t="s">
        <v>126</v>
      </c>
      <c r="H94" s="174">
        <v>1.0702000000000001E-3</v>
      </c>
      <c r="I94" s="10">
        <v>317.66000000000003</v>
      </c>
      <c r="J94" s="495">
        <f>I94*H94</f>
        <v>0.33995973200000007</v>
      </c>
    </row>
    <row r="95" spans="1:10" ht="51">
      <c r="A95" s="494" t="s">
        <v>95</v>
      </c>
      <c r="B95" s="8" t="s">
        <v>207</v>
      </c>
      <c r="C95" s="23" t="s">
        <v>24</v>
      </c>
      <c r="D95" s="23" t="s">
        <v>208</v>
      </c>
      <c r="E95" s="1135" t="s">
        <v>125</v>
      </c>
      <c r="F95" s="1136"/>
      <c r="G95" s="8" t="s">
        <v>129</v>
      </c>
      <c r="H95" s="174">
        <v>4.2364000000000004E-3</v>
      </c>
      <c r="I95" s="10">
        <v>71.599999999999994</v>
      </c>
      <c r="J95" s="495">
        <f t="shared" ref="J95:J100" si="5">I95*H95</f>
        <v>0.30332624000000002</v>
      </c>
    </row>
    <row r="96" spans="1:10" ht="38.25">
      <c r="A96" s="494" t="s">
        <v>95</v>
      </c>
      <c r="B96" s="8" t="s">
        <v>209</v>
      </c>
      <c r="C96" s="23" t="s">
        <v>24</v>
      </c>
      <c r="D96" s="23" t="s">
        <v>210</v>
      </c>
      <c r="E96" s="1135" t="s">
        <v>125</v>
      </c>
      <c r="F96" s="1136"/>
      <c r="G96" s="8" t="s">
        <v>126</v>
      </c>
      <c r="H96" s="174">
        <v>3.0249999999999998E-4</v>
      </c>
      <c r="I96" s="10">
        <v>262.45999999999998</v>
      </c>
      <c r="J96" s="495">
        <f t="shared" si="5"/>
        <v>7.9394149999999983E-2</v>
      </c>
    </row>
    <row r="97" spans="1:10" ht="38.25">
      <c r="A97" s="494" t="s">
        <v>95</v>
      </c>
      <c r="B97" s="8" t="s">
        <v>211</v>
      </c>
      <c r="C97" s="23" t="s">
        <v>24</v>
      </c>
      <c r="D97" s="23" t="s">
        <v>212</v>
      </c>
      <c r="E97" s="1135" t="s">
        <v>125</v>
      </c>
      <c r="F97" s="1136"/>
      <c r="G97" s="8" t="s">
        <v>129</v>
      </c>
      <c r="H97" s="174">
        <v>5.0041E-3</v>
      </c>
      <c r="I97" s="10">
        <v>103.25</v>
      </c>
      <c r="J97" s="495">
        <f t="shared" si="5"/>
        <v>0.51667332499999996</v>
      </c>
    </row>
    <row r="98" spans="1:10" ht="25.5">
      <c r="A98" s="494" t="s">
        <v>95</v>
      </c>
      <c r="B98" s="8" t="s">
        <v>103</v>
      </c>
      <c r="C98" s="23" t="s">
        <v>24</v>
      </c>
      <c r="D98" s="23" t="s">
        <v>104</v>
      </c>
      <c r="E98" s="1135" t="s">
        <v>101</v>
      </c>
      <c r="F98" s="1136"/>
      <c r="G98" s="8" t="s">
        <v>102</v>
      </c>
      <c r="H98" s="174">
        <v>5.3065999999999999E-3</v>
      </c>
      <c r="I98" s="10">
        <v>21.05</v>
      </c>
      <c r="J98" s="495">
        <f t="shared" si="5"/>
        <v>0.11170393000000001</v>
      </c>
    </row>
    <row r="99" spans="1:10" ht="38.25">
      <c r="A99" s="494" t="s">
        <v>95</v>
      </c>
      <c r="B99" s="8" t="s">
        <v>213</v>
      </c>
      <c r="C99" s="23" t="s">
        <v>24</v>
      </c>
      <c r="D99" s="23" t="s">
        <v>214</v>
      </c>
      <c r="E99" s="1135" t="s">
        <v>125</v>
      </c>
      <c r="F99" s="1136"/>
      <c r="G99" s="8" t="s">
        <v>126</v>
      </c>
      <c r="H99" s="174">
        <v>7.5109999999999999E-4</v>
      </c>
      <c r="I99" s="10">
        <v>230.43</v>
      </c>
      <c r="J99" s="495">
        <f t="shared" si="5"/>
        <v>0.17307597299999999</v>
      </c>
    </row>
    <row r="100" spans="1:10" ht="38.25">
      <c r="A100" s="494" t="s">
        <v>95</v>
      </c>
      <c r="B100" s="8" t="s">
        <v>215</v>
      </c>
      <c r="C100" s="23" t="s">
        <v>24</v>
      </c>
      <c r="D100" s="23" t="s">
        <v>216</v>
      </c>
      <c r="E100" s="1135" t="s">
        <v>125</v>
      </c>
      <c r="F100" s="1136"/>
      <c r="G100" s="8" t="s">
        <v>129</v>
      </c>
      <c r="H100" s="174">
        <v>4.5554999999999997E-3</v>
      </c>
      <c r="I100" s="10">
        <v>100.08</v>
      </c>
      <c r="J100" s="495">
        <f t="shared" si="5"/>
        <v>0.45591443999999998</v>
      </c>
    </row>
    <row r="101" spans="1:10">
      <c r="A101" s="498"/>
      <c r="B101" s="20"/>
      <c r="C101" s="499"/>
      <c r="D101" s="499"/>
      <c r="E101" s="499" t="s">
        <v>116</v>
      </c>
      <c r="F101" s="500">
        <v>0.27</v>
      </c>
      <c r="G101" s="499" t="s">
        <v>117</v>
      </c>
      <c r="H101" s="500">
        <v>0</v>
      </c>
      <c r="I101" s="499" t="s">
        <v>118</v>
      </c>
      <c r="J101" s="501">
        <v>0.27</v>
      </c>
    </row>
    <row r="102" spans="1:10">
      <c r="A102" s="498"/>
      <c r="B102" s="20"/>
      <c r="C102" s="499"/>
      <c r="D102" s="499"/>
      <c r="E102" s="499" t="s">
        <v>119</v>
      </c>
      <c r="F102" s="500">
        <v>0.31</v>
      </c>
      <c r="G102" s="499"/>
      <c r="H102" s="1082" t="s">
        <v>120</v>
      </c>
      <c r="I102" s="1082"/>
      <c r="J102" s="501">
        <f>J93*(1+G2)</f>
        <v>2.3952638115629998</v>
      </c>
    </row>
    <row r="103" spans="1:10" ht="15" thickBot="1">
      <c r="A103" s="503"/>
      <c r="B103" s="666"/>
      <c r="C103" s="14"/>
      <c r="D103" s="14"/>
      <c r="E103" s="14"/>
      <c r="F103" s="14"/>
      <c r="G103" s="14" t="s">
        <v>121</v>
      </c>
      <c r="H103" s="504">
        <f>'OBRA 02 - MEMÓRIA'!O27</f>
        <v>3810.3137000000002</v>
      </c>
      <c r="I103" s="14" t="s">
        <v>122</v>
      </c>
      <c r="J103" s="505">
        <f>TRUNC(H103*J102,2)</f>
        <v>9126.7000000000007</v>
      </c>
    </row>
    <row r="104" spans="1:10" ht="15" thickTop="1">
      <c r="A104" s="506"/>
      <c r="B104" s="230"/>
      <c r="C104" s="15"/>
      <c r="D104" s="15"/>
      <c r="E104" s="15"/>
      <c r="F104" s="15"/>
      <c r="G104" s="15"/>
      <c r="H104" s="15"/>
      <c r="I104" s="15"/>
      <c r="J104" s="507"/>
    </row>
    <row r="105" spans="1:10" ht="15">
      <c r="A105" s="490" t="s">
        <v>51</v>
      </c>
      <c r="B105" s="31" t="s">
        <v>7</v>
      </c>
      <c r="C105" s="26" t="s">
        <v>8</v>
      </c>
      <c r="D105" s="26" t="s">
        <v>9</v>
      </c>
      <c r="E105" s="1143" t="s">
        <v>92</v>
      </c>
      <c r="F105" s="1144"/>
      <c r="G105" s="31" t="s">
        <v>10</v>
      </c>
      <c r="H105" s="29" t="s">
        <v>11</v>
      </c>
      <c r="I105" s="29" t="s">
        <v>12</v>
      </c>
      <c r="J105" s="491" t="s">
        <v>14</v>
      </c>
    </row>
    <row r="106" spans="1:10" ht="51">
      <c r="A106" s="492" t="s">
        <v>93</v>
      </c>
      <c r="B106" s="4" t="s">
        <v>52</v>
      </c>
      <c r="C106" s="27" t="s">
        <v>24</v>
      </c>
      <c r="D106" s="27" t="s">
        <v>53</v>
      </c>
      <c r="E106" s="1141" t="s">
        <v>204</v>
      </c>
      <c r="F106" s="1142"/>
      <c r="G106" s="4" t="s">
        <v>28</v>
      </c>
      <c r="H106" s="5">
        <v>1</v>
      </c>
      <c r="I106" s="6">
        <v>95.63</v>
      </c>
      <c r="J106" s="493">
        <f>SUM(J107:J120)</f>
        <v>93.440669999999997</v>
      </c>
    </row>
    <row r="107" spans="1:10" ht="51">
      <c r="A107" s="494" t="s">
        <v>95</v>
      </c>
      <c r="B107" s="8" t="s">
        <v>217</v>
      </c>
      <c r="C107" s="23" t="s">
        <v>24</v>
      </c>
      <c r="D107" s="23" t="s">
        <v>218</v>
      </c>
      <c r="E107" s="1135" t="s">
        <v>125</v>
      </c>
      <c r="F107" s="1136"/>
      <c r="G107" s="8" t="s">
        <v>126</v>
      </c>
      <c r="H107" s="9">
        <v>1.2E-2</v>
      </c>
      <c r="I107" s="10">
        <v>170.5</v>
      </c>
      <c r="J107" s="495">
        <f>I107*H107</f>
        <v>2.0460000000000003</v>
      </c>
    </row>
    <row r="108" spans="1:10" ht="51">
      <c r="A108" s="494" t="s">
        <v>95</v>
      </c>
      <c r="B108" s="8" t="s">
        <v>219</v>
      </c>
      <c r="C108" s="23" t="s">
        <v>24</v>
      </c>
      <c r="D108" s="23" t="s">
        <v>220</v>
      </c>
      <c r="E108" s="1135" t="s">
        <v>125</v>
      </c>
      <c r="F108" s="1136"/>
      <c r="G108" s="8" t="s">
        <v>129</v>
      </c>
      <c r="H108" s="9">
        <v>2.8000000000000001E-2</v>
      </c>
      <c r="I108" s="10">
        <v>73.290000000000006</v>
      </c>
      <c r="J108" s="495">
        <f t="shared" ref="J108:J120" si="6">I108*H108</f>
        <v>2.0521200000000004</v>
      </c>
    </row>
    <row r="109" spans="1:10" ht="51">
      <c r="A109" s="494" t="s">
        <v>95</v>
      </c>
      <c r="B109" s="8" t="s">
        <v>205</v>
      </c>
      <c r="C109" s="23" t="s">
        <v>24</v>
      </c>
      <c r="D109" s="23" t="s">
        <v>206</v>
      </c>
      <c r="E109" s="1135" t="s">
        <v>125</v>
      </c>
      <c r="F109" s="1136"/>
      <c r="G109" s="8" t="s">
        <v>126</v>
      </c>
      <c r="H109" s="9">
        <v>4.0000000000000001E-3</v>
      </c>
      <c r="I109" s="10">
        <v>317.66000000000003</v>
      </c>
      <c r="J109" s="495">
        <f t="shared" si="6"/>
        <v>1.2706400000000002</v>
      </c>
    </row>
    <row r="110" spans="1:10" ht="51">
      <c r="A110" s="494" t="s">
        <v>95</v>
      </c>
      <c r="B110" s="8" t="s">
        <v>207</v>
      </c>
      <c r="C110" s="23" t="s">
        <v>24</v>
      </c>
      <c r="D110" s="23" t="s">
        <v>208</v>
      </c>
      <c r="E110" s="1135" t="s">
        <v>125</v>
      </c>
      <c r="F110" s="1136"/>
      <c r="G110" s="8" t="s">
        <v>129</v>
      </c>
      <c r="H110" s="9">
        <v>3.5999999999999997E-2</v>
      </c>
      <c r="I110" s="10">
        <v>71.599999999999994</v>
      </c>
      <c r="J110" s="495">
        <f t="shared" si="6"/>
        <v>2.5775999999999994</v>
      </c>
    </row>
    <row r="111" spans="1:10" ht="25.5">
      <c r="A111" s="494" t="s">
        <v>95</v>
      </c>
      <c r="B111" s="8" t="s">
        <v>221</v>
      </c>
      <c r="C111" s="23" t="s">
        <v>24</v>
      </c>
      <c r="D111" s="23" t="s">
        <v>222</v>
      </c>
      <c r="E111" s="1135" t="s">
        <v>125</v>
      </c>
      <c r="F111" s="1136"/>
      <c r="G111" s="8" t="s">
        <v>126</v>
      </c>
      <c r="H111" s="9">
        <v>8.0000000000000002E-3</v>
      </c>
      <c r="I111" s="10">
        <v>4.9400000000000004</v>
      </c>
      <c r="J111" s="495">
        <f t="shared" si="6"/>
        <v>3.9520000000000007E-2</v>
      </c>
    </row>
    <row r="112" spans="1:10" ht="25.5">
      <c r="A112" s="494" t="s">
        <v>95</v>
      </c>
      <c r="B112" s="8" t="s">
        <v>223</v>
      </c>
      <c r="C112" s="23" t="s">
        <v>24</v>
      </c>
      <c r="D112" s="23" t="s">
        <v>224</v>
      </c>
      <c r="E112" s="1135" t="s">
        <v>125</v>
      </c>
      <c r="F112" s="1136"/>
      <c r="G112" s="8" t="s">
        <v>129</v>
      </c>
      <c r="H112" s="9">
        <v>3.2000000000000001E-2</v>
      </c>
      <c r="I112" s="10">
        <v>3.2</v>
      </c>
      <c r="J112" s="495">
        <f t="shared" si="6"/>
        <v>0.1024</v>
      </c>
    </row>
    <row r="113" spans="1:10" ht="38.25">
      <c r="A113" s="494" t="s">
        <v>95</v>
      </c>
      <c r="B113" s="8" t="s">
        <v>209</v>
      </c>
      <c r="C113" s="23" t="s">
        <v>24</v>
      </c>
      <c r="D113" s="23" t="s">
        <v>210</v>
      </c>
      <c r="E113" s="1135" t="s">
        <v>125</v>
      </c>
      <c r="F113" s="1136"/>
      <c r="G113" s="8" t="s">
        <v>126</v>
      </c>
      <c r="H113" s="9">
        <v>8.0000000000000002E-3</v>
      </c>
      <c r="I113" s="10">
        <v>262.45999999999998</v>
      </c>
      <c r="J113" s="495">
        <f t="shared" si="6"/>
        <v>2.0996799999999998</v>
      </c>
    </row>
    <row r="114" spans="1:10" ht="38.25">
      <c r="A114" s="494" t="s">
        <v>95</v>
      </c>
      <c r="B114" s="8" t="s">
        <v>211</v>
      </c>
      <c r="C114" s="23" t="s">
        <v>24</v>
      </c>
      <c r="D114" s="23" t="s">
        <v>212</v>
      </c>
      <c r="E114" s="1135" t="s">
        <v>125</v>
      </c>
      <c r="F114" s="1136"/>
      <c r="G114" s="8" t="s">
        <v>129</v>
      </c>
      <c r="H114" s="9">
        <v>3.2000000000000001E-2</v>
      </c>
      <c r="I114" s="10">
        <v>103.25</v>
      </c>
      <c r="J114" s="495">
        <f t="shared" si="6"/>
        <v>3.3040000000000003</v>
      </c>
    </row>
    <row r="115" spans="1:10" ht="25.5">
      <c r="A115" s="494" t="s">
        <v>95</v>
      </c>
      <c r="B115" s="8" t="s">
        <v>103</v>
      </c>
      <c r="C115" s="23" t="s">
        <v>24</v>
      </c>
      <c r="D115" s="23" t="s">
        <v>104</v>
      </c>
      <c r="E115" s="1135" t="s">
        <v>101</v>
      </c>
      <c r="F115" s="1136"/>
      <c r="G115" s="8" t="s">
        <v>102</v>
      </c>
      <c r="H115" s="9">
        <v>0.16</v>
      </c>
      <c r="I115" s="10">
        <v>21.05</v>
      </c>
      <c r="J115" s="495">
        <f t="shared" si="6"/>
        <v>3.3680000000000003</v>
      </c>
    </row>
    <row r="116" spans="1:10" ht="25.5">
      <c r="A116" s="494" t="s">
        <v>95</v>
      </c>
      <c r="B116" s="8" t="s">
        <v>225</v>
      </c>
      <c r="C116" s="23" t="s">
        <v>24</v>
      </c>
      <c r="D116" s="23" t="s">
        <v>226</v>
      </c>
      <c r="E116" s="1135" t="s">
        <v>125</v>
      </c>
      <c r="F116" s="1136"/>
      <c r="G116" s="8" t="s">
        <v>126</v>
      </c>
      <c r="H116" s="9">
        <v>8.0000000000000002E-3</v>
      </c>
      <c r="I116" s="10">
        <v>134.34</v>
      </c>
      <c r="J116" s="495">
        <f t="shared" si="6"/>
        <v>1.0747200000000001</v>
      </c>
    </row>
    <row r="117" spans="1:10" ht="25.5">
      <c r="A117" s="494" t="s">
        <v>95</v>
      </c>
      <c r="B117" s="8" t="s">
        <v>227</v>
      </c>
      <c r="C117" s="23" t="s">
        <v>24</v>
      </c>
      <c r="D117" s="23" t="s">
        <v>228</v>
      </c>
      <c r="E117" s="1135" t="s">
        <v>125</v>
      </c>
      <c r="F117" s="1136"/>
      <c r="G117" s="8" t="s">
        <v>129</v>
      </c>
      <c r="H117" s="9">
        <v>3.2000000000000001E-2</v>
      </c>
      <c r="I117" s="10">
        <v>50.98</v>
      </c>
      <c r="J117" s="495">
        <f t="shared" si="6"/>
        <v>1.6313599999999999</v>
      </c>
    </row>
    <row r="118" spans="1:10" ht="38.25">
      <c r="A118" s="494" t="s">
        <v>95</v>
      </c>
      <c r="B118" s="8" t="s">
        <v>213</v>
      </c>
      <c r="C118" s="23" t="s">
        <v>24</v>
      </c>
      <c r="D118" s="23" t="s">
        <v>214</v>
      </c>
      <c r="E118" s="1135" t="s">
        <v>125</v>
      </c>
      <c r="F118" s="1136"/>
      <c r="G118" s="8" t="s">
        <v>126</v>
      </c>
      <c r="H118" s="9">
        <v>5.0000000000000001E-3</v>
      </c>
      <c r="I118" s="10">
        <v>230.43</v>
      </c>
      <c r="J118" s="495">
        <f t="shared" si="6"/>
        <v>1.15215</v>
      </c>
    </row>
    <row r="119" spans="1:10" ht="38.25">
      <c r="A119" s="494" t="s">
        <v>95</v>
      </c>
      <c r="B119" s="8" t="s">
        <v>215</v>
      </c>
      <c r="C119" s="23" t="s">
        <v>24</v>
      </c>
      <c r="D119" s="23" t="s">
        <v>216</v>
      </c>
      <c r="E119" s="1135" t="s">
        <v>125</v>
      </c>
      <c r="F119" s="1136"/>
      <c r="G119" s="8" t="s">
        <v>129</v>
      </c>
      <c r="H119" s="9">
        <v>3.5000000000000003E-2</v>
      </c>
      <c r="I119" s="10">
        <v>100.08</v>
      </c>
      <c r="J119" s="495">
        <f t="shared" si="6"/>
        <v>3.5028000000000001</v>
      </c>
    </row>
    <row r="120" spans="1:10" ht="25.5">
      <c r="A120" s="496" t="s">
        <v>105</v>
      </c>
      <c r="B120" s="11" t="s">
        <v>229</v>
      </c>
      <c r="C120" s="24" t="s">
        <v>24</v>
      </c>
      <c r="D120" s="24" t="s">
        <v>230</v>
      </c>
      <c r="E120" s="1137" t="s">
        <v>108</v>
      </c>
      <c r="F120" s="1138"/>
      <c r="G120" s="11" t="s">
        <v>28</v>
      </c>
      <c r="H120" s="12">
        <v>0.68799999999999994</v>
      </c>
      <c r="I120" s="13">
        <v>100.61</v>
      </c>
      <c r="J120" s="497">
        <f t="shared" si="6"/>
        <v>69.219679999999997</v>
      </c>
    </row>
    <row r="121" spans="1:10">
      <c r="A121" s="498"/>
      <c r="B121" s="20"/>
      <c r="C121" s="499"/>
      <c r="D121" s="499"/>
      <c r="E121" s="499" t="s">
        <v>116</v>
      </c>
      <c r="F121" s="500">
        <v>8.09</v>
      </c>
      <c r="G121" s="499" t="s">
        <v>117</v>
      </c>
      <c r="H121" s="500">
        <v>0</v>
      </c>
      <c r="I121" s="499" t="s">
        <v>118</v>
      </c>
      <c r="J121" s="501">
        <v>8.09</v>
      </c>
    </row>
    <row r="122" spans="1:10">
      <c r="A122" s="498"/>
      <c r="B122" s="20"/>
      <c r="C122" s="499"/>
      <c r="D122" s="499"/>
      <c r="E122" s="499" t="s">
        <v>119</v>
      </c>
      <c r="F122" s="500">
        <f>J122-J106</f>
        <v>19.594508499</v>
      </c>
      <c r="G122" s="499"/>
      <c r="H122" s="1082" t="s">
        <v>120</v>
      </c>
      <c r="I122" s="1082"/>
      <c r="J122" s="501">
        <f>J106*(1+G2)</f>
        <v>113.035178499</v>
      </c>
    </row>
    <row r="123" spans="1:10" ht="15" thickBot="1">
      <c r="A123" s="503"/>
      <c r="B123" s="666"/>
      <c r="C123" s="14"/>
      <c r="D123" s="14"/>
      <c r="E123" s="14"/>
      <c r="F123" s="14"/>
      <c r="G123" s="14" t="s">
        <v>121</v>
      </c>
      <c r="H123" s="504">
        <f>'OBRA 02 - MEMÓRIA'!O29</f>
        <v>762.06274000000008</v>
      </c>
      <c r="I123" s="14" t="s">
        <v>122</v>
      </c>
      <c r="J123" s="505">
        <f>TRUNC(H123*J122,2)</f>
        <v>86139.89</v>
      </c>
    </row>
    <row r="124" spans="1:10" ht="15" thickTop="1">
      <c r="A124" s="506"/>
      <c r="B124" s="230"/>
      <c r="C124" s="15"/>
      <c r="D124" s="15"/>
      <c r="E124" s="15"/>
      <c r="F124" s="15"/>
      <c r="G124" s="15"/>
      <c r="H124" s="15"/>
      <c r="I124" s="15"/>
      <c r="J124" s="507"/>
    </row>
    <row r="125" spans="1:10" ht="15">
      <c r="A125" s="490" t="s">
        <v>368</v>
      </c>
      <c r="B125" s="31" t="s">
        <v>7</v>
      </c>
      <c r="C125" s="26" t="s">
        <v>8</v>
      </c>
      <c r="D125" s="26" t="s">
        <v>9</v>
      </c>
      <c r="E125" s="1143" t="s">
        <v>92</v>
      </c>
      <c r="F125" s="1144"/>
      <c r="G125" s="31" t="s">
        <v>10</v>
      </c>
      <c r="H125" s="29" t="s">
        <v>11</v>
      </c>
      <c r="I125" s="29" t="s">
        <v>12</v>
      </c>
      <c r="J125" s="491" t="s">
        <v>14</v>
      </c>
    </row>
    <row r="126" spans="1:10">
      <c r="A126" s="522" t="s">
        <v>105</v>
      </c>
      <c r="B126" s="17" t="s">
        <v>307</v>
      </c>
      <c r="C126" s="28" t="s">
        <v>24</v>
      </c>
      <c r="D126" s="28" t="s">
        <v>308</v>
      </c>
      <c r="E126" s="1153" t="s">
        <v>108</v>
      </c>
      <c r="F126" s="1154"/>
      <c r="G126" s="17" t="s">
        <v>28</v>
      </c>
      <c r="H126" s="18">
        <v>1</v>
      </c>
      <c r="I126" s="19">
        <v>60.92</v>
      </c>
      <c r="J126" s="523">
        <v>60.92</v>
      </c>
    </row>
    <row r="127" spans="1:10">
      <c r="A127" s="498"/>
      <c r="B127" s="20"/>
      <c r="C127" s="499"/>
      <c r="D127" s="499"/>
      <c r="E127" s="499" t="s">
        <v>116</v>
      </c>
      <c r="F127" s="500">
        <v>0</v>
      </c>
      <c r="G127" s="499" t="s">
        <v>117</v>
      </c>
      <c r="H127" s="500">
        <v>0</v>
      </c>
      <c r="I127" s="499" t="s">
        <v>118</v>
      </c>
      <c r="J127" s="501">
        <v>0</v>
      </c>
    </row>
    <row r="128" spans="1:10">
      <c r="A128" s="498"/>
      <c r="B128" s="20"/>
      <c r="C128" s="499"/>
      <c r="D128" s="499"/>
      <c r="E128" s="499" t="s">
        <v>119</v>
      </c>
      <c r="F128" s="500">
        <v>15.23</v>
      </c>
      <c r="G128" s="499"/>
      <c r="H128" s="1082" t="s">
        <v>120</v>
      </c>
      <c r="I128" s="1082"/>
      <c r="J128" s="501">
        <f>J126*(1+H2)</f>
        <v>69.46098400000001</v>
      </c>
    </row>
    <row r="129" spans="1:11" ht="15" thickBot="1">
      <c r="A129" s="503"/>
      <c r="B129" s="666"/>
      <c r="C129" s="14"/>
      <c r="D129" s="14"/>
      <c r="E129" s="14"/>
      <c r="F129" s="14"/>
      <c r="G129" s="14" t="s">
        <v>121</v>
      </c>
      <c r="H129" s="504">
        <f>'OBRA 02 - MEMÓRIA'!O31</f>
        <v>476.28921250000008</v>
      </c>
      <c r="I129" s="14" t="s">
        <v>122</v>
      </c>
      <c r="J129" s="505">
        <f>TRUNC(H129*J128,2)</f>
        <v>33083.51</v>
      </c>
    </row>
    <row r="130" spans="1:11" ht="15" thickTop="1">
      <c r="A130" s="506"/>
      <c r="B130" s="230"/>
      <c r="C130" s="15"/>
      <c r="D130" s="15"/>
      <c r="E130" s="15"/>
      <c r="F130" s="15"/>
      <c r="G130" s="15"/>
      <c r="H130" s="15"/>
      <c r="I130" s="15"/>
      <c r="J130" s="507"/>
    </row>
    <row r="131" spans="1:11" ht="15">
      <c r="A131" s="490" t="s">
        <v>309</v>
      </c>
      <c r="B131" s="31" t="s">
        <v>7</v>
      </c>
      <c r="C131" s="26" t="s">
        <v>8</v>
      </c>
      <c r="D131" s="26" t="s">
        <v>9</v>
      </c>
      <c r="E131" s="1143" t="s">
        <v>92</v>
      </c>
      <c r="F131" s="1144"/>
      <c r="G131" s="31" t="s">
        <v>10</v>
      </c>
      <c r="H131" s="29" t="s">
        <v>11</v>
      </c>
      <c r="I131" s="29" t="s">
        <v>12</v>
      </c>
      <c r="J131" s="491" t="s">
        <v>14</v>
      </c>
    </row>
    <row r="132" spans="1:11" ht="38.25">
      <c r="A132" s="492" t="s">
        <v>93</v>
      </c>
      <c r="B132" s="4">
        <v>96396</v>
      </c>
      <c r="C132" s="27" t="s">
        <v>24</v>
      </c>
      <c r="D132" s="27" t="s">
        <v>412</v>
      </c>
      <c r="E132" s="1141" t="s">
        <v>204</v>
      </c>
      <c r="F132" s="1142"/>
      <c r="G132" s="4" t="s">
        <v>28</v>
      </c>
      <c r="H132" s="5">
        <v>1</v>
      </c>
      <c r="I132" s="6">
        <v>236.97</v>
      </c>
      <c r="J132" s="493">
        <f>SUM(J133:J142)</f>
        <v>234.43375</v>
      </c>
    </row>
    <row r="133" spans="1:11" ht="51">
      <c r="A133" s="494" t="s">
        <v>95</v>
      </c>
      <c r="B133" s="8" t="s">
        <v>207</v>
      </c>
      <c r="C133" s="23" t="s">
        <v>24</v>
      </c>
      <c r="D133" s="23" t="s">
        <v>208</v>
      </c>
      <c r="E133" s="1135" t="s">
        <v>125</v>
      </c>
      <c r="F133" s="1136"/>
      <c r="G133" s="8" t="s">
        <v>126</v>
      </c>
      <c r="H133" s="69">
        <v>3.3000000000000002E-2</v>
      </c>
      <c r="I133" s="7">
        <v>71.599999999999994</v>
      </c>
      <c r="J133" s="495">
        <f>I133*H133</f>
        <v>2.3628</v>
      </c>
    </row>
    <row r="134" spans="1:11" ht="51">
      <c r="A134" s="494" t="s">
        <v>95</v>
      </c>
      <c r="B134" s="8" t="s">
        <v>205</v>
      </c>
      <c r="C134" s="23" t="s">
        <v>24</v>
      </c>
      <c r="D134" s="23" t="s">
        <v>206</v>
      </c>
      <c r="E134" s="1135" t="s">
        <v>125</v>
      </c>
      <c r="F134" s="1136"/>
      <c r="G134" s="8" t="s">
        <v>129</v>
      </c>
      <c r="H134" s="69">
        <v>2E-3</v>
      </c>
      <c r="I134" s="7">
        <v>317.66000000000003</v>
      </c>
      <c r="J134" s="495">
        <f t="shared" ref="J134:J142" si="7">I134*H134</f>
        <v>0.63532000000000011</v>
      </c>
    </row>
    <row r="135" spans="1:11" ht="38.25">
      <c r="A135" s="494" t="s">
        <v>95</v>
      </c>
      <c r="B135" s="8" t="s">
        <v>211</v>
      </c>
      <c r="C135" s="23" t="s">
        <v>24</v>
      </c>
      <c r="D135" s="23" t="s">
        <v>212</v>
      </c>
      <c r="E135" s="1135" t="s">
        <v>125</v>
      </c>
      <c r="F135" s="1136"/>
      <c r="G135" s="8" t="s">
        <v>126</v>
      </c>
      <c r="H135" s="69">
        <v>2.7E-2</v>
      </c>
      <c r="I135" s="7">
        <v>103.25</v>
      </c>
      <c r="J135" s="495">
        <f t="shared" si="7"/>
        <v>2.78775</v>
      </c>
    </row>
    <row r="136" spans="1:11" ht="38.25">
      <c r="A136" s="494" t="s">
        <v>95</v>
      </c>
      <c r="B136" s="8" t="s">
        <v>209</v>
      </c>
      <c r="C136" s="23" t="s">
        <v>24</v>
      </c>
      <c r="D136" s="23" t="s">
        <v>210</v>
      </c>
      <c r="E136" s="1135" t="s">
        <v>125</v>
      </c>
      <c r="F136" s="1136"/>
      <c r="G136" s="8" t="s">
        <v>129</v>
      </c>
      <c r="H136" s="69">
        <v>8.0000000000000002E-3</v>
      </c>
      <c r="I136" s="7">
        <v>262.45999999999998</v>
      </c>
      <c r="J136" s="495">
        <f t="shared" si="7"/>
        <v>2.0996799999999998</v>
      </c>
    </row>
    <row r="137" spans="1:11" ht="38.25">
      <c r="A137" s="494" t="s">
        <v>95</v>
      </c>
      <c r="B137" s="8" t="s">
        <v>215</v>
      </c>
      <c r="C137" s="23" t="s">
        <v>24</v>
      </c>
      <c r="D137" s="23" t="s">
        <v>216</v>
      </c>
      <c r="E137" s="1135" t="s">
        <v>125</v>
      </c>
      <c r="F137" s="1136"/>
      <c r="G137" s="8" t="s">
        <v>126</v>
      </c>
      <c r="H137" s="69">
        <v>3.1E-2</v>
      </c>
      <c r="I137" s="7">
        <v>100.08</v>
      </c>
      <c r="J137" s="495">
        <f t="shared" si="7"/>
        <v>3.1024799999999999</v>
      </c>
    </row>
    <row r="138" spans="1:11" ht="38.25">
      <c r="A138" s="494" t="s">
        <v>95</v>
      </c>
      <c r="B138" s="8" t="s">
        <v>213</v>
      </c>
      <c r="C138" s="23" t="s">
        <v>24</v>
      </c>
      <c r="D138" s="23" t="s">
        <v>214</v>
      </c>
      <c r="E138" s="1135" t="s">
        <v>125</v>
      </c>
      <c r="F138" s="1136"/>
      <c r="G138" s="8" t="s">
        <v>129</v>
      </c>
      <c r="H138" s="69">
        <v>4.0000000000000001E-3</v>
      </c>
      <c r="I138" s="7">
        <v>230.43</v>
      </c>
      <c r="J138" s="495">
        <f t="shared" si="7"/>
        <v>0.92172000000000009</v>
      </c>
    </row>
    <row r="139" spans="1:11" ht="51">
      <c r="A139" s="494" t="s">
        <v>95</v>
      </c>
      <c r="B139" s="8" t="s">
        <v>219</v>
      </c>
      <c r="C139" s="23" t="s">
        <v>24</v>
      </c>
      <c r="D139" s="23" t="s">
        <v>220</v>
      </c>
      <c r="E139" s="1135" t="s">
        <v>125</v>
      </c>
      <c r="F139" s="1136"/>
      <c r="G139" s="8" t="s">
        <v>126</v>
      </c>
      <c r="H139" s="69">
        <v>2.5000000000000001E-2</v>
      </c>
      <c r="I139" s="7">
        <v>73.290000000000006</v>
      </c>
      <c r="J139" s="495">
        <f t="shared" si="7"/>
        <v>1.8322500000000002</v>
      </c>
      <c r="K139">
        <v>283.59450737499998</v>
      </c>
    </row>
    <row r="140" spans="1:11" ht="51">
      <c r="A140" s="494" t="s">
        <v>95</v>
      </c>
      <c r="B140" s="8" t="s">
        <v>217</v>
      </c>
      <c r="C140" s="23" t="s">
        <v>24</v>
      </c>
      <c r="D140" s="23" t="s">
        <v>218</v>
      </c>
      <c r="E140" s="1135" t="s">
        <v>125</v>
      </c>
      <c r="F140" s="1136"/>
      <c r="G140" s="8" t="s">
        <v>129</v>
      </c>
      <c r="H140" s="69">
        <v>0.01</v>
      </c>
      <c r="I140" s="7">
        <v>170.5</v>
      </c>
      <c r="J140" s="495">
        <f t="shared" si="7"/>
        <v>1.7050000000000001</v>
      </c>
    </row>
    <row r="141" spans="1:11" ht="25.5">
      <c r="A141" s="494" t="s">
        <v>95</v>
      </c>
      <c r="B141" s="8" t="s">
        <v>103</v>
      </c>
      <c r="C141" s="23" t="s">
        <v>24</v>
      </c>
      <c r="D141" s="23" t="s">
        <v>104</v>
      </c>
      <c r="E141" s="1135" t="s">
        <v>101</v>
      </c>
      <c r="F141" s="1136"/>
      <c r="G141" s="8" t="s">
        <v>102</v>
      </c>
      <c r="H141" s="69">
        <v>3.5000000000000003E-2</v>
      </c>
      <c r="I141" s="7">
        <v>21.05</v>
      </c>
      <c r="J141" s="495">
        <f t="shared" si="7"/>
        <v>0.73675000000000013</v>
      </c>
    </row>
    <row r="142" spans="1:11" ht="25.5">
      <c r="A142" s="494" t="s">
        <v>95</v>
      </c>
      <c r="B142" s="8" t="s">
        <v>434</v>
      </c>
      <c r="C142" s="23" t="s">
        <v>24</v>
      </c>
      <c r="D142" s="23" t="s">
        <v>435</v>
      </c>
      <c r="E142" s="1135" t="s">
        <v>204</v>
      </c>
      <c r="F142" s="1136"/>
      <c r="G142" s="8" t="s">
        <v>28</v>
      </c>
      <c r="H142" s="69">
        <v>1</v>
      </c>
      <c r="I142" s="7">
        <v>218.25</v>
      </c>
      <c r="J142" s="495">
        <f t="shared" si="7"/>
        <v>218.25</v>
      </c>
    </row>
    <row r="143" spans="1:11">
      <c r="A143" s="498"/>
      <c r="B143" s="20"/>
      <c r="C143" s="499"/>
      <c r="D143" s="499"/>
      <c r="E143" s="499" t="s">
        <v>116</v>
      </c>
      <c r="F143" s="500">
        <v>5.58</v>
      </c>
      <c r="G143" s="499" t="s">
        <v>117</v>
      </c>
      <c r="H143" s="500">
        <v>0</v>
      </c>
      <c r="I143" s="499" t="s">
        <v>118</v>
      </c>
      <c r="J143" s="501">
        <v>5.58</v>
      </c>
    </row>
    <row r="144" spans="1:11">
      <c r="A144" s="498"/>
      <c r="B144" s="20"/>
      <c r="C144" s="499"/>
      <c r="D144" s="499"/>
      <c r="E144" s="499" t="s">
        <v>119</v>
      </c>
      <c r="F144" s="500">
        <f>J144-J132</f>
        <v>49.160757374999974</v>
      </c>
      <c r="G144" s="499"/>
      <c r="H144" s="1082" t="s">
        <v>120</v>
      </c>
      <c r="I144" s="1082"/>
      <c r="J144" s="521">
        <f>J132*(1+G2)</f>
        <v>283.59450737499998</v>
      </c>
    </row>
    <row r="145" spans="1:12" ht="15" thickBot="1">
      <c r="A145" s="503"/>
      <c r="B145" s="666"/>
      <c r="C145" s="14"/>
      <c r="D145" s="14"/>
      <c r="E145" s="14"/>
      <c r="F145" s="14"/>
      <c r="G145" s="14" t="s">
        <v>121</v>
      </c>
      <c r="H145" s="504">
        <f>'OBRA 02 - MEMÓRIA'!O33</f>
        <v>762.06274000000008</v>
      </c>
      <c r="I145" s="14" t="s">
        <v>122</v>
      </c>
      <c r="J145" s="505">
        <f>TRUNC(H145*J144,2)</f>
        <v>216116.8</v>
      </c>
    </row>
    <row r="146" spans="1:12" ht="15" thickTop="1">
      <c r="A146" s="506"/>
      <c r="B146" s="230"/>
      <c r="C146" s="15"/>
      <c r="D146" s="15"/>
      <c r="E146" s="15"/>
      <c r="F146" s="15"/>
      <c r="G146" s="15"/>
      <c r="H146" s="15"/>
      <c r="I146" s="15"/>
      <c r="J146" s="507"/>
    </row>
    <row r="147" spans="1:12" ht="15">
      <c r="A147" s="490" t="s">
        <v>326</v>
      </c>
      <c r="B147" s="31" t="s">
        <v>7</v>
      </c>
      <c r="C147" s="26" t="s">
        <v>8</v>
      </c>
      <c r="D147" s="26" t="s">
        <v>9</v>
      </c>
      <c r="E147" s="1143" t="s">
        <v>92</v>
      </c>
      <c r="F147" s="1144"/>
      <c r="G147" s="31" t="s">
        <v>10</v>
      </c>
      <c r="H147" s="29" t="s">
        <v>11</v>
      </c>
      <c r="I147" s="29" t="s">
        <v>12</v>
      </c>
      <c r="J147" s="491" t="s">
        <v>14</v>
      </c>
    </row>
    <row r="148" spans="1:12" ht="51">
      <c r="A148" s="492" t="s">
        <v>93</v>
      </c>
      <c r="B148" s="4" t="s">
        <v>42</v>
      </c>
      <c r="C148" s="27" t="s">
        <v>24</v>
      </c>
      <c r="D148" s="27" t="s">
        <v>659</v>
      </c>
      <c r="E148" s="1141" t="s">
        <v>184</v>
      </c>
      <c r="F148" s="1142"/>
      <c r="G148" s="4" t="s">
        <v>28</v>
      </c>
      <c r="H148" s="5">
        <v>1</v>
      </c>
      <c r="I148" s="6">
        <v>7.67</v>
      </c>
      <c r="J148" s="493">
        <f>SUM(J149:J152)</f>
        <v>7.8073019999999991</v>
      </c>
    </row>
    <row r="149" spans="1:12" ht="51">
      <c r="A149" s="494" t="s">
        <v>95</v>
      </c>
      <c r="B149" s="8" t="s">
        <v>185</v>
      </c>
      <c r="C149" s="23" t="s">
        <v>24</v>
      </c>
      <c r="D149" s="23" t="s">
        <v>186</v>
      </c>
      <c r="E149" s="1135" t="s">
        <v>125</v>
      </c>
      <c r="F149" s="1136"/>
      <c r="G149" s="8" t="s">
        <v>126</v>
      </c>
      <c r="H149" s="9">
        <v>2.2499999999999999E-2</v>
      </c>
      <c r="I149" s="10">
        <v>186.94</v>
      </c>
      <c r="J149" s="495">
        <f>I149*H149</f>
        <v>4.2061500000000001</v>
      </c>
    </row>
    <row r="150" spans="1:12" ht="51">
      <c r="A150" s="494" t="s">
        <v>95</v>
      </c>
      <c r="B150" s="8" t="s">
        <v>187</v>
      </c>
      <c r="C150" s="23" t="s">
        <v>24</v>
      </c>
      <c r="D150" s="23" t="s">
        <v>188</v>
      </c>
      <c r="E150" s="1135" t="s">
        <v>125</v>
      </c>
      <c r="F150" s="1136"/>
      <c r="G150" s="8" t="s">
        <v>129</v>
      </c>
      <c r="H150" s="9">
        <v>1.8499999999999999E-2</v>
      </c>
      <c r="I150" s="10">
        <v>62.47</v>
      </c>
      <c r="J150" s="495">
        <f t="shared" ref="J150:J152" si="8">I150*H150</f>
        <v>1.1556949999999999</v>
      </c>
    </row>
    <row r="151" spans="1:12" ht="38.25">
      <c r="A151" s="494" t="s">
        <v>95</v>
      </c>
      <c r="B151" s="8" t="s">
        <v>200</v>
      </c>
      <c r="C151" s="23" t="s">
        <v>24</v>
      </c>
      <c r="D151" s="23" t="s">
        <v>201</v>
      </c>
      <c r="E151" s="1135" t="s">
        <v>125</v>
      </c>
      <c r="F151" s="1136"/>
      <c r="G151" s="8" t="s">
        <v>126</v>
      </c>
      <c r="H151" s="9">
        <v>4.1999999999999997E-3</v>
      </c>
      <c r="I151" s="10">
        <v>257.7</v>
      </c>
      <c r="J151" s="495">
        <f t="shared" si="8"/>
        <v>1.0823399999999999</v>
      </c>
    </row>
    <row r="152" spans="1:12" ht="38.25">
      <c r="A152" s="494" t="s">
        <v>95</v>
      </c>
      <c r="B152" s="8" t="s">
        <v>202</v>
      </c>
      <c r="C152" s="23" t="s">
        <v>24</v>
      </c>
      <c r="D152" s="23" t="s">
        <v>203</v>
      </c>
      <c r="E152" s="1135" t="s">
        <v>125</v>
      </c>
      <c r="F152" s="1136"/>
      <c r="G152" s="8" t="s">
        <v>129</v>
      </c>
      <c r="H152" s="9">
        <v>1.3299999999999999E-2</v>
      </c>
      <c r="I152" s="10">
        <v>102.49</v>
      </c>
      <c r="J152" s="495">
        <f t="shared" si="8"/>
        <v>1.3631169999999999</v>
      </c>
    </row>
    <row r="153" spans="1:12">
      <c r="A153" s="498"/>
      <c r="B153" s="20"/>
      <c r="C153" s="499"/>
      <c r="D153" s="499"/>
      <c r="E153" s="499" t="s">
        <v>116</v>
      </c>
      <c r="F153" s="500">
        <v>1.4</v>
      </c>
      <c r="G153" s="499" t="s">
        <v>117</v>
      </c>
      <c r="H153" s="500">
        <v>0</v>
      </c>
      <c r="I153" s="499" t="s">
        <v>118</v>
      </c>
      <c r="J153" s="501">
        <v>1.4</v>
      </c>
    </row>
    <row r="154" spans="1:12">
      <c r="A154" s="498"/>
      <c r="B154" s="20"/>
      <c r="C154" s="499"/>
      <c r="D154" s="499"/>
      <c r="E154" s="499" t="s">
        <v>119</v>
      </c>
      <c r="F154" s="500">
        <f>J154-J148</f>
        <v>1.6371912293999999</v>
      </c>
      <c r="G154" s="499"/>
      <c r="H154" s="1082" t="s">
        <v>120</v>
      </c>
      <c r="I154" s="1082"/>
      <c r="J154" s="501">
        <f>J148*(1+G2)</f>
        <v>9.444493229399999</v>
      </c>
    </row>
    <row r="155" spans="1:12" ht="15" thickBot="1">
      <c r="A155" s="503"/>
      <c r="B155" s="666"/>
      <c r="C155" s="14"/>
      <c r="D155" s="14"/>
      <c r="E155" s="14"/>
      <c r="F155" s="14"/>
      <c r="G155" s="14" t="s">
        <v>121</v>
      </c>
      <c r="H155" s="504">
        <f>'OBRA 02 - MEMÓRIA'!O35</f>
        <v>1905.1568500000003</v>
      </c>
      <c r="I155" s="14" t="s">
        <v>122</v>
      </c>
      <c r="J155" s="505">
        <f>TRUNC(H155*J154,2)</f>
        <v>17993.240000000002</v>
      </c>
    </row>
    <row r="156" spans="1:12" ht="15" thickTop="1">
      <c r="A156" s="506"/>
      <c r="B156" s="230"/>
      <c r="C156" s="15"/>
      <c r="D156" s="15"/>
      <c r="E156" s="15"/>
      <c r="F156" s="15"/>
      <c r="G156" s="15"/>
      <c r="H156" s="15"/>
      <c r="I156" s="15"/>
      <c r="J156" s="507"/>
    </row>
    <row r="157" spans="1:12" ht="15">
      <c r="A157" s="490" t="s">
        <v>327</v>
      </c>
      <c r="B157" s="31" t="s">
        <v>7</v>
      </c>
      <c r="C157" s="26" t="s">
        <v>8</v>
      </c>
      <c r="D157" s="26" t="s">
        <v>9</v>
      </c>
      <c r="E157" s="1143" t="s">
        <v>92</v>
      </c>
      <c r="F157" s="1144"/>
      <c r="G157" s="31" t="s">
        <v>10</v>
      </c>
      <c r="H157" s="29" t="s">
        <v>11</v>
      </c>
      <c r="I157" s="29" t="s">
        <v>12</v>
      </c>
      <c r="J157" s="491" t="s">
        <v>14</v>
      </c>
    </row>
    <row r="158" spans="1:12" ht="25.5">
      <c r="A158" s="492" t="s">
        <v>93</v>
      </c>
      <c r="B158" s="4" t="s">
        <v>56</v>
      </c>
      <c r="C158" s="27" t="s">
        <v>24</v>
      </c>
      <c r="D158" s="27" t="s">
        <v>658</v>
      </c>
      <c r="E158" s="1141" t="s">
        <v>184</v>
      </c>
      <c r="F158" s="1142"/>
      <c r="G158" s="4" t="s">
        <v>36</v>
      </c>
      <c r="H158" s="5">
        <v>1</v>
      </c>
      <c r="I158" s="6">
        <v>2.46</v>
      </c>
      <c r="J158" s="493">
        <f>SUM(J159:J160)</f>
        <v>2.4911820000000002</v>
      </c>
      <c r="L158">
        <v>105735</v>
      </c>
    </row>
    <row r="159" spans="1:12" ht="51">
      <c r="A159" s="494" t="s">
        <v>95</v>
      </c>
      <c r="B159" s="8" t="s">
        <v>233</v>
      </c>
      <c r="C159" s="23" t="s">
        <v>24</v>
      </c>
      <c r="D159" s="23" t="s">
        <v>234</v>
      </c>
      <c r="E159" s="1135" t="s">
        <v>125</v>
      </c>
      <c r="F159" s="1136"/>
      <c r="G159" s="8" t="s">
        <v>126</v>
      </c>
      <c r="H159" s="9">
        <v>8.3000000000000001E-3</v>
      </c>
      <c r="I159" s="10">
        <v>268.74</v>
      </c>
      <c r="J159" s="495">
        <f>I159*H159</f>
        <v>2.2305420000000002</v>
      </c>
    </row>
    <row r="160" spans="1:12" ht="51">
      <c r="A160" s="494" t="s">
        <v>95</v>
      </c>
      <c r="B160" s="8" t="s">
        <v>235</v>
      </c>
      <c r="C160" s="23" t="s">
        <v>24</v>
      </c>
      <c r="D160" s="23" t="s">
        <v>236</v>
      </c>
      <c r="E160" s="1135" t="s">
        <v>125</v>
      </c>
      <c r="F160" s="1136"/>
      <c r="G160" s="8" t="s">
        <v>129</v>
      </c>
      <c r="H160" s="9">
        <v>3.5999999999999999E-3</v>
      </c>
      <c r="I160" s="10">
        <v>72.400000000000006</v>
      </c>
      <c r="J160" s="495">
        <f>I160*H160</f>
        <v>0.26064000000000004</v>
      </c>
      <c r="K160" s="78">
        <f>J165-'OBRA 02 - SINTÉTICA'!I24</f>
        <v>9.9265285534784198E-3</v>
      </c>
    </row>
    <row r="161" spans="1:10">
      <c r="A161" s="498"/>
      <c r="B161" s="20"/>
      <c r="C161" s="499"/>
      <c r="D161" s="499"/>
      <c r="E161" s="499" t="s">
        <v>116</v>
      </c>
      <c r="F161" s="500">
        <v>0.24000000000000002</v>
      </c>
      <c r="G161" s="499" t="s">
        <v>117</v>
      </c>
      <c r="H161" s="500">
        <v>0</v>
      </c>
      <c r="I161" s="499" t="s">
        <v>118</v>
      </c>
      <c r="J161" s="501">
        <v>0.24000000000000002</v>
      </c>
    </row>
    <row r="162" spans="1:10">
      <c r="A162" s="498"/>
      <c r="B162" s="20"/>
      <c r="C162" s="499"/>
      <c r="D162" s="499"/>
      <c r="E162" s="499" t="s">
        <v>119</v>
      </c>
      <c r="F162" s="500">
        <f>J162-J158</f>
        <v>0.52240086539999986</v>
      </c>
      <c r="G162" s="499"/>
      <c r="H162" s="1082" t="s">
        <v>120</v>
      </c>
      <c r="I162" s="1082"/>
      <c r="J162" s="501">
        <f>J158*(1+G2)</f>
        <v>3.0135828654000001</v>
      </c>
    </row>
    <row r="163" spans="1:10" ht="15" thickBot="1">
      <c r="A163" s="503"/>
      <c r="B163" s="666"/>
      <c r="C163" s="14"/>
      <c r="D163" s="14"/>
      <c r="E163" s="14"/>
      <c r="F163" s="14"/>
      <c r="G163" s="14" t="s">
        <v>121</v>
      </c>
      <c r="H163" s="504">
        <f>'OBRA 02 - MEMÓRIA'!O38</f>
        <v>57154.705500000011</v>
      </c>
      <c r="I163" s="14" t="s">
        <v>122</v>
      </c>
      <c r="J163" s="505">
        <f>TRUNC(H163*J162,2)</f>
        <v>172240.44</v>
      </c>
    </row>
    <row r="164" spans="1:10" ht="15" thickTop="1">
      <c r="A164" s="506"/>
      <c r="B164" s="230"/>
      <c r="C164" s="15"/>
      <c r="D164" s="15"/>
      <c r="E164" s="15"/>
      <c r="F164" s="15"/>
      <c r="G164" s="15"/>
      <c r="H164" s="15"/>
      <c r="I164" s="15"/>
      <c r="J164" s="507"/>
    </row>
    <row r="165" spans="1:10">
      <c r="A165" s="518" t="s">
        <v>58</v>
      </c>
      <c r="B165" s="229"/>
      <c r="C165" s="25"/>
      <c r="D165" s="25" t="s">
        <v>59</v>
      </c>
      <c r="E165" s="25"/>
      <c r="F165" s="1139"/>
      <c r="G165" s="1140"/>
      <c r="H165" s="1"/>
      <c r="I165" s="25"/>
      <c r="J165" s="519">
        <f>J205+J228+J251+J282+J290+J298+J306+J314+J321+J327+J333+J339</f>
        <v>696841.81992652861</v>
      </c>
    </row>
    <row r="166" spans="1:10" ht="15">
      <c r="A166" s="490" t="s">
        <v>457</v>
      </c>
      <c r="B166" s="31" t="s">
        <v>7</v>
      </c>
      <c r="C166" s="26" t="s">
        <v>8</v>
      </c>
      <c r="D166" s="26" t="s">
        <v>9</v>
      </c>
      <c r="E166" s="1143" t="s">
        <v>92</v>
      </c>
      <c r="F166" s="1144"/>
      <c r="G166" s="31" t="s">
        <v>10</v>
      </c>
      <c r="H166" s="29" t="s">
        <v>11</v>
      </c>
      <c r="I166" s="29" t="s">
        <v>12</v>
      </c>
      <c r="J166" s="491" t="s">
        <v>14</v>
      </c>
    </row>
    <row r="167" spans="1:10" ht="25.5">
      <c r="A167" s="492" t="s">
        <v>93</v>
      </c>
      <c r="B167" s="4" t="s">
        <v>603</v>
      </c>
      <c r="C167" s="27" t="s">
        <v>27</v>
      </c>
      <c r="D167" s="27" t="s">
        <v>665</v>
      </c>
      <c r="E167" s="1141" t="s">
        <v>136</v>
      </c>
      <c r="F167" s="1142"/>
      <c r="G167" s="4" t="s">
        <v>28</v>
      </c>
      <c r="H167" s="5">
        <v>1</v>
      </c>
      <c r="I167" s="6">
        <v>116.71</v>
      </c>
      <c r="J167" s="493">
        <f>J187+J193+J197+J185</f>
        <v>116.68798715613828</v>
      </c>
    </row>
    <row r="168" spans="1:10" ht="15">
      <c r="A168" s="1145" t="s">
        <v>137</v>
      </c>
      <c r="B168" s="1147" t="s">
        <v>7</v>
      </c>
      <c r="C168" s="1149" t="s">
        <v>8</v>
      </c>
      <c r="D168" s="1149" t="s">
        <v>138</v>
      </c>
      <c r="E168" s="1151" t="s">
        <v>139</v>
      </c>
      <c r="F168" s="1128" t="s">
        <v>140</v>
      </c>
      <c r="G168" s="1130"/>
      <c r="H168" s="1128" t="s">
        <v>141</v>
      </c>
      <c r="I168" s="1130"/>
      <c r="J168" s="1133" t="s">
        <v>142</v>
      </c>
    </row>
    <row r="169" spans="1:10" ht="15">
      <c r="A169" s="1146"/>
      <c r="B169" s="1148"/>
      <c r="C169" s="1150"/>
      <c r="D169" s="1150"/>
      <c r="E169" s="1152"/>
      <c r="F169" s="29" t="s">
        <v>143</v>
      </c>
      <c r="G169" s="29" t="s">
        <v>144</v>
      </c>
      <c r="H169" s="29" t="s">
        <v>143</v>
      </c>
      <c r="I169" s="29" t="s">
        <v>144</v>
      </c>
      <c r="J169" s="1134"/>
    </row>
    <row r="170" spans="1:10">
      <c r="A170" s="496" t="s">
        <v>105</v>
      </c>
      <c r="B170" s="11" t="s">
        <v>608</v>
      </c>
      <c r="C170" s="24" t="s">
        <v>27</v>
      </c>
      <c r="D170" s="24" t="s">
        <v>609</v>
      </c>
      <c r="E170" s="12">
        <v>1</v>
      </c>
      <c r="F170" s="13">
        <v>0.26</v>
      </c>
      <c r="G170" s="13">
        <v>0.74</v>
      </c>
      <c r="H170" s="30">
        <v>432.64949999999999</v>
      </c>
      <c r="I170" s="30">
        <v>133.863</v>
      </c>
      <c r="J170" s="510">
        <f>E170*(F170*H170+G170*I170)</f>
        <v>211.54749000000001</v>
      </c>
    </row>
    <row r="171" spans="1:10">
      <c r="A171" s="496" t="s">
        <v>105</v>
      </c>
      <c r="B171" s="11" t="s">
        <v>190</v>
      </c>
      <c r="C171" s="24" t="s">
        <v>27</v>
      </c>
      <c r="D171" s="24" t="s">
        <v>191</v>
      </c>
      <c r="E171" s="12">
        <v>2</v>
      </c>
      <c r="F171" s="13">
        <v>0.64</v>
      </c>
      <c r="G171" s="13">
        <v>0.36</v>
      </c>
      <c r="H171" s="30">
        <v>320.50740000000002</v>
      </c>
      <c r="I171" s="30">
        <v>86.967100000000002</v>
      </c>
      <c r="J171" s="510">
        <f t="shared" ref="J171:J177" si="9">E171*(F171*H171+G171*I171)</f>
        <v>472.86578400000002</v>
      </c>
    </row>
    <row r="172" spans="1:10">
      <c r="A172" s="496" t="s">
        <v>105</v>
      </c>
      <c r="B172" s="11" t="s">
        <v>436</v>
      </c>
      <c r="C172" s="24" t="s">
        <v>27</v>
      </c>
      <c r="D172" s="24" t="s">
        <v>437</v>
      </c>
      <c r="E172" s="12">
        <v>1</v>
      </c>
      <c r="F172" s="13">
        <v>1</v>
      </c>
      <c r="G172" s="13">
        <v>0</v>
      </c>
      <c r="H172" s="30">
        <v>276.98910000000001</v>
      </c>
      <c r="I172" s="30">
        <v>103.1454</v>
      </c>
      <c r="J172" s="510">
        <f t="shared" si="9"/>
        <v>276.98910000000001</v>
      </c>
    </row>
    <row r="173" spans="1:10">
      <c r="A173" s="496" t="s">
        <v>105</v>
      </c>
      <c r="B173" s="11" t="s">
        <v>194</v>
      </c>
      <c r="C173" s="24" t="s">
        <v>27</v>
      </c>
      <c r="D173" s="24" t="s">
        <v>195</v>
      </c>
      <c r="E173" s="12">
        <v>1</v>
      </c>
      <c r="F173" s="13">
        <v>0.28999999999999998</v>
      </c>
      <c r="G173" s="13">
        <v>0.71</v>
      </c>
      <c r="H173" s="30">
        <v>283.32670000000002</v>
      </c>
      <c r="I173" s="30">
        <v>124.3669</v>
      </c>
      <c r="J173" s="510">
        <f t="shared" si="9"/>
        <v>170.46524199999999</v>
      </c>
    </row>
    <row r="174" spans="1:10">
      <c r="A174" s="496" t="s">
        <v>105</v>
      </c>
      <c r="B174" s="11" t="s">
        <v>438</v>
      </c>
      <c r="C174" s="24" t="s">
        <v>27</v>
      </c>
      <c r="D174" s="24" t="s">
        <v>439</v>
      </c>
      <c r="E174" s="12">
        <v>1</v>
      </c>
      <c r="F174" s="13">
        <v>1</v>
      </c>
      <c r="G174" s="13">
        <v>0</v>
      </c>
      <c r="H174" s="30">
        <v>1304.6833999999999</v>
      </c>
      <c r="I174" s="30">
        <v>421.12849999999997</v>
      </c>
      <c r="J174" s="510">
        <f t="shared" si="9"/>
        <v>1304.6833999999999</v>
      </c>
    </row>
    <row r="175" spans="1:10">
      <c r="A175" s="496" t="s">
        <v>105</v>
      </c>
      <c r="B175" s="11" t="s">
        <v>247</v>
      </c>
      <c r="C175" s="24" t="s">
        <v>27</v>
      </c>
      <c r="D175" s="24" t="s">
        <v>248</v>
      </c>
      <c r="E175" s="12">
        <v>1</v>
      </c>
      <c r="F175" s="13">
        <v>0.52</v>
      </c>
      <c r="G175" s="13">
        <v>0.48</v>
      </c>
      <c r="H175" s="30">
        <v>251.78749999999999</v>
      </c>
      <c r="I175" s="30">
        <v>123.43300000000001</v>
      </c>
      <c r="J175" s="510">
        <f t="shared" si="9"/>
        <v>190.17733999999999</v>
      </c>
    </row>
    <row r="176" spans="1:10">
      <c r="A176" s="496" t="s">
        <v>105</v>
      </c>
      <c r="B176" s="11" t="s">
        <v>440</v>
      </c>
      <c r="C176" s="24" t="s">
        <v>27</v>
      </c>
      <c r="D176" s="24" t="s">
        <v>441</v>
      </c>
      <c r="E176" s="12">
        <v>1</v>
      </c>
      <c r="F176" s="13">
        <v>0.42</v>
      </c>
      <c r="G176" s="13">
        <v>0.57999999999999996</v>
      </c>
      <c r="H176" s="30">
        <v>244.7064</v>
      </c>
      <c r="I176" s="30">
        <v>106.66889999999999</v>
      </c>
      <c r="J176" s="510">
        <f t="shared" si="9"/>
        <v>164.64464999999998</v>
      </c>
    </row>
    <row r="177" spans="1:10" ht="25.5">
      <c r="A177" s="496" t="s">
        <v>105</v>
      </c>
      <c r="B177" s="11" t="s">
        <v>196</v>
      </c>
      <c r="C177" s="24" t="s">
        <v>27</v>
      </c>
      <c r="D177" s="24" t="s">
        <v>197</v>
      </c>
      <c r="E177" s="12">
        <v>1</v>
      </c>
      <c r="F177" s="13">
        <v>1</v>
      </c>
      <c r="G177" s="13">
        <v>0</v>
      </c>
      <c r="H177" s="30">
        <v>215.80500000000001</v>
      </c>
      <c r="I177" s="30">
        <v>97.373599999999996</v>
      </c>
      <c r="J177" s="510">
        <f t="shared" si="9"/>
        <v>215.80500000000001</v>
      </c>
    </row>
    <row r="178" spans="1:10">
      <c r="A178" s="1124"/>
      <c r="B178" s="1125"/>
      <c r="C178" s="1125"/>
      <c r="D178" s="1125"/>
      <c r="E178" s="1125"/>
      <c r="F178" s="1125" t="s">
        <v>145</v>
      </c>
      <c r="G178" s="1125"/>
      <c r="H178" s="1125"/>
      <c r="I178" s="1125"/>
      <c r="J178" s="511">
        <f>SUM(J170:J177)</f>
        <v>3007.1780060000001</v>
      </c>
    </row>
    <row r="179" spans="1:10" ht="15">
      <c r="A179" s="490" t="s">
        <v>146</v>
      </c>
      <c r="B179" s="31" t="s">
        <v>7</v>
      </c>
      <c r="C179" s="26" t="s">
        <v>8</v>
      </c>
      <c r="D179" s="26" t="s">
        <v>147</v>
      </c>
      <c r="E179" s="29" t="s">
        <v>139</v>
      </c>
      <c r="F179" s="1118" t="s">
        <v>148</v>
      </c>
      <c r="G179" s="1119"/>
      <c r="H179" s="1119"/>
      <c r="I179" s="1120"/>
      <c r="J179" s="491" t="s">
        <v>142</v>
      </c>
    </row>
    <row r="180" spans="1:10">
      <c r="A180" s="496" t="s">
        <v>105</v>
      </c>
      <c r="B180" s="11" t="s">
        <v>651</v>
      </c>
      <c r="C180" s="24" t="s">
        <v>27</v>
      </c>
      <c r="D180" s="24" t="s">
        <v>149</v>
      </c>
      <c r="E180" s="12">
        <v>6</v>
      </c>
      <c r="F180" s="24"/>
      <c r="G180" s="24"/>
      <c r="H180" s="24"/>
      <c r="I180" s="30">
        <v>21.05</v>
      </c>
      <c r="J180" s="510">
        <f>E180*I180</f>
        <v>126.30000000000001</v>
      </c>
    </row>
    <row r="181" spans="1:10">
      <c r="A181" s="1131"/>
      <c r="B181" s="1132"/>
      <c r="C181" s="1132"/>
      <c r="D181" s="1132"/>
      <c r="E181" s="1132"/>
      <c r="F181" s="1132" t="s">
        <v>150</v>
      </c>
      <c r="G181" s="1132"/>
      <c r="H181" s="1132"/>
      <c r="I181" s="1132"/>
      <c r="J181" s="511">
        <f>J180</f>
        <v>126.30000000000001</v>
      </c>
    </row>
    <row r="182" spans="1:10">
      <c r="A182" s="1083"/>
      <c r="B182" s="1084"/>
      <c r="C182" s="1084"/>
      <c r="D182" s="1084"/>
      <c r="E182" s="1084"/>
      <c r="F182" s="1084" t="s">
        <v>151</v>
      </c>
      <c r="G182" s="1084"/>
      <c r="H182" s="1084"/>
      <c r="I182" s="1084"/>
      <c r="J182" s="511">
        <v>0</v>
      </c>
    </row>
    <row r="183" spans="1:10">
      <c r="A183" s="1083"/>
      <c r="B183" s="1084"/>
      <c r="C183" s="1084"/>
      <c r="D183" s="1084"/>
      <c r="E183" s="1084"/>
      <c r="F183" s="1084" t="s">
        <v>152</v>
      </c>
      <c r="G183" s="1084"/>
      <c r="H183" s="1084"/>
      <c r="I183" s="1084"/>
      <c r="J183" s="511">
        <f>J178+J181</f>
        <v>3133.4780060000003</v>
      </c>
    </row>
    <row r="184" spans="1:10">
      <c r="A184" s="1083"/>
      <c r="B184" s="1084"/>
      <c r="C184" s="1084"/>
      <c r="D184" s="1084"/>
      <c r="E184" s="1084"/>
      <c r="F184" s="1084" t="s">
        <v>153</v>
      </c>
      <c r="G184" s="1084"/>
      <c r="H184" s="1084"/>
      <c r="I184" s="1084"/>
      <c r="J184" s="511">
        <v>1.09E-2</v>
      </c>
    </row>
    <row r="185" spans="1:10">
      <c r="A185" s="1083"/>
      <c r="B185" s="1084"/>
      <c r="C185" s="1084"/>
      <c r="D185" s="1084"/>
      <c r="E185" s="1084"/>
      <c r="F185" s="1084" t="s">
        <v>154</v>
      </c>
      <c r="G185" s="1084"/>
      <c r="H185" s="1084"/>
      <c r="I185" s="1084"/>
      <c r="J185" s="511">
        <v>0.3755</v>
      </c>
    </row>
    <row r="186" spans="1:10">
      <c r="A186" s="1083"/>
      <c r="B186" s="1084"/>
      <c r="C186" s="1084"/>
      <c r="D186" s="1084"/>
      <c r="E186" s="1084"/>
      <c r="F186" s="1084" t="s">
        <v>155</v>
      </c>
      <c r="G186" s="1084"/>
      <c r="H186" s="1084"/>
      <c r="I186" s="1084"/>
      <c r="J186" s="511">
        <v>90.84</v>
      </c>
    </row>
    <row r="187" spans="1:10">
      <c r="A187" s="1116"/>
      <c r="B187" s="1117"/>
      <c r="C187" s="1117"/>
      <c r="D187" s="1117"/>
      <c r="E187" s="1117"/>
      <c r="F187" s="1117" t="s">
        <v>156</v>
      </c>
      <c r="G187" s="1117"/>
      <c r="H187" s="1117"/>
      <c r="I187" s="1117"/>
      <c r="J187" s="511">
        <f>J183/J186</f>
        <v>34.494473866138264</v>
      </c>
    </row>
    <row r="188" spans="1:10" ht="15">
      <c r="A188" s="490" t="s">
        <v>157</v>
      </c>
      <c r="B188" s="31" t="s">
        <v>8</v>
      </c>
      <c r="C188" s="26" t="s">
        <v>7</v>
      </c>
      <c r="D188" s="26" t="s">
        <v>108</v>
      </c>
      <c r="E188" s="29" t="s">
        <v>139</v>
      </c>
      <c r="F188" s="29" t="s">
        <v>158</v>
      </c>
      <c r="G188" s="1118" t="s">
        <v>159</v>
      </c>
      <c r="H188" s="1119"/>
      <c r="I188" s="1120"/>
      <c r="J188" s="491" t="s">
        <v>142</v>
      </c>
    </row>
    <row r="189" spans="1:10">
      <c r="A189" s="496" t="s">
        <v>105</v>
      </c>
      <c r="B189" s="11" t="s">
        <v>27</v>
      </c>
      <c r="C189" s="24" t="s">
        <v>442</v>
      </c>
      <c r="D189" s="24" t="s">
        <v>443</v>
      </c>
      <c r="E189" s="12">
        <v>0.25</v>
      </c>
      <c r="F189" s="11" t="s">
        <v>28</v>
      </c>
      <c r="G189" s="1121">
        <v>135.11330000000001</v>
      </c>
      <c r="H189" s="1122"/>
      <c r="I189" s="1123"/>
      <c r="J189" s="510">
        <f>G189*E189</f>
        <v>33.778325000000002</v>
      </c>
    </row>
    <row r="190" spans="1:10">
      <c r="A190" s="496" t="s">
        <v>105</v>
      </c>
      <c r="B190" s="11" t="s">
        <v>27</v>
      </c>
      <c r="C190" s="24" t="s">
        <v>610</v>
      </c>
      <c r="D190" s="24" t="s">
        <v>611</v>
      </c>
      <c r="E190" s="12">
        <v>66</v>
      </c>
      <c r="F190" s="11" t="s">
        <v>612</v>
      </c>
      <c r="G190" s="1121">
        <v>0.61060000000000003</v>
      </c>
      <c r="H190" s="1122"/>
      <c r="I190" s="1123"/>
      <c r="J190" s="510">
        <f t="shared" ref="J190:J192" si="10">G190*E190</f>
        <v>40.299600000000005</v>
      </c>
    </row>
    <row r="191" spans="1:10">
      <c r="A191" s="496" t="s">
        <v>105</v>
      </c>
      <c r="B191" s="11" t="s">
        <v>27</v>
      </c>
      <c r="C191" s="24" t="s">
        <v>444</v>
      </c>
      <c r="D191" s="24" t="s">
        <v>445</v>
      </c>
      <c r="E191" s="12">
        <v>9.5000000000000001E-2</v>
      </c>
      <c r="F191" s="11" t="s">
        <v>84</v>
      </c>
      <c r="G191" s="1121">
        <v>54.179099999999998</v>
      </c>
      <c r="H191" s="1122"/>
      <c r="I191" s="1123"/>
      <c r="J191" s="510">
        <f t="shared" si="10"/>
        <v>5.1470145</v>
      </c>
    </row>
    <row r="192" spans="1:10">
      <c r="A192" s="496" t="s">
        <v>105</v>
      </c>
      <c r="B192" s="11" t="s">
        <v>27</v>
      </c>
      <c r="C192" s="24" t="s">
        <v>446</v>
      </c>
      <c r="D192" s="24" t="s">
        <v>447</v>
      </c>
      <c r="E192" s="12">
        <v>1.0499999999999999E-3</v>
      </c>
      <c r="F192" s="11" t="s">
        <v>84</v>
      </c>
      <c r="G192" s="1121">
        <v>493.27980000000002</v>
      </c>
      <c r="H192" s="1122"/>
      <c r="I192" s="1123"/>
      <c r="J192" s="510">
        <f t="shared" si="10"/>
        <v>0.51794379000000002</v>
      </c>
    </row>
    <row r="193" spans="1:10">
      <c r="A193" s="1124"/>
      <c r="B193" s="1125"/>
      <c r="C193" s="1125"/>
      <c r="D193" s="1125"/>
      <c r="E193" s="1125"/>
      <c r="F193" s="1125" t="s">
        <v>160</v>
      </c>
      <c r="G193" s="1125"/>
      <c r="H193" s="1125"/>
      <c r="I193" s="1125"/>
      <c r="J193" s="511">
        <f>SUM(J189:J192)</f>
        <v>79.742883290000009</v>
      </c>
    </row>
    <row r="194" spans="1:10" ht="15" customHeight="1">
      <c r="A194" s="490" t="s">
        <v>161</v>
      </c>
      <c r="B194" s="31" t="s">
        <v>8</v>
      </c>
      <c r="C194" s="26" t="s">
        <v>105</v>
      </c>
      <c r="D194" s="26" t="s">
        <v>162</v>
      </c>
      <c r="E194" s="29" t="s">
        <v>7</v>
      </c>
      <c r="F194" s="29" t="s">
        <v>139</v>
      </c>
      <c r="G194" s="31" t="s">
        <v>158</v>
      </c>
      <c r="H194" s="1118" t="s">
        <v>159</v>
      </c>
      <c r="I194" s="1120"/>
      <c r="J194" s="491" t="s">
        <v>142</v>
      </c>
    </row>
    <row r="195" spans="1:10" ht="14.25" customHeight="1">
      <c r="A195" s="494" t="s">
        <v>163</v>
      </c>
      <c r="B195" s="8" t="s">
        <v>27</v>
      </c>
      <c r="C195" s="23" t="s">
        <v>442</v>
      </c>
      <c r="D195" s="23" t="s">
        <v>613</v>
      </c>
      <c r="E195" s="7">
        <v>5914651</v>
      </c>
      <c r="F195" s="9">
        <v>0.375</v>
      </c>
      <c r="G195" s="8" t="s">
        <v>61</v>
      </c>
      <c r="H195" s="1126">
        <v>2.5099999999999998</v>
      </c>
      <c r="I195" s="1127"/>
      <c r="J195" s="514">
        <f>H195*F195</f>
        <v>0.94124999999999992</v>
      </c>
    </row>
    <row r="196" spans="1:10" ht="25.5">
      <c r="A196" s="494" t="s">
        <v>163</v>
      </c>
      <c r="B196" s="8" t="s">
        <v>27</v>
      </c>
      <c r="C196" s="23" t="s">
        <v>610</v>
      </c>
      <c r="D196" s="23" t="s">
        <v>614</v>
      </c>
      <c r="E196" s="7">
        <v>5914363</v>
      </c>
      <c r="F196" s="9">
        <v>6.6000000000000003E-2</v>
      </c>
      <c r="G196" s="8" t="s">
        <v>61</v>
      </c>
      <c r="H196" s="1126">
        <v>17.18</v>
      </c>
      <c r="I196" s="1127"/>
      <c r="J196" s="514">
        <f>H196*F196</f>
        <v>1.13388</v>
      </c>
    </row>
    <row r="197" spans="1:10">
      <c r="A197" s="1124"/>
      <c r="B197" s="1125"/>
      <c r="C197" s="1125"/>
      <c r="D197" s="1125"/>
      <c r="E197" s="1125"/>
      <c r="F197" s="1125" t="s">
        <v>164</v>
      </c>
      <c r="G197" s="1125"/>
      <c r="H197" s="1125"/>
      <c r="I197" s="1125"/>
      <c r="J197" s="511">
        <f>SUM(J195:J196)</f>
        <v>2.0751299999999997</v>
      </c>
    </row>
    <row r="198" spans="1:10" ht="14.25" customHeight="1">
      <c r="A198" s="490" t="s">
        <v>165</v>
      </c>
      <c r="B198" s="31" t="s">
        <v>8</v>
      </c>
      <c r="C198" s="26" t="s">
        <v>105</v>
      </c>
      <c r="D198" s="26" t="s">
        <v>166</v>
      </c>
      <c r="E198" s="29" t="s">
        <v>139</v>
      </c>
      <c r="F198" s="29" t="s">
        <v>158</v>
      </c>
      <c r="G198" s="1128" t="s">
        <v>167</v>
      </c>
      <c r="H198" s="1129"/>
      <c r="I198" s="1130"/>
      <c r="J198" s="491" t="s">
        <v>142</v>
      </c>
    </row>
    <row r="199" spans="1:10" ht="15">
      <c r="A199" s="515"/>
      <c r="B199" s="31"/>
      <c r="C199" s="31"/>
      <c r="D199" s="31"/>
      <c r="E199" s="31"/>
      <c r="F199" s="31"/>
      <c r="G199" s="31" t="s">
        <v>168</v>
      </c>
      <c r="H199" s="31" t="s">
        <v>169</v>
      </c>
      <c r="I199" s="31" t="s">
        <v>170</v>
      </c>
      <c r="J199" s="516"/>
    </row>
    <row r="200" spans="1:10" ht="38.25">
      <c r="A200" s="494" t="s">
        <v>166</v>
      </c>
      <c r="B200" s="8" t="s">
        <v>27</v>
      </c>
      <c r="C200" s="23" t="s">
        <v>442</v>
      </c>
      <c r="D200" s="23" t="s">
        <v>615</v>
      </c>
      <c r="E200" s="9">
        <v>0.375</v>
      </c>
      <c r="F200" s="8" t="s">
        <v>171</v>
      </c>
      <c r="G200" s="7" t="s">
        <v>260</v>
      </c>
      <c r="H200" s="7" t="s">
        <v>261</v>
      </c>
      <c r="I200" s="7" t="s">
        <v>262</v>
      </c>
      <c r="J200" s="514">
        <v>0</v>
      </c>
    </row>
    <row r="201" spans="1:10" ht="38.25">
      <c r="A201" s="494" t="s">
        <v>166</v>
      </c>
      <c r="B201" s="8" t="s">
        <v>27</v>
      </c>
      <c r="C201" s="23" t="s">
        <v>610</v>
      </c>
      <c r="D201" s="23" t="s">
        <v>616</v>
      </c>
      <c r="E201" s="9">
        <v>6.6000000000000003E-2</v>
      </c>
      <c r="F201" s="8" t="s">
        <v>171</v>
      </c>
      <c r="G201" s="7" t="s">
        <v>617</v>
      </c>
      <c r="H201" s="7" t="s">
        <v>618</v>
      </c>
      <c r="I201" s="7" t="s">
        <v>619</v>
      </c>
      <c r="J201" s="514">
        <v>0</v>
      </c>
    </row>
    <row r="202" spans="1:10">
      <c r="A202" s="1131"/>
      <c r="B202" s="1132"/>
      <c r="C202" s="1132"/>
      <c r="D202" s="1132"/>
      <c r="E202" s="1132"/>
      <c r="F202" s="1132" t="s">
        <v>172</v>
      </c>
      <c r="G202" s="1132"/>
      <c r="H202" s="1132"/>
      <c r="I202" s="1132"/>
      <c r="J202" s="511">
        <v>0</v>
      </c>
    </row>
    <row r="203" spans="1:10">
      <c r="A203" s="498"/>
      <c r="B203" s="20"/>
      <c r="C203" s="499"/>
      <c r="D203" s="499"/>
      <c r="E203" s="499" t="s">
        <v>116</v>
      </c>
      <c r="F203" s="500">
        <v>1.4125297225891678</v>
      </c>
      <c r="G203" s="499" t="s">
        <v>117</v>
      </c>
      <c r="H203" s="500">
        <v>0</v>
      </c>
      <c r="I203" s="499" t="s">
        <v>118</v>
      </c>
      <c r="J203" s="501">
        <v>1.4125297225891678</v>
      </c>
    </row>
    <row r="204" spans="1:10">
      <c r="A204" s="498"/>
      <c r="B204" s="20"/>
      <c r="C204" s="499"/>
      <c r="D204" s="499"/>
      <c r="E204" s="499" t="s">
        <v>119</v>
      </c>
      <c r="F204" s="500">
        <v>29.17</v>
      </c>
      <c r="G204" s="499"/>
      <c r="H204" s="1082" t="s">
        <v>120</v>
      </c>
      <c r="I204" s="1082"/>
      <c r="J204" s="501">
        <f>J167*(1+G2)</f>
        <v>141.15745806278048</v>
      </c>
    </row>
    <row r="205" spans="1:10">
      <c r="A205" s="503"/>
      <c r="B205" s="666"/>
      <c r="C205" s="14"/>
      <c r="D205" s="14"/>
      <c r="E205" s="14"/>
      <c r="F205" s="14"/>
      <c r="G205" s="14" t="s">
        <v>121</v>
      </c>
      <c r="H205" s="504">
        <f>'OBRA 02 - MEMÓRIA'!O41</f>
        <v>1288.20108</v>
      </c>
      <c r="I205" s="14" t="s">
        <v>122</v>
      </c>
      <c r="J205" s="505">
        <f>H205*J204</f>
        <v>181839.18992652852</v>
      </c>
    </row>
    <row r="206" spans="1:10">
      <c r="A206" s="503"/>
      <c r="B206" s="666"/>
      <c r="C206" s="14"/>
      <c r="D206" s="14"/>
      <c r="E206" s="14"/>
      <c r="F206" s="14"/>
      <c r="G206" s="14"/>
      <c r="H206" s="504"/>
      <c r="I206" s="14"/>
      <c r="J206" s="505"/>
    </row>
    <row r="207" spans="1:10" ht="15">
      <c r="A207" s="490" t="s">
        <v>336</v>
      </c>
      <c r="B207" s="31" t="s">
        <v>7</v>
      </c>
      <c r="C207" s="26" t="s">
        <v>8</v>
      </c>
      <c r="D207" s="26" t="s">
        <v>9</v>
      </c>
      <c r="E207" s="1143" t="s">
        <v>92</v>
      </c>
      <c r="F207" s="1144"/>
      <c r="G207" s="31" t="s">
        <v>10</v>
      </c>
      <c r="H207" s="29" t="s">
        <v>11</v>
      </c>
      <c r="I207" s="29" t="s">
        <v>12</v>
      </c>
      <c r="J207" s="491" t="s">
        <v>14</v>
      </c>
    </row>
    <row r="208" spans="1:10">
      <c r="A208" s="492" t="s">
        <v>93</v>
      </c>
      <c r="B208" s="4" t="s">
        <v>62</v>
      </c>
      <c r="C208" s="27" t="s">
        <v>27</v>
      </c>
      <c r="D208" s="27" t="s">
        <v>563</v>
      </c>
      <c r="E208" s="1141" t="s">
        <v>136</v>
      </c>
      <c r="F208" s="1142"/>
      <c r="G208" s="4" t="s">
        <v>21</v>
      </c>
      <c r="H208" s="5">
        <v>1</v>
      </c>
      <c r="I208" s="6">
        <v>0.4</v>
      </c>
      <c r="J208" s="493">
        <f>SUM(J220+J222)</f>
        <v>0.39891387824278257</v>
      </c>
    </row>
    <row r="209" spans="1:10" ht="15">
      <c r="A209" s="1145" t="s">
        <v>137</v>
      </c>
      <c r="B209" s="1147" t="s">
        <v>7</v>
      </c>
      <c r="C209" s="1149" t="s">
        <v>8</v>
      </c>
      <c r="D209" s="1149" t="s">
        <v>138</v>
      </c>
      <c r="E209" s="1151" t="s">
        <v>139</v>
      </c>
      <c r="F209" s="1128" t="s">
        <v>140</v>
      </c>
      <c r="G209" s="1130"/>
      <c r="H209" s="1128" t="s">
        <v>141</v>
      </c>
      <c r="I209" s="1130"/>
      <c r="J209" s="1133" t="s">
        <v>142</v>
      </c>
    </row>
    <row r="210" spans="1:10" ht="15">
      <c r="A210" s="1146"/>
      <c r="B210" s="1148"/>
      <c r="C210" s="1150"/>
      <c r="D210" s="1150"/>
      <c r="E210" s="1152"/>
      <c r="F210" s="29" t="s">
        <v>143</v>
      </c>
      <c r="G210" s="29" t="s">
        <v>144</v>
      </c>
      <c r="H210" s="29" t="s">
        <v>143</v>
      </c>
      <c r="I210" s="29" t="s">
        <v>144</v>
      </c>
      <c r="J210" s="1134"/>
    </row>
    <row r="211" spans="1:10" ht="25.5">
      <c r="A211" s="496" t="s">
        <v>105</v>
      </c>
      <c r="B211" s="11" t="s">
        <v>263</v>
      </c>
      <c r="C211" s="24" t="s">
        <v>27</v>
      </c>
      <c r="D211" s="24" t="s">
        <v>264</v>
      </c>
      <c r="E211" s="12">
        <v>1</v>
      </c>
      <c r="F211" s="13">
        <v>1</v>
      </c>
      <c r="G211" s="13">
        <v>0</v>
      </c>
      <c r="H211" s="30">
        <v>255.0376</v>
      </c>
      <c r="I211" s="30">
        <v>74.468100000000007</v>
      </c>
      <c r="J211" s="510">
        <f>E211*((F211*H211+G211*I211))</f>
        <v>255.0376</v>
      </c>
    </row>
    <row r="212" spans="1:10">
      <c r="A212" s="496" t="s">
        <v>105</v>
      </c>
      <c r="B212" s="11" t="s">
        <v>265</v>
      </c>
      <c r="C212" s="24" t="s">
        <v>27</v>
      </c>
      <c r="D212" s="24" t="s">
        <v>266</v>
      </c>
      <c r="E212" s="12">
        <v>2</v>
      </c>
      <c r="F212" s="13">
        <v>1</v>
      </c>
      <c r="G212" s="13">
        <v>0</v>
      </c>
      <c r="H212" s="30">
        <v>57.988100000000003</v>
      </c>
      <c r="I212" s="30">
        <v>39.610100000000003</v>
      </c>
      <c r="J212" s="510">
        <f>E212*((F212*H212+G212*I212))</f>
        <v>115.97620000000001</v>
      </c>
    </row>
    <row r="213" spans="1:10">
      <c r="A213" s="1124"/>
      <c r="B213" s="1125"/>
      <c r="C213" s="1125"/>
      <c r="D213" s="1125"/>
      <c r="E213" s="1125"/>
      <c r="F213" s="1125" t="s">
        <v>145</v>
      </c>
      <c r="G213" s="1125"/>
      <c r="H213" s="1125"/>
      <c r="I213" s="1125"/>
      <c r="J213" s="511">
        <f>SUM(J211:J212)</f>
        <v>371.0138</v>
      </c>
    </row>
    <row r="214" spans="1:10" ht="15">
      <c r="A214" s="490" t="s">
        <v>146</v>
      </c>
      <c r="B214" s="31" t="s">
        <v>7</v>
      </c>
      <c r="C214" s="26" t="s">
        <v>8</v>
      </c>
      <c r="D214" s="26" t="s">
        <v>147</v>
      </c>
      <c r="E214" s="29" t="s">
        <v>139</v>
      </c>
      <c r="F214" s="1118" t="s">
        <v>148</v>
      </c>
      <c r="G214" s="1119"/>
      <c r="H214" s="1119"/>
      <c r="I214" s="1120"/>
      <c r="J214" s="491" t="s">
        <v>142</v>
      </c>
    </row>
    <row r="215" spans="1:10">
      <c r="A215" s="496" t="s">
        <v>105</v>
      </c>
      <c r="B215" s="11">
        <v>88316</v>
      </c>
      <c r="C215" s="24" t="s">
        <v>24</v>
      </c>
      <c r="D215" s="24" t="s">
        <v>149</v>
      </c>
      <c r="E215" s="12">
        <v>2</v>
      </c>
      <c r="F215" s="24"/>
      <c r="G215" s="24"/>
      <c r="H215" s="24"/>
      <c r="I215" s="30">
        <v>21.05</v>
      </c>
      <c r="J215" s="510">
        <f>I215*E215</f>
        <v>42.1</v>
      </c>
    </row>
    <row r="216" spans="1:10">
      <c r="A216" s="1131"/>
      <c r="B216" s="1132"/>
      <c r="C216" s="1132"/>
      <c r="D216" s="1132"/>
      <c r="E216" s="1132"/>
      <c r="F216" s="1132" t="s">
        <v>150</v>
      </c>
      <c r="G216" s="1132"/>
      <c r="H216" s="1132"/>
      <c r="I216" s="1132"/>
      <c r="J216" s="511">
        <f>J215</f>
        <v>42.1</v>
      </c>
    </row>
    <row r="217" spans="1:10">
      <c r="A217" s="1083"/>
      <c r="B217" s="1084"/>
      <c r="C217" s="1084"/>
      <c r="D217" s="1084"/>
      <c r="E217" s="1084"/>
      <c r="F217" s="1084" t="s">
        <v>151</v>
      </c>
      <c r="G217" s="1084"/>
      <c r="H217" s="1084"/>
      <c r="I217" s="1084"/>
      <c r="J217" s="511">
        <v>0</v>
      </c>
    </row>
    <row r="218" spans="1:10">
      <c r="A218" s="1083"/>
      <c r="B218" s="1084"/>
      <c r="C218" s="1084"/>
      <c r="D218" s="1084"/>
      <c r="E218" s="1084"/>
      <c r="F218" s="1084" t="s">
        <v>152</v>
      </c>
      <c r="G218" s="1084"/>
      <c r="H218" s="1084"/>
      <c r="I218" s="1084"/>
      <c r="J218" s="511">
        <f>J216+J213</f>
        <v>413.11380000000003</v>
      </c>
    </row>
    <row r="219" spans="1:10">
      <c r="A219" s="1083"/>
      <c r="B219" s="1084"/>
      <c r="C219" s="1084"/>
      <c r="D219" s="1084"/>
      <c r="E219" s="1084"/>
      <c r="F219" s="1084" t="s">
        <v>153</v>
      </c>
      <c r="G219" s="1084"/>
      <c r="H219" s="1084"/>
      <c r="I219" s="1084"/>
      <c r="J219" s="511">
        <v>2.7200000000000002E-3</v>
      </c>
    </row>
    <row r="220" spans="1:10">
      <c r="A220" s="1083"/>
      <c r="B220" s="1084"/>
      <c r="C220" s="1084"/>
      <c r="D220" s="1084"/>
      <c r="E220" s="1084"/>
      <c r="F220" s="1084" t="s">
        <v>154</v>
      </c>
      <c r="G220" s="1084"/>
      <c r="H220" s="1084"/>
      <c r="I220" s="1084"/>
      <c r="J220" s="511">
        <v>1.1000000000000001E-3</v>
      </c>
    </row>
    <row r="221" spans="1:10">
      <c r="A221" s="1083"/>
      <c r="B221" s="1084"/>
      <c r="C221" s="1084"/>
      <c r="D221" s="1084"/>
      <c r="E221" s="1084"/>
      <c r="F221" s="1084" t="s">
        <v>155</v>
      </c>
      <c r="G221" s="1084"/>
      <c r="H221" s="1084"/>
      <c r="I221" s="1084"/>
      <c r="J221" s="511">
        <v>1038.46</v>
      </c>
    </row>
    <row r="222" spans="1:10">
      <c r="A222" s="1116"/>
      <c r="B222" s="1117"/>
      <c r="C222" s="1117"/>
      <c r="D222" s="1117"/>
      <c r="E222" s="1117"/>
      <c r="F222" s="1117" t="s">
        <v>156</v>
      </c>
      <c r="G222" s="1117"/>
      <c r="H222" s="1117"/>
      <c r="I222" s="1117"/>
      <c r="J222" s="511">
        <f>J218/J221</f>
        <v>0.39781387824278258</v>
      </c>
    </row>
    <row r="223" spans="1:10" ht="15">
      <c r="A223" s="490" t="s">
        <v>157</v>
      </c>
      <c r="B223" s="31" t="s">
        <v>8</v>
      </c>
      <c r="C223" s="26" t="s">
        <v>7</v>
      </c>
      <c r="D223" s="26" t="s">
        <v>108</v>
      </c>
      <c r="E223" s="29" t="s">
        <v>139</v>
      </c>
      <c r="F223" s="29" t="s">
        <v>158</v>
      </c>
      <c r="G223" s="1118" t="s">
        <v>159</v>
      </c>
      <c r="H223" s="1119"/>
      <c r="I223" s="1120"/>
      <c r="J223" s="491" t="s">
        <v>142</v>
      </c>
    </row>
    <row r="224" spans="1:10">
      <c r="A224" s="496" t="s">
        <v>105</v>
      </c>
      <c r="B224" s="11" t="s">
        <v>27</v>
      </c>
      <c r="C224" s="24" t="s">
        <v>267</v>
      </c>
      <c r="D224" s="24" t="s">
        <v>268</v>
      </c>
      <c r="E224" s="12">
        <v>1.2999999999999999E-3</v>
      </c>
      <c r="F224" s="11" t="s">
        <v>61</v>
      </c>
      <c r="G224" s="1121">
        <v>0</v>
      </c>
      <c r="H224" s="1122"/>
      <c r="I224" s="1123"/>
      <c r="J224" s="510">
        <v>0</v>
      </c>
    </row>
    <row r="225" spans="1:10">
      <c r="A225" s="1131"/>
      <c r="B225" s="1132"/>
      <c r="C225" s="1132"/>
      <c r="D225" s="1132"/>
      <c r="E225" s="1132"/>
      <c r="F225" s="1132" t="s">
        <v>160</v>
      </c>
      <c r="G225" s="1132"/>
      <c r="H225" s="1132"/>
      <c r="I225" s="1132"/>
      <c r="J225" s="511">
        <v>0</v>
      </c>
    </row>
    <row r="226" spans="1:10">
      <c r="A226" s="498"/>
      <c r="B226" s="20"/>
      <c r="C226" s="499"/>
      <c r="D226" s="499"/>
      <c r="E226" s="499" t="s">
        <v>116</v>
      </c>
      <c r="F226" s="500">
        <v>4.1187335092348287E-2</v>
      </c>
      <c r="G226" s="499" t="s">
        <v>117</v>
      </c>
      <c r="H226" s="500">
        <v>0</v>
      </c>
      <c r="I226" s="499" t="s">
        <v>118</v>
      </c>
      <c r="J226" s="501">
        <v>4.1187335092348287E-2</v>
      </c>
    </row>
    <row r="227" spans="1:10">
      <c r="A227" s="498"/>
      <c r="B227" s="20"/>
      <c r="C227" s="499"/>
      <c r="D227" s="499"/>
      <c r="E227" s="499" t="s">
        <v>119</v>
      </c>
      <c r="F227" s="500">
        <f>J227-J208</f>
        <v>8.3652240267511502E-2</v>
      </c>
      <c r="G227" s="499"/>
      <c r="H227" s="1082" t="s">
        <v>120</v>
      </c>
      <c r="I227" s="1082"/>
      <c r="J227" s="501">
        <f>J208*(1+G2)</f>
        <v>0.48256611851029407</v>
      </c>
    </row>
    <row r="228" spans="1:10" ht="15" thickBot="1">
      <c r="A228" s="503"/>
      <c r="B228" s="666"/>
      <c r="C228" s="14"/>
      <c r="D228" s="14"/>
      <c r="E228" s="14"/>
      <c r="F228" s="14"/>
      <c r="G228" s="14" t="s">
        <v>121</v>
      </c>
      <c r="H228" s="504">
        <f>'OBRA 02 - MEMÓRIA'!O43</f>
        <v>4127.808</v>
      </c>
      <c r="I228" s="14" t="s">
        <v>122</v>
      </c>
      <c r="J228" s="505">
        <f>TRUNC(H228*J227,2)</f>
        <v>1991.94</v>
      </c>
    </row>
    <row r="229" spans="1:10" ht="15" thickTop="1">
      <c r="A229" s="506"/>
      <c r="B229" s="230"/>
      <c r="C229" s="15"/>
      <c r="D229" s="15"/>
      <c r="E229" s="15"/>
      <c r="F229" s="15"/>
      <c r="G229" s="15"/>
      <c r="H229" s="15"/>
      <c r="I229" s="15"/>
      <c r="J229" s="507"/>
    </row>
    <row r="230" spans="1:10" ht="15">
      <c r="A230" s="490" t="s">
        <v>337</v>
      </c>
      <c r="B230" s="31" t="s">
        <v>7</v>
      </c>
      <c r="C230" s="26" t="s">
        <v>8</v>
      </c>
      <c r="D230" s="26" t="s">
        <v>9</v>
      </c>
      <c r="E230" s="1143" t="s">
        <v>92</v>
      </c>
      <c r="F230" s="1144"/>
      <c r="G230" s="31" t="s">
        <v>10</v>
      </c>
      <c r="H230" s="29" t="s">
        <v>11</v>
      </c>
      <c r="I230" s="29" t="s">
        <v>12</v>
      </c>
      <c r="J230" s="491" t="s">
        <v>14</v>
      </c>
    </row>
    <row r="231" spans="1:10">
      <c r="A231" s="492" t="s">
        <v>93</v>
      </c>
      <c r="B231" s="4" t="s">
        <v>63</v>
      </c>
      <c r="C231" s="27" t="s">
        <v>27</v>
      </c>
      <c r="D231" s="27" t="s">
        <v>564</v>
      </c>
      <c r="E231" s="1141" t="s">
        <v>136</v>
      </c>
      <c r="F231" s="1142"/>
      <c r="G231" s="4" t="s">
        <v>21</v>
      </c>
      <c r="H231" s="5">
        <v>1</v>
      </c>
      <c r="I231" s="6">
        <v>0.28000000000000003</v>
      </c>
      <c r="J231" s="610">
        <f>J245+J243</f>
        <v>0.27620920000000004</v>
      </c>
    </row>
    <row r="232" spans="1:10" ht="15">
      <c r="A232" s="1145" t="s">
        <v>137</v>
      </c>
      <c r="B232" s="1147" t="s">
        <v>7</v>
      </c>
      <c r="C232" s="1149" t="s">
        <v>8</v>
      </c>
      <c r="D232" s="1149" t="s">
        <v>138</v>
      </c>
      <c r="E232" s="1151" t="s">
        <v>139</v>
      </c>
      <c r="F232" s="1128" t="s">
        <v>140</v>
      </c>
      <c r="G232" s="1130"/>
      <c r="H232" s="1128" t="s">
        <v>141</v>
      </c>
      <c r="I232" s="1130"/>
      <c r="J232" s="1133" t="s">
        <v>142</v>
      </c>
    </row>
    <row r="233" spans="1:10" ht="15">
      <c r="A233" s="1146"/>
      <c r="B233" s="1148"/>
      <c r="C233" s="1150"/>
      <c r="D233" s="1150"/>
      <c r="E233" s="1152"/>
      <c r="F233" s="29" t="s">
        <v>143</v>
      </c>
      <c r="G233" s="29" t="s">
        <v>144</v>
      </c>
      <c r="H233" s="29" t="s">
        <v>143</v>
      </c>
      <c r="I233" s="29" t="s">
        <v>144</v>
      </c>
      <c r="J233" s="1134"/>
    </row>
    <row r="234" spans="1:10" ht="25.5">
      <c r="A234" s="496" t="s">
        <v>105</v>
      </c>
      <c r="B234" s="11" t="s">
        <v>263</v>
      </c>
      <c r="C234" s="24" t="s">
        <v>27</v>
      </c>
      <c r="D234" s="24" t="s">
        <v>264</v>
      </c>
      <c r="E234" s="12">
        <v>1</v>
      </c>
      <c r="F234" s="13">
        <v>1</v>
      </c>
      <c r="G234" s="13">
        <v>0</v>
      </c>
      <c r="H234" s="30">
        <v>255.0376</v>
      </c>
      <c r="I234" s="30">
        <v>74.468100000000007</v>
      </c>
      <c r="J234" s="510">
        <f>E234*(F234*H234+G234*I234)</f>
        <v>255.0376</v>
      </c>
    </row>
    <row r="235" spans="1:10">
      <c r="A235" s="496" t="s">
        <v>105</v>
      </c>
      <c r="B235" s="11" t="s">
        <v>265</v>
      </c>
      <c r="C235" s="24" t="s">
        <v>27</v>
      </c>
      <c r="D235" s="24" t="s">
        <v>266</v>
      </c>
      <c r="E235" s="12">
        <v>2</v>
      </c>
      <c r="F235" s="13">
        <v>1</v>
      </c>
      <c r="G235" s="13">
        <v>0</v>
      </c>
      <c r="H235" s="30">
        <v>57.988100000000003</v>
      </c>
      <c r="I235" s="30">
        <v>39.610100000000003</v>
      </c>
      <c r="J235" s="510">
        <f>E235*(F235*H235+G235*I235)</f>
        <v>115.97620000000001</v>
      </c>
    </row>
    <row r="236" spans="1:10">
      <c r="A236" s="1124"/>
      <c r="B236" s="1125"/>
      <c r="C236" s="1125"/>
      <c r="D236" s="1125"/>
      <c r="E236" s="1125"/>
      <c r="F236" s="1125" t="s">
        <v>145</v>
      </c>
      <c r="G236" s="1125"/>
      <c r="H236" s="1125"/>
      <c r="I236" s="1125"/>
      <c r="J236" s="511">
        <f>SUM(J234:J235)</f>
        <v>371.0138</v>
      </c>
    </row>
    <row r="237" spans="1:10" ht="15">
      <c r="A237" s="490" t="s">
        <v>146</v>
      </c>
      <c r="B237" s="31" t="s">
        <v>7</v>
      </c>
      <c r="C237" s="26" t="s">
        <v>8</v>
      </c>
      <c r="D237" s="26" t="s">
        <v>147</v>
      </c>
      <c r="E237" s="29" t="s">
        <v>139</v>
      </c>
      <c r="F237" s="1118" t="s">
        <v>148</v>
      </c>
      <c r="G237" s="1119"/>
      <c r="H237" s="1119"/>
      <c r="I237" s="1120"/>
      <c r="J237" s="491" t="s">
        <v>142</v>
      </c>
    </row>
    <row r="238" spans="1:10">
      <c r="A238" s="496" t="s">
        <v>105</v>
      </c>
      <c r="B238" s="11">
        <v>88316</v>
      </c>
      <c r="C238" s="24" t="s">
        <v>633</v>
      </c>
      <c r="D238" s="24" t="s">
        <v>149</v>
      </c>
      <c r="E238" s="12">
        <v>2</v>
      </c>
      <c r="F238" s="24"/>
      <c r="G238" s="24"/>
      <c r="H238" s="24"/>
      <c r="I238" s="30">
        <v>21.05</v>
      </c>
      <c r="J238" s="510">
        <f>I238*E238</f>
        <v>42.1</v>
      </c>
    </row>
    <row r="239" spans="1:10">
      <c r="A239" s="1131"/>
      <c r="B239" s="1132"/>
      <c r="C239" s="1132"/>
      <c r="D239" s="1132"/>
      <c r="E239" s="1132"/>
      <c r="F239" s="1132" t="s">
        <v>150</v>
      </c>
      <c r="G239" s="1132"/>
      <c r="H239" s="1132"/>
      <c r="I239" s="1132"/>
      <c r="J239" s="511">
        <f>J238</f>
        <v>42.1</v>
      </c>
    </row>
    <row r="240" spans="1:10">
      <c r="A240" s="1083"/>
      <c r="B240" s="1084"/>
      <c r="C240" s="1084"/>
      <c r="D240" s="1084"/>
      <c r="E240" s="1084"/>
      <c r="F240" s="1084" t="s">
        <v>151</v>
      </c>
      <c r="G240" s="1084"/>
      <c r="H240" s="1084"/>
      <c r="I240" s="1084"/>
      <c r="J240" s="511">
        <v>0</v>
      </c>
    </row>
    <row r="241" spans="1:10">
      <c r="A241" s="1083"/>
      <c r="B241" s="1084"/>
      <c r="C241" s="1084"/>
      <c r="D241" s="1084"/>
      <c r="E241" s="1084"/>
      <c r="F241" s="1084" t="s">
        <v>152</v>
      </c>
      <c r="G241" s="1084"/>
      <c r="H241" s="1084"/>
      <c r="I241" s="1084"/>
      <c r="J241" s="511">
        <f>J239+J236</f>
        <v>413.11380000000003</v>
      </c>
    </row>
    <row r="242" spans="1:10">
      <c r="A242" s="1083"/>
      <c r="B242" s="1084"/>
      <c r="C242" s="1084"/>
      <c r="D242" s="1084"/>
      <c r="E242" s="1084"/>
      <c r="F242" s="1084" t="s">
        <v>153</v>
      </c>
      <c r="G242" s="1084"/>
      <c r="H242" s="1084"/>
      <c r="I242" s="1084"/>
      <c r="J242" s="511">
        <v>2.7000000000000001E-3</v>
      </c>
    </row>
    <row r="243" spans="1:10">
      <c r="A243" s="1083"/>
      <c r="B243" s="1084"/>
      <c r="C243" s="1084"/>
      <c r="D243" s="1084"/>
      <c r="E243" s="1084"/>
      <c r="F243" s="1084" t="s">
        <v>154</v>
      </c>
      <c r="G243" s="1084"/>
      <c r="H243" s="1084"/>
      <c r="I243" s="1084"/>
      <c r="J243" s="511">
        <v>8.0000000000000004E-4</v>
      </c>
    </row>
    <row r="244" spans="1:10">
      <c r="A244" s="1083"/>
      <c r="B244" s="1084"/>
      <c r="C244" s="1084"/>
      <c r="D244" s="1084"/>
      <c r="E244" s="1084"/>
      <c r="F244" s="1084" t="s">
        <v>155</v>
      </c>
      <c r="G244" s="1084"/>
      <c r="H244" s="1084"/>
      <c r="I244" s="1084"/>
      <c r="J244" s="511">
        <v>1500</v>
      </c>
    </row>
    <row r="245" spans="1:10">
      <c r="A245" s="1116"/>
      <c r="B245" s="1117"/>
      <c r="C245" s="1117"/>
      <c r="D245" s="1117"/>
      <c r="E245" s="1117"/>
      <c r="F245" s="1117" t="s">
        <v>156</v>
      </c>
      <c r="G245" s="1117"/>
      <c r="H245" s="1117"/>
      <c r="I245" s="1117"/>
      <c r="J245" s="511">
        <f>J241/J244</f>
        <v>0.27540920000000002</v>
      </c>
    </row>
    <row r="246" spans="1:10" ht="15">
      <c r="A246" s="490" t="s">
        <v>157</v>
      </c>
      <c r="B246" s="31" t="s">
        <v>8</v>
      </c>
      <c r="C246" s="26" t="s">
        <v>7</v>
      </c>
      <c r="D246" s="26" t="s">
        <v>108</v>
      </c>
      <c r="E246" s="29" t="s">
        <v>139</v>
      </c>
      <c r="F246" s="29" t="s">
        <v>158</v>
      </c>
      <c r="G246" s="1118" t="s">
        <v>159</v>
      </c>
      <c r="H246" s="1119"/>
      <c r="I246" s="1120"/>
      <c r="J246" s="491" t="s">
        <v>142</v>
      </c>
    </row>
    <row r="247" spans="1:10">
      <c r="A247" s="496" t="s">
        <v>105</v>
      </c>
      <c r="B247" s="11" t="s">
        <v>27</v>
      </c>
      <c r="C247" s="24" t="s">
        <v>269</v>
      </c>
      <c r="D247" s="24" t="s">
        <v>270</v>
      </c>
      <c r="E247" s="12">
        <v>4.4999999999999999E-4</v>
      </c>
      <c r="F247" s="11" t="s">
        <v>61</v>
      </c>
      <c r="G247" s="1121">
        <v>0</v>
      </c>
      <c r="H247" s="1122"/>
      <c r="I247" s="1123"/>
      <c r="J247" s="510">
        <v>0</v>
      </c>
    </row>
    <row r="248" spans="1:10">
      <c r="A248" s="1131"/>
      <c r="B248" s="1132"/>
      <c r="C248" s="1132"/>
      <c r="D248" s="1132"/>
      <c r="E248" s="1132"/>
      <c r="F248" s="1132" t="s">
        <v>160</v>
      </c>
      <c r="G248" s="1132"/>
      <c r="H248" s="1132"/>
      <c r="I248" s="1132"/>
      <c r="J248" s="511">
        <v>0</v>
      </c>
    </row>
    <row r="249" spans="1:10">
      <c r="A249" s="498"/>
      <c r="B249" s="20"/>
      <c r="C249" s="499"/>
      <c r="D249" s="499"/>
      <c r="E249" s="499" t="s">
        <v>116</v>
      </c>
      <c r="F249" s="500">
        <v>2.8514266666666666E-2</v>
      </c>
      <c r="G249" s="499" t="s">
        <v>117</v>
      </c>
      <c r="H249" s="500">
        <v>0</v>
      </c>
      <c r="I249" s="499" t="s">
        <v>118</v>
      </c>
      <c r="J249" s="501">
        <v>2.8514266666666666E-2</v>
      </c>
    </row>
    <row r="250" spans="1:10">
      <c r="A250" s="498"/>
      <c r="B250" s="20"/>
      <c r="C250" s="499"/>
      <c r="D250" s="499"/>
      <c r="E250" s="499" t="s">
        <v>119</v>
      </c>
      <c r="F250" s="500">
        <f>J250-J231</f>
        <v>5.7921069240000012E-2</v>
      </c>
      <c r="G250" s="499"/>
      <c r="H250" s="1082" t="s">
        <v>120</v>
      </c>
      <c r="I250" s="1082"/>
      <c r="J250" s="611">
        <f>J231*(1+G2)</f>
        <v>0.33413026924000006</v>
      </c>
    </row>
    <row r="251" spans="1:10" ht="15" thickBot="1">
      <c r="A251" s="503"/>
      <c r="B251" s="666"/>
      <c r="C251" s="14"/>
      <c r="D251" s="14"/>
      <c r="E251" s="14"/>
      <c r="F251" s="14"/>
      <c r="G251" s="14" t="s">
        <v>121</v>
      </c>
      <c r="H251" s="504">
        <f>'OBRA 02 - MEMÓRIA'!O45</f>
        <v>8421.8116000000009</v>
      </c>
      <c r="I251" s="14" t="s">
        <v>122</v>
      </c>
      <c r="J251" s="505">
        <f>TRUNC(H251*J250,2)</f>
        <v>2813.98</v>
      </c>
    </row>
    <row r="252" spans="1:10" ht="15" thickTop="1">
      <c r="A252" s="506"/>
      <c r="B252" s="230"/>
      <c r="C252" s="15"/>
      <c r="D252" s="15"/>
      <c r="E252" s="15"/>
      <c r="F252" s="15"/>
      <c r="G252" s="15"/>
      <c r="H252" s="15"/>
      <c r="I252" s="15"/>
      <c r="J252" s="507"/>
    </row>
    <row r="253" spans="1:10" ht="15">
      <c r="A253" s="490" t="s">
        <v>338</v>
      </c>
      <c r="B253" s="31" t="s">
        <v>7</v>
      </c>
      <c r="C253" s="26" t="s">
        <v>8</v>
      </c>
      <c r="D253" s="26" t="s">
        <v>9</v>
      </c>
      <c r="E253" s="1143" t="s">
        <v>92</v>
      </c>
      <c r="F253" s="1144"/>
      <c r="G253" s="31" t="s">
        <v>10</v>
      </c>
      <c r="H253" s="29" t="s">
        <v>11</v>
      </c>
      <c r="I253" s="29" t="s">
        <v>12</v>
      </c>
      <c r="J253" s="491" t="s">
        <v>14</v>
      </c>
    </row>
    <row r="254" spans="1:10">
      <c r="A254" s="492" t="s">
        <v>93</v>
      </c>
      <c r="B254" s="4" t="s">
        <v>60</v>
      </c>
      <c r="C254" s="27" t="s">
        <v>27</v>
      </c>
      <c r="D254" s="27" t="s">
        <v>565</v>
      </c>
      <c r="E254" s="1141" t="s">
        <v>136</v>
      </c>
      <c r="F254" s="1142"/>
      <c r="G254" s="4" t="s">
        <v>61</v>
      </c>
      <c r="H254" s="5">
        <v>1</v>
      </c>
      <c r="I254" s="6">
        <v>193.45</v>
      </c>
      <c r="J254" s="493">
        <f>J269+J267+J272+J275</f>
        <v>196.22979753012049</v>
      </c>
    </row>
    <row r="255" spans="1:10" ht="15">
      <c r="A255" s="1145" t="s">
        <v>137</v>
      </c>
      <c r="B255" s="1147" t="s">
        <v>7</v>
      </c>
      <c r="C255" s="1149" t="s">
        <v>8</v>
      </c>
      <c r="D255" s="1149" t="s">
        <v>138</v>
      </c>
      <c r="E255" s="1151" t="s">
        <v>139</v>
      </c>
      <c r="F255" s="1128" t="s">
        <v>140</v>
      </c>
      <c r="G255" s="1130"/>
      <c r="H255" s="1128" t="s">
        <v>141</v>
      </c>
      <c r="I255" s="1130"/>
      <c r="J255" s="1133" t="s">
        <v>142</v>
      </c>
    </row>
    <row r="256" spans="1:10" ht="15">
      <c r="A256" s="1146"/>
      <c r="B256" s="1148"/>
      <c r="C256" s="1150"/>
      <c r="D256" s="1150"/>
      <c r="E256" s="1152"/>
      <c r="F256" s="29" t="s">
        <v>143</v>
      </c>
      <c r="G256" s="29" t="s">
        <v>144</v>
      </c>
      <c r="H256" s="29" t="s">
        <v>143</v>
      </c>
      <c r="I256" s="29" t="s">
        <v>144</v>
      </c>
      <c r="J256" s="1134"/>
    </row>
    <row r="257" spans="1:10">
      <c r="A257" s="496" t="s">
        <v>105</v>
      </c>
      <c r="B257" s="11" t="s">
        <v>247</v>
      </c>
      <c r="C257" s="24" t="s">
        <v>27</v>
      </c>
      <c r="D257" s="24" t="s">
        <v>248</v>
      </c>
      <c r="E257" s="12">
        <v>1</v>
      </c>
      <c r="F257" s="13">
        <v>0.71</v>
      </c>
      <c r="G257" s="13">
        <v>0.28999999999999998</v>
      </c>
      <c r="H257" s="30">
        <v>253.07490000000001</v>
      </c>
      <c r="I257" s="30">
        <v>123.47490000000001</v>
      </c>
      <c r="J257" s="510">
        <f>E257*(F257*H257+G257*I257)</f>
        <v>215.49090000000001</v>
      </c>
    </row>
    <row r="258" spans="1:10">
      <c r="A258" s="496" t="s">
        <v>105</v>
      </c>
      <c r="B258" s="11" t="s">
        <v>249</v>
      </c>
      <c r="C258" s="24" t="s">
        <v>27</v>
      </c>
      <c r="D258" s="24" t="s">
        <v>250</v>
      </c>
      <c r="E258" s="12">
        <v>1</v>
      </c>
      <c r="F258" s="13">
        <v>0.82</v>
      </c>
      <c r="G258" s="13">
        <v>0.18</v>
      </c>
      <c r="H258" s="30">
        <v>282.21789999999999</v>
      </c>
      <c r="I258" s="30">
        <v>107.3302</v>
      </c>
      <c r="J258" s="510">
        <f t="shared" ref="J258:J259" si="11">E258*(F258*H258+G258*I258)</f>
        <v>250.73811399999997</v>
      </c>
    </row>
    <row r="259" spans="1:10">
      <c r="A259" s="496" t="s">
        <v>105</v>
      </c>
      <c r="B259" s="11" t="s">
        <v>251</v>
      </c>
      <c r="C259" s="24" t="s">
        <v>27</v>
      </c>
      <c r="D259" s="24" t="s">
        <v>252</v>
      </c>
      <c r="E259" s="12">
        <v>1</v>
      </c>
      <c r="F259" s="13">
        <v>1</v>
      </c>
      <c r="G259" s="13">
        <v>0</v>
      </c>
      <c r="H259" s="30">
        <v>613.91650000000004</v>
      </c>
      <c r="I259" s="30">
        <v>291.87169999999998</v>
      </c>
      <c r="J259" s="510">
        <f t="shared" si="11"/>
        <v>613.91650000000004</v>
      </c>
    </row>
    <row r="260" spans="1:10">
      <c r="A260" s="1124"/>
      <c r="B260" s="1125"/>
      <c r="C260" s="1125"/>
      <c r="D260" s="1125"/>
      <c r="E260" s="1125"/>
      <c r="F260" s="1125" t="s">
        <v>145</v>
      </c>
      <c r="G260" s="1125"/>
      <c r="H260" s="1125"/>
      <c r="I260" s="1125"/>
      <c r="J260" s="511">
        <f>SUM(J257:J259)</f>
        <v>1080.145514</v>
      </c>
    </row>
    <row r="261" spans="1:10" ht="15">
      <c r="A261" s="490" t="s">
        <v>146</v>
      </c>
      <c r="B261" s="31" t="s">
        <v>7</v>
      </c>
      <c r="C261" s="26" t="s">
        <v>8</v>
      </c>
      <c r="D261" s="26" t="s">
        <v>147</v>
      </c>
      <c r="E261" s="29" t="s">
        <v>139</v>
      </c>
      <c r="F261" s="1118" t="s">
        <v>148</v>
      </c>
      <c r="G261" s="1119"/>
      <c r="H261" s="1119"/>
      <c r="I261" s="1120"/>
      <c r="J261" s="491" t="s">
        <v>142</v>
      </c>
    </row>
    <row r="262" spans="1:10">
      <c r="A262" s="496" t="s">
        <v>105</v>
      </c>
      <c r="B262" s="11">
        <v>88316</v>
      </c>
      <c r="C262" s="24" t="s">
        <v>633</v>
      </c>
      <c r="D262" s="24" t="s">
        <v>149</v>
      </c>
      <c r="E262" s="12">
        <v>8</v>
      </c>
      <c r="F262" s="24"/>
      <c r="G262" s="24"/>
      <c r="H262" s="24"/>
      <c r="I262" s="30">
        <v>21.05</v>
      </c>
      <c r="J262" s="510">
        <f>I262*E262</f>
        <v>168.4</v>
      </c>
    </row>
    <row r="263" spans="1:10">
      <c r="A263" s="1131"/>
      <c r="B263" s="1132"/>
      <c r="C263" s="1132"/>
      <c r="D263" s="1132"/>
      <c r="E263" s="1132"/>
      <c r="F263" s="1132" t="s">
        <v>150</v>
      </c>
      <c r="G263" s="1132"/>
      <c r="H263" s="1132"/>
      <c r="I263" s="1132"/>
      <c r="J263" s="511">
        <f>J262</f>
        <v>168.4</v>
      </c>
    </row>
    <row r="264" spans="1:10">
      <c r="A264" s="1083"/>
      <c r="B264" s="1084"/>
      <c r="C264" s="1084"/>
      <c r="D264" s="1084"/>
      <c r="E264" s="1084"/>
      <c r="F264" s="1084" t="s">
        <v>151</v>
      </c>
      <c r="G264" s="1084"/>
      <c r="H264" s="1084"/>
      <c r="I264" s="1084"/>
      <c r="J264" s="511">
        <v>0</v>
      </c>
    </row>
    <row r="265" spans="1:10">
      <c r="A265" s="1083"/>
      <c r="B265" s="1084"/>
      <c r="C265" s="1084"/>
      <c r="D265" s="1084"/>
      <c r="E265" s="1084"/>
      <c r="F265" s="1084" t="s">
        <v>152</v>
      </c>
      <c r="G265" s="1084"/>
      <c r="H265" s="1084"/>
      <c r="I265" s="1084"/>
      <c r="J265" s="511">
        <f>J263+J260</f>
        <v>1248.5455140000001</v>
      </c>
    </row>
    <row r="266" spans="1:10">
      <c r="A266" s="1083"/>
      <c r="B266" s="1084"/>
      <c r="C266" s="1084"/>
      <c r="D266" s="1084"/>
      <c r="E266" s="1084"/>
      <c r="F266" s="1084" t="s">
        <v>153</v>
      </c>
      <c r="G266" s="1084"/>
      <c r="H266" s="1084"/>
      <c r="I266" s="1084"/>
      <c r="J266" s="511">
        <v>2.7000000000000001E-3</v>
      </c>
    </row>
    <row r="267" spans="1:10">
      <c r="A267" s="1083"/>
      <c r="B267" s="1084"/>
      <c r="C267" s="1084"/>
      <c r="D267" s="1084"/>
      <c r="E267" s="1084"/>
      <c r="F267" s="1084" t="s">
        <v>154</v>
      </c>
      <c r="G267" s="1084"/>
      <c r="H267" s="1084"/>
      <c r="I267" s="1084"/>
      <c r="J267" s="511">
        <v>3.4200000000000001E-2</v>
      </c>
    </row>
    <row r="268" spans="1:10">
      <c r="A268" s="1083"/>
      <c r="B268" s="1084"/>
      <c r="C268" s="1084"/>
      <c r="D268" s="1084"/>
      <c r="E268" s="1084"/>
      <c r="F268" s="1084" t="s">
        <v>155</v>
      </c>
      <c r="G268" s="1084"/>
      <c r="H268" s="1084"/>
      <c r="I268" s="1084"/>
      <c r="J268" s="511">
        <v>99.6</v>
      </c>
    </row>
    <row r="269" spans="1:10">
      <c r="A269" s="1116"/>
      <c r="B269" s="1117"/>
      <c r="C269" s="1117"/>
      <c r="D269" s="1117"/>
      <c r="E269" s="1117"/>
      <c r="F269" s="1117" t="s">
        <v>156</v>
      </c>
      <c r="G269" s="1117"/>
      <c r="H269" s="1117"/>
      <c r="I269" s="1117"/>
      <c r="J269" s="511">
        <f>J265/J268</f>
        <v>12.535597530120484</v>
      </c>
    </row>
    <row r="270" spans="1:10" ht="15">
      <c r="A270" s="490" t="s">
        <v>253</v>
      </c>
      <c r="B270" s="31" t="s">
        <v>8</v>
      </c>
      <c r="C270" s="26" t="s">
        <v>7</v>
      </c>
      <c r="D270" s="26" t="s">
        <v>254</v>
      </c>
      <c r="E270" s="29" t="s">
        <v>139</v>
      </c>
      <c r="F270" s="29" t="s">
        <v>158</v>
      </c>
      <c r="G270" s="1118" t="s">
        <v>159</v>
      </c>
      <c r="H270" s="1119"/>
      <c r="I270" s="1120"/>
      <c r="J270" s="491" t="s">
        <v>142</v>
      </c>
    </row>
    <row r="271" spans="1:10" ht="25.5">
      <c r="A271" s="494" t="s">
        <v>255</v>
      </c>
      <c r="B271" s="8" t="s">
        <v>27</v>
      </c>
      <c r="C271" s="23">
        <v>6416078</v>
      </c>
      <c r="D271" s="23" t="s">
        <v>256</v>
      </c>
      <c r="E271" s="9">
        <v>1</v>
      </c>
      <c r="F271" s="8" t="s">
        <v>61</v>
      </c>
      <c r="G271" s="1126">
        <v>175.77</v>
      </c>
      <c r="H271" s="1155"/>
      <c r="I271" s="1127"/>
      <c r="J271" s="514">
        <f>G271*E271</f>
        <v>175.77</v>
      </c>
    </row>
    <row r="272" spans="1:10">
      <c r="A272" s="1124"/>
      <c r="B272" s="1125"/>
      <c r="C272" s="1125"/>
      <c r="D272" s="1125"/>
      <c r="E272" s="1125"/>
      <c r="F272" s="1125" t="s">
        <v>257</v>
      </c>
      <c r="G272" s="1125"/>
      <c r="H272" s="1125"/>
      <c r="I272" s="1125"/>
      <c r="J272" s="511">
        <f>J271</f>
        <v>175.77</v>
      </c>
    </row>
    <row r="273" spans="1:10" ht="15">
      <c r="A273" s="490" t="s">
        <v>161</v>
      </c>
      <c r="B273" s="31" t="s">
        <v>8</v>
      </c>
      <c r="C273" s="26" t="s">
        <v>105</v>
      </c>
      <c r="D273" s="26" t="s">
        <v>162</v>
      </c>
      <c r="E273" s="29" t="s">
        <v>7</v>
      </c>
      <c r="F273" s="29" t="s">
        <v>139</v>
      </c>
      <c r="G273" s="31" t="s">
        <v>158</v>
      </c>
      <c r="H273" s="1118" t="s">
        <v>159</v>
      </c>
      <c r="I273" s="1120"/>
      <c r="J273" s="491" t="s">
        <v>142</v>
      </c>
    </row>
    <row r="274" spans="1:10" ht="38.25">
      <c r="A274" s="494" t="s">
        <v>163</v>
      </c>
      <c r="B274" s="8" t="s">
        <v>27</v>
      </c>
      <c r="C274" s="23">
        <v>6416078</v>
      </c>
      <c r="D274" s="23" t="s">
        <v>258</v>
      </c>
      <c r="E274" s="7">
        <v>5914649</v>
      </c>
      <c r="F274" s="9">
        <v>1</v>
      </c>
      <c r="G274" s="8" t="s">
        <v>61</v>
      </c>
      <c r="H274" s="1126">
        <v>7.89</v>
      </c>
      <c r="I274" s="1127"/>
      <c r="J274" s="514">
        <f>H274*F274</f>
        <v>7.89</v>
      </c>
    </row>
    <row r="275" spans="1:10">
      <c r="A275" s="1124"/>
      <c r="B275" s="1125"/>
      <c r="C275" s="1125"/>
      <c r="D275" s="1125"/>
      <c r="E275" s="1125"/>
      <c r="F275" s="1125" t="s">
        <v>164</v>
      </c>
      <c r="G275" s="1125"/>
      <c r="H275" s="1125"/>
      <c r="I275" s="1125"/>
      <c r="J275" s="511">
        <f>J274</f>
        <v>7.89</v>
      </c>
    </row>
    <row r="276" spans="1:10" ht="15">
      <c r="A276" s="490" t="s">
        <v>165</v>
      </c>
      <c r="B276" s="31" t="s">
        <v>8</v>
      </c>
      <c r="C276" s="26" t="s">
        <v>105</v>
      </c>
      <c r="D276" s="26" t="s">
        <v>166</v>
      </c>
      <c r="E276" s="29" t="s">
        <v>139</v>
      </c>
      <c r="F276" s="29" t="s">
        <v>158</v>
      </c>
      <c r="G276" s="1128" t="s">
        <v>167</v>
      </c>
      <c r="H276" s="1129"/>
      <c r="I276" s="1130"/>
      <c r="J276" s="491" t="s">
        <v>142</v>
      </c>
    </row>
    <row r="277" spans="1:10" ht="15">
      <c r="A277" s="515"/>
      <c r="B277" s="31"/>
      <c r="C277" s="31"/>
      <c r="D277" s="31"/>
      <c r="E277" s="31"/>
      <c r="F277" s="31"/>
      <c r="G277" s="31" t="s">
        <v>168</v>
      </c>
      <c r="H277" s="31" t="s">
        <v>169</v>
      </c>
      <c r="I277" s="31" t="s">
        <v>170</v>
      </c>
      <c r="J277" s="516"/>
    </row>
    <row r="278" spans="1:10" ht="38.25">
      <c r="A278" s="494" t="s">
        <v>166</v>
      </c>
      <c r="B278" s="8" t="s">
        <v>27</v>
      </c>
      <c r="C278" s="23">
        <v>6416078</v>
      </c>
      <c r="D278" s="23" t="s">
        <v>259</v>
      </c>
      <c r="E278" s="9">
        <v>1</v>
      </c>
      <c r="F278" s="8" t="s">
        <v>171</v>
      </c>
      <c r="G278" s="7" t="s">
        <v>260</v>
      </c>
      <c r="H278" s="7" t="s">
        <v>261</v>
      </c>
      <c r="I278" s="7" t="s">
        <v>262</v>
      </c>
      <c r="J278" s="514">
        <v>0</v>
      </c>
    </row>
    <row r="279" spans="1:10">
      <c r="A279" s="1131"/>
      <c r="B279" s="1132"/>
      <c r="C279" s="1132"/>
      <c r="D279" s="1132"/>
      <c r="E279" s="1132"/>
      <c r="F279" s="1132" t="s">
        <v>172</v>
      </c>
      <c r="G279" s="1132"/>
      <c r="H279" s="1132"/>
      <c r="I279" s="1132"/>
      <c r="J279" s="511">
        <v>0</v>
      </c>
    </row>
    <row r="280" spans="1:10">
      <c r="A280" s="498"/>
      <c r="B280" s="20"/>
      <c r="C280" s="499"/>
      <c r="D280" s="499"/>
      <c r="E280" s="499" t="s">
        <v>116</v>
      </c>
      <c r="F280" s="500">
        <v>2.576590361445783</v>
      </c>
      <c r="G280" s="499" t="s">
        <v>117</v>
      </c>
      <c r="H280" s="500">
        <v>0</v>
      </c>
      <c r="I280" s="499" t="s">
        <v>118</v>
      </c>
      <c r="J280" s="501">
        <v>2.576590361445783</v>
      </c>
    </row>
    <row r="281" spans="1:10">
      <c r="A281" s="498"/>
      <c r="B281" s="20"/>
      <c r="C281" s="499"/>
      <c r="D281" s="499"/>
      <c r="E281" s="499" t="s">
        <v>119</v>
      </c>
      <c r="F281" s="500">
        <f>J281-J254</f>
        <v>41.149388542066276</v>
      </c>
      <c r="G281" s="499"/>
      <c r="H281" s="1082" t="s">
        <v>120</v>
      </c>
      <c r="I281" s="1082"/>
      <c r="J281" s="501">
        <f>J254*(1+G2)</f>
        <v>237.37918607218677</v>
      </c>
    </row>
    <row r="282" spans="1:10" ht="15" thickBot="1">
      <c r="A282" s="503"/>
      <c r="B282" s="666"/>
      <c r="C282" s="14"/>
      <c r="D282" s="14"/>
      <c r="E282" s="14"/>
      <c r="F282" s="14"/>
      <c r="G282" s="14" t="s">
        <v>121</v>
      </c>
      <c r="H282" s="504">
        <f>'OBRA 02 - MEMÓRIA'!O48</f>
        <v>1010.617392</v>
      </c>
      <c r="I282" s="14" t="s">
        <v>122</v>
      </c>
      <c r="J282" s="505">
        <f>TRUNC(H282*J281,2)</f>
        <v>239899.53</v>
      </c>
    </row>
    <row r="283" spans="1:10" ht="15" thickTop="1">
      <c r="A283" s="506"/>
      <c r="B283" s="230"/>
      <c r="C283" s="15"/>
      <c r="D283" s="15"/>
      <c r="E283" s="15"/>
      <c r="F283" s="15"/>
      <c r="G283" s="15"/>
      <c r="H283" s="15"/>
      <c r="I283" s="15"/>
      <c r="J283" s="507"/>
    </row>
    <row r="284" spans="1:10" ht="15">
      <c r="A284" s="490" t="s">
        <v>339</v>
      </c>
      <c r="B284" s="31" t="s">
        <v>7</v>
      </c>
      <c r="C284" s="26" t="s">
        <v>8</v>
      </c>
      <c r="D284" s="26" t="s">
        <v>9</v>
      </c>
      <c r="E284" s="1143" t="s">
        <v>92</v>
      </c>
      <c r="F284" s="1144"/>
      <c r="G284" s="31" t="s">
        <v>10</v>
      </c>
      <c r="H284" s="29" t="s">
        <v>11</v>
      </c>
      <c r="I284" s="29" t="s">
        <v>12</v>
      </c>
      <c r="J284" s="491" t="s">
        <v>14</v>
      </c>
    </row>
    <row r="285" spans="1:10" ht="25.5">
      <c r="A285" s="492" t="s">
        <v>93</v>
      </c>
      <c r="B285" s="4" t="s">
        <v>56</v>
      </c>
      <c r="C285" s="27" t="s">
        <v>24</v>
      </c>
      <c r="D285" s="27" t="s">
        <v>418</v>
      </c>
      <c r="E285" s="1141" t="s">
        <v>184</v>
      </c>
      <c r="F285" s="1142"/>
      <c r="G285" s="4" t="s">
        <v>36</v>
      </c>
      <c r="H285" s="5">
        <v>1</v>
      </c>
      <c r="I285" s="6">
        <v>2.46</v>
      </c>
      <c r="J285" s="493">
        <f>SUM(J286:J287)</f>
        <v>2.4911820000000002</v>
      </c>
    </row>
    <row r="286" spans="1:10" ht="51">
      <c r="A286" s="494" t="s">
        <v>95</v>
      </c>
      <c r="B286" s="8" t="s">
        <v>233</v>
      </c>
      <c r="C286" s="23" t="s">
        <v>24</v>
      </c>
      <c r="D286" s="23" t="s">
        <v>234</v>
      </c>
      <c r="E286" s="1135" t="s">
        <v>125</v>
      </c>
      <c r="F286" s="1136"/>
      <c r="G286" s="8" t="s">
        <v>126</v>
      </c>
      <c r="H286" s="9">
        <v>8.3000000000000001E-3</v>
      </c>
      <c r="I286" s="10">
        <v>268.74</v>
      </c>
      <c r="J286" s="495">
        <f>I286*H286</f>
        <v>2.2305420000000002</v>
      </c>
    </row>
    <row r="287" spans="1:10" ht="51">
      <c r="A287" s="494" t="s">
        <v>95</v>
      </c>
      <c r="B287" s="8" t="s">
        <v>235</v>
      </c>
      <c r="C287" s="23" t="s">
        <v>24</v>
      </c>
      <c r="D287" s="23" t="s">
        <v>236</v>
      </c>
      <c r="E287" s="1135" t="s">
        <v>125</v>
      </c>
      <c r="F287" s="1136"/>
      <c r="G287" s="8" t="s">
        <v>129</v>
      </c>
      <c r="H287" s="9">
        <v>3.5999999999999999E-3</v>
      </c>
      <c r="I287" s="10">
        <v>72.400000000000006</v>
      </c>
      <c r="J287" s="495">
        <f>I287*H287</f>
        <v>0.26064000000000004</v>
      </c>
    </row>
    <row r="288" spans="1:10">
      <c r="A288" s="498"/>
      <c r="B288" s="20"/>
      <c r="C288" s="499"/>
      <c r="D288" s="499"/>
      <c r="E288" s="499" t="s">
        <v>116</v>
      </c>
      <c r="F288" s="500">
        <v>0.24000000000000002</v>
      </c>
      <c r="G288" s="499" t="s">
        <v>117</v>
      </c>
      <c r="H288" s="500">
        <v>0</v>
      </c>
      <c r="I288" s="499" t="s">
        <v>118</v>
      </c>
      <c r="J288" s="501">
        <v>0.24000000000000002</v>
      </c>
    </row>
    <row r="289" spans="1:10">
      <c r="A289" s="498"/>
      <c r="B289" s="20"/>
      <c r="C289" s="499"/>
      <c r="D289" s="499"/>
      <c r="E289" s="499" t="s">
        <v>119</v>
      </c>
      <c r="F289" s="500">
        <f>J289-J285</f>
        <v>0.52240086539999986</v>
      </c>
      <c r="G289" s="499"/>
      <c r="H289" s="1082" t="s">
        <v>120</v>
      </c>
      <c r="I289" s="1082"/>
      <c r="J289" s="501">
        <f>J285*(1+G2)</f>
        <v>3.0135828654000001</v>
      </c>
    </row>
    <row r="290" spans="1:10" ht="15" thickBot="1">
      <c r="A290" s="503"/>
      <c r="B290" s="666"/>
      <c r="C290" s="14"/>
      <c r="D290" s="14"/>
      <c r="E290" s="14"/>
      <c r="F290" s="14"/>
      <c r="G290" s="14" t="s">
        <v>121</v>
      </c>
      <c r="H290" s="504">
        <f>'OBRA 02 - MEMÓRIA'!O51</f>
        <v>12632.717400000001</v>
      </c>
      <c r="I290" s="14" t="s">
        <v>122</v>
      </c>
      <c r="J290" s="505">
        <f>TRUNC(H290*J289,2)</f>
        <v>38069.74</v>
      </c>
    </row>
    <row r="291" spans="1:10" ht="15" thickTop="1">
      <c r="A291" s="506"/>
      <c r="B291" s="230"/>
      <c r="C291" s="15"/>
      <c r="D291" s="15"/>
      <c r="E291" s="15"/>
      <c r="F291" s="15"/>
      <c r="G291" s="15"/>
      <c r="H291" s="15"/>
      <c r="I291" s="15"/>
      <c r="J291" s="507"/>
    </row>
    <row r="292" spans="1:10" ht="15">
      <c r="A292" s="490" t="s">
        <v>340</v>
      </c>
      <c r="B292" s="31" t="s">
        <v>7</v>
      </c>
      <c r="C292" s="26" t="s">
        <v>8</v>
      </c>
      <c r="D292" s="26" t="s">
        <v>9</v>
      </c>
      <c r="E292" s="1143" t="s">
        <v>92</v>
      </c>
      <c r="F292" s="1144"/>
      <c r="G292" s="31" t="s">
        <v>10</v>
      </c>
      <c r="H292" s="29" t="s">
        <v>11</v>
      </c>
      <c r="I292" s="29" t="s">
        <v>12</v>
      </c>
      <c r="J292" s="491" t="s">
        <v>14</v>
      </c>
    </row>
    <row r="293" spans="1:10" ht="25.5">
      <c r="A293" s="492" t="s">
        <v>93</v>
      </c>
      <c r="B293" s="4" t="s">
        <v>56</v>
      </c>
      <c r="C293" s="27" t="s">
        <v>24</v>
      </c>
      <c r="D293" s="27" t="s">
        <v>419</v>
      </c>
      <c r="E293" s="1141" t="s">
        <v>184</v>
      </c>
      <c r="F293" s="1142"/>
      <c r="G293" s="4" t="s">
        <v>36</v>
      </c>
      <c r="H293" s="5">
        <v>1</v>
      </c>
      <c r="I293" s="6">
        <v>2.46</v>
      </c>
      <c r="J293" s="493">
        <f>SUM(J294:J295)</f>
        <v>2.4911820000000002</v>
      </c>
    </row>
    <row r="294" spans="1:10" ht="51">
      <c r="A294" s="494" t="s">
        <v>95</v>
      </c>
      <c r="B294" s="8" t="s">
        <v>233</v>
      </c>
      <c r="C294" s="23" t="s">
        <v>24</v>
      </c>
      <c r="D294" s="23" t="s">
        <v>234</v>
      </c>
      <c r="E294" s="1135" t="s">
        <v>125</v>
      </c>
      <c r="F294" s="1136"/>
      <c r="G294" s="8" t="s">
        <v>126</v>
      </c>
      <c r="H294" s="9">
        <v>8.3000000000000001E-3</v>
      </c>
      <c r="I294" s="10">
        <v>268.74</v>
      </c>
      <c r="J294" s="495">
        <f>I294*H294</f>
        <v>2.2305420000000002</v>
      </c>
    </row>
    <row r="295" spans="1:10" ht="51">
      <c r="A295" s="494" t="s">
        <v>95</v>
      </c>
      <c r="B295" s="8" t="s">
        <v>235</v>
      </c>
      <c r="C295" s="23" t="s">
        <v>24</v>
      </c>
      <c r="D295" s="23" t="s">
        <v>236</v>
      </c>
      <c r="E295" s="1135" t="s">
        <v>125</v>
      </c>
      <c r="F295" s="1136"/>
      <c r="G295" s="8" t="s">
        <v>129</v>
      </c>
      <c r="H295" s="9">
        <v>3.5999999999999999E-3</v>
      </c>
      <c r="I295" s="10">
        <v>72.400000000000006</v>
      </c>
      <c r="J295" s="495">
        <f>I295*H295</f>
        <v>0.26064000000000004</v>
      </c>
    </row>
    <row r="296" spans="1:10">
      <c r="A296" s="498"/>
      <c r="B296" s="20"/>
      <c r="C296" s="499"/>
      <c r="D296" s="499"/>
      <c r="E296" s="499" t="s">
        <v>116</v>
      </c>
      <c r="F296" s="500">
        <v>0.24000000000000002</v>
      </c>
      <c r="G296" s="499" t="s">
        <v>117</v>
      </c>
      <c r="H296" s="500">
        <v>0</v>
      </c>
      <c r="I296" s="499" t="s">
        <v>118</v>
      </c>
      <c r="J296" s="501">
        <v>0.24000000000000002</v>
      </c>
    </row>
    <row r="297" spans="1:10">
      <c r="A297" s="498"/>
      <c r="B297" s="20"/>
      <c r="C297" s="499"/>
      <c r="D297" s="499"/>
      <c r="E297" s="499" t="s">
        <v>119</v>
      </c>
      <c r="F297" s="500">
        <f>J297-J293</f>
        <v>0.52240086539999986</v>
      </c>
      <c r="G297" s="499"/>
      <c r="H297" s="1082" t="s">
        <v>120</v>
      </c>
      <c r="I297" s="1082"/>
      <c r="J297" s="501">
        <f>J293*(1+G2)</f>
        <v>3.0135828654000001</v>
      </c>
    </row>
    <row r="298" spans="1:10" ht="15" thickBot="1">
      <c r="A298" s="503"/>
      <c r="B298" s="666"/>
      <c r="C298" s="14"/>
      <c r="D298" s="14"/>
      <c r="E298" s="14"/>
      <c r="F298" s="14"/>
      <c r="G298" s="14" t="s">
        <v>121</v>
      </c>
      <c r="H298" s="504">
        <f>'OBRA 02 - MEMÓRIA'!O53</f>
        <v>9661.5081000000009</v>
      </c>
      <c r="I298" s="14" t="s">
        <v>122</v>
      </c>
      <c r="J298" s="505">
        <f>TRUNC(H298*J297,2)</f>
        <v>29115.75</v>
      </c>
    </row>
    <row r="299" spans="1:10" ht="15" thickTop="1">
      <c r="A299" s="506"/>
      <c r="B299" s="230"/>
      <c r="C299" s="15"/>
      <c r="D299" s="15"/>
      <c r="E299" s="15"/>
      <c r="F299" s="15"/>
      <c r="G299" s="15"/>
      <c r="H299" s="15"/>
      <c r="I299" s="15"/>
      <c r="J299" s="507"/>
    </row>
    <row r="300" spans="1:10" ht="15">
      <c r="A300" s="490" t="s">
        <v>341</v>
      </c>
      <c r="B300" s="31" t="s">
        <v>7</v>
      </c>
      <c r="C300" s="26" t="s">
        <v>8</v>
      </c>
      <c r="D300" s="26" t="s">
        <v>9</v>
      </c>
      <c r="E300" s="1143" t="s">
        <v>92</v>
      </c>
      <c r="F300" s="1144"/>
      <c r="G300" s="31" t="s">
        <v>10</v>
      </c>
      <c r="H300" s="29" t="s">
        <v>11</v>
      </c>
      <c r="I300" s="29" t="s">
        <v>12</v>
      </c>
      <c r="J300" s="491" t="s">
        <v>14</v>
      </c>
    </row>
    <row r="301" spans="1:10" ht="38.25">
      <c r="A301" s="492" t="s">
        <v>93</v>
      </c>
      <c r="B301" s="4" t="s">
        <v>64</v>
      </c>
      <c r="C301" s="27" t="s">
        <v>24</v>
      </c>
      <c r="D301" s="27" t="s">
        <v>65</v>
      </c>
      <c r="E301" s="1141" t="s">
        <v>184</v>
      </c>
      <c r="F301" s="1142"/>
      <c r="G301" s="4" t="s">
        <v>66</v>
      </c>
      <c r="H301" s="5">
        <v>1</v>
      </c>
      <c r="I301" s="6">
        <v>1.42</v>
      </c>
      <c r="J301" s="493">
        <f>SUM(J302:J303)</f>
        <v>1.425548</v>
      </c>
    </row>
    <row r="302" spans="1:10" ht="51">
      <c r="A302" s="494" t="s">
        <v>95</v>
      </c>
      <c r="B302" s="8" t="s">
        <v>271</v>
      </c>
      <c r="C302" s="23" t="s">
        <v>24</v>
      </c>
      <c r="D302" s="23" t="s">
        <v>272</v>
      </c>
      <c r="E302" s="1135" t="s">
        <v>125</v>
      </c>
      <c r="F302" s="1136"/>
      <c r="G302" s="8" t="s">
        <v>126</v>
      </c>
      <c r="H302" s="9">
        <v>2.8E-3</v>
      </c>
      <c r="I302" s="10">
        <v>468.8</v>
      </c>
      <c r="J302" s="495">
        <f>I302*H302</f>
        <v>1.31264</v>
      </c>
    </row>
    <row r="303" spans="1:10" ht="51">
      <c r="A303" s="494" t="s">
        <v>95</v>
      </c>
      <c r="B303" s="8" t="s">
        <v>273</v>
      </c>
      <c r="C303" s="23" t="s">
        <v>24</v>
      </c>
      <c r="D303" s="23" t="s">
        <v>274</v>
      </c>
      <c r="E303" s="1135" t="s">
        <v>125</v>
      </c>
      <c r="F303" s="1136"/>
      <c r="G303" s="8" t="s">
        <v>129</v>
      </c>
      <c r="H303" s="9">
        <v>1.1999999999999999E-3</v>
      </c>
      <c r="I303" s="10">
        <v>94.09</v>
      </c>
      <c r="J303" s="495">
        <f>I303*H303</f>
        <v>0.11290799999999999</v>
      </c>
    </row>
    <row r="304" spans="1:10">
      <c r="A304" s="498"/>
      <c r="B304" s="20"/>
      <c r="C304" s="499"/>
      <c r="D304" s="499"/>
      <c r="E304" s="499" t="s">
        <v>116</v>
      </c>
      <c r="F304" s="500">
        <v>0.08</v>
      </c>
      <c r="G304" s="499" t="s">
        <v>117</v>
      </c>
      <c r="H304" s="500">
        <v>0</v>
      </c>
      <c r="I304" s="499" t="s">
        <v>118</v>
      </c>
      <c r="J304" s="501">
        <v>0.08</v>
      </c>
    </row>
    <row r="305" spans="1:10">
      <c r="A305" s="498"/>
      <c r="B305" s="20"/>
      <c r="C305" s="499"/>
      <c r="D305" s="499"/>
      <c r="E305" s="499" t="s">
        <v>119</v>
      </c>
      <c r="F305" s="500">
        <f>J305-J301</f>
        <v>0.29893741559999998</v>
      </c>
      <c r="G305" s="499"/>
      <c r="H305" s="1082" t="s">
        <v>120</v>
      </c>
      <c r="I305" s="1082"/>
      <c r="J305" s="611">
        <f>J301*(1+G2)</f>
        <v>1.7244854156</v>
      </c>
    </row>
    <row r="306" spans="1:10" ht="15" thickBot="1">
      <c r="A306" s="503"/>
      <c r="B306" s="666"/>
      <c r="C306" s="14"/>
      <c r="D306" s="14"/>
      <c r="E306" s="14"/>
      <c r="F306" s="14"/>
      <c r="G306" s="14" t="s">
        <v>121</v>
      </c>
      <c r="H306" s="504">
        <f>'OBRA 02 - MEMÓRIA'!O55</f>
        <v>1271.5920203904002</v>
      </c>
      <c r="I306" s="14" t="s">
        <v>122</v>
      </c>
      <c r="J306" s="505">
        <f>TRUNC(H306*J305,2)</f>
        <v>2192.84</v>
      </c>
    </row>
    <row r="307" spans="1:10" ht="15" thickTop="1">
      <c r="A307" s="506"/>
      <c r="B307" s="230"/>
      <c r="C307" s="15"/>
      <c r="D307" s="15"/>
      <c r="E307" s="15"/>
      <c r="F307" s="15"/>
      <c r="G307" s="15"/>
      <c r="H307" s="15"/>
      <c r="I307" s="15"/>
      <c r="J307" s="507"/>
    </row>
    <row r="308" spans="1:10" ht="15">
      <c r="A308" s="490" t="s">
        <v>342</v>
      </c>
      <c r="B308" s="31" t="s">
        <v>7</v>
      </c>
      <c r="C308" s="26" t="s">
        <v>8</v>
      </c>
      <c r="D308" s="26" t="s">
        <v>9</v>
      </c>
      <c r="E308" s="1143" t="s">
        <v>92</v>
      </c>
      <c r="F308" s="1144"/>
      <c r="G308" s="31" t="s">
        <v>10</v>
      </c>
      <c r="H308" s="29" t="s">
        <v>11</v>
      </c>
      <c r="I308" s="29" t="s">
        <v>12</v>
      </c>
      <c r="J308" s="491" t="s">
        <v>14</v>
      </c>
    </row>
    <row r="309" spans="1:10" ht="38.25">
      <c r="A309" s="492" t="s">
        <v>93</v>
      </c>
      <c r="B309" s="4" t="s">
        <v>67</v>
      </c>
      <c r="C309" s="27" t="s">
        <v>24</v>
      </c>
      <c r="D309" s="27" t="s">
        <v>68</v>
      </c>
      <c r="E309" s="1141" t="s">
        <v>184</v>
      </c>
      <c r="F309" s="1142"/>
      <c r="G309" s="4" t="s">
        <v>66</v>
      </c>
      <c r="H309" s="5">
        <v>1</v>
      </c>
      <c r="I309" s="6">
        <v>0.55000000000000004</v>
      </c>
      <c r="J309" s="493">
        <f>SUM(J310:J311)</f>
        <v>0.56272500000000003</v>
      </c>
    </row>
    <row r="310" spans="1:10" ht="51">
      <c r="A310" s="494" t="s">
        <v>95</v>
      </c>
      <c r="B310" s="8" t="s">
        <v>271</v>
      </c>
      <c r="C310" s="23" t="s">
        <v>24</v>
      </c>
      <c r="D310" s="23" t="s">
        <v>272</v>
      </c>
      <c r="E310" s="1135" t="s">
        <v>125</v>
      </c>
      <c r="F310" s="1136"/>
      <c r="G310" s="8" t="s">
        <v>126</v>
      </c>
      <c r="H310" s="9">
        <v>1.1000000000000001E-3</v>
      </c>
      <c r="I310" s="10">
        <v>468.8</v>
      </c>
      <c r="J310" s="495">
        <f>I310*H310</f>
        <v>0.51568000000000003</v>
      </c>
    </row>
    <row r="311" spans="1:10" ht="51">
      <c r="A311" s="494" t="s">
        <v>95</v>
      </c>
      <c r="B311" s="8" t="s">
        <v>273</v>
      </c>
      <c r="C311" s="23" t="s">
        <v>24</v>
      </c>
      <c r="D311" s="23" t="s">
        <v>274</v>
      </c>
      <c r="E311" s="1135" t="s">
        <v>125</v>
      </c>
      <c r="F311" s="1136"/>
      <c r="G311" s="8" t="s">
        <v>129</v>
      </c>
      <c r="H311" s="9">
        <v>5.0000000000000001E-4</v>
      </c>
      <c r="I311" s="10">
        <v>94.09</v>
      </c>
      <c r="J311" s="495">
        <f>I311*H311</f>
        <v>4.7045000000000003E-2</v>
      </c>
    </row>
    <row r="312" spans="1:10">
      <c r="A312" s="498"/>
      <c r="B312" s="20"/>
      <c r="C312" s="499"/>
      <c r="D312" s="499"/>
      <c r="E312" s="499" t="s">
        <v>116</v>
      </c>
      <c r="F312" s="500">
        <v>0.03</v>
      </c>
      <c r="G312" s="499" t="s">
        <v>117</v>
      </c>
      <c r="H312" s="500">
        <v>0</v>
      </c>
      <c r="I312" s="499" t="s">
        <v>118</v>
      </c>
      <c r="J312" s="501">
        <v>0.03</v>
      </c>
    </row>
    <row r="313" spans="1:10">
      <c r="A313" s="498"/>
      <c r="B313" s="20"/>
      <c r="C313" s="499"/>
      <c r="D313" s="499"/>
      <c r="E313" s="499" t="s">
        <v>119</v>
      </c>
      <c r="F313" s="500">
        <f>J313-J309</f>
        <v>0.11800343250000001</v>
      </c>
      <c r="G313" s="499"/>
      <c r="H313" s="1082" t="s">
        <v>120</v>
      </c>
      <c r="I313" s="1082"/>
      <c r="J313" s="501">
        <f>J309*(1+G2)</f>
        <v>0.68072843250000004</v>
      </c>
    </row>
    <row r="314" spans="1:10" ht="15" thickBot="1">
      <c r="A314" s="503"/>
      <c r="B314" s="666"/>
      <c r="C314" s="14"/>
      <c r="D314" s="14"/>
      <c r="E314" s="14"/>
      <c r="F314" s="14"/>
      <c r="G314" s="14" t="s">
        <v>121</v>
      </c>
      <c r="H314" s="504">
        <f>'OBRA 02 - MEMÓRIA'!O57</f>
        <v>19921.608319449602</v>
      </c>
      <c r="I314" s="14" t="s">
        <v>122</v>
      </c>
      <c r="J314" s="505">
        <f>TRUNC(H314*J313,2)</f>
        <v>13561.2</v>
      </c>
    </row>
    <row r="315" spans="1:10" ht="15" thickTop="1">
      <c r="A315" s="506"/>
      <c r="B315" s="230"/>
      <c r="C315" s="15"/>
      <c r="D315" s="15"/>
      <c r="E315" s="15"/>
      <c r="F315" s="15"/>
      <c r="G315" s="15"/>
      <c r="H315" s="15"/>
      <c r="I315" s="15"/>
      <c r="J315" s="507"/>
    </row>
    <row r="316" spans="1:10" ht="15">
      <c r="A316" s="490" t="s">
        <v>343</v>
      </c>
      <c r="B316" s="31" t="s">
        <v>7</v>
      </c>
      <c r="C316" s="26" t="s">
        <v>8</v>
      </c>
      <c r="D316" s="26" t="s">
        <v>9</v>
      </c>
      <c r="E316" s="1143" t="s">
        <v>92</v>
      </c>
      <c r="F316" s="1144"/>
      <c r="G316" s="31" t="s">
        <v>10</v>
      </c>
      <c r="H316" s="29" t="s">
        <v>11</v>
      </c>
      <c r="I316" s="29" t="s">
        <v>12</v>
      </c>
      <c r="J316" s="491" t="s">
        <v>14</v>
      </c>
    </row>
    <row r="317" spans="1:10">
      <c r="A317" s="492" t="s">
        <v>93</v>
      </c>
      <c r="B317" s="4" t="s">
        <v>69</v>
      </c>
      <c r="C317" s="27" t="s">
        <v>19</v>
      </c>
      <c r="D317" s="27" t="s">
        <v>70</v>
      </c>
      <c r="E317" s="1141" t="s">
        <v>101</v>
      </c>
      <c r="F317" s="1142"/>
      <c r="G317" s="4" t="s">
        <v>21</v>
      </c>
      <c r="H317" s="5">
        <v>1</v>
      </c>
      <c r="I317" s="6">
        <v>0.56000000000000005</v>
      </c>
      <c r="J317" s="493">
        <f>J318</f>
        <v>0.58518999999999999</v>
      </c>
    </row>
    <row r="318" spans="1:10" ht="25.5">
      <c r="A318" s="494" t="s">
        <v>95</v>
      </c>
      <c r="B318" s="8" t="s">
        <v>103</v>
      </c>
      <c r="C318" s="23" t="s">
        <v>24</v>
      </c>
      <c r="D318" s="23" t="s">
        <v>104</v>
      </c>
      <c r="E318" s="1135" t="s">
        <v>101</v>
      </c>
      <c r="F318" s="1136"/>
      <c r="G318" s="8" t="s">
        <v>102</v>
      </c>
      <c r="H318" s="9">
        <v>2.7799999999999998E-2</v>
      </c>
      <c r="I318" s="10">
        <v>21.05</v>
      </c>
      <c r="J318" s="495">
        <f>I318*H318</f>
        <v>0.58518999999999999</v>
      </c>
    </row>
    <row r="319" spans="1:10">
      <c r="A319" s="498"/>
      <c r="B319" s="20"/>
      <c r="C319" s="499"/>
      <c r="D319" s="499"/>
      <c r="E319" s="499" t="s">
        <v>116</v>
      </c>
      <c r="F319" s="500">
        <v>0.42</v>
      </c>
      <c r="G319" s="499" t="s">
        <v>117</v>
      </c>
      <c r="H319" s="500">
        <v>0</v>
      </c>
      <c r="I319" s="499" t="s">
        <v>118</v>
      </c>
      <c r="J319" s="501">
        <v>0.42</v>
      </c>
    </row>
    <row r="320" spans="1:10">
      <c r="A320" s="498"/>
      <c r="B320" s="20"/>
      <c r="C320" s="499"/>
      <c r="D320" s="499"/>
      <c r="E320" s="499" t="s">
        <v>119</v>
      </c>
      <c r="F320" s="500">
        <f>J320-J317</f>
        <v>0.12271434299999995</v>
      </c>
      <c r="G320" s="499"/>
      <c r="H320" s="1082" t="s">
        <v>120</v>
      </c>
      <c r="I320" s="1082"/>
      <c r="J320" s="501">
        <f>J317*(1+G2)</f>
        <v>0.70790434299999994</v>
      </c>
    </row>
    <row r="321" spans="1:10" ht="15" thickBot="1">
      <c r="A321" s="503"/>
      <c r="B321" s="666"/>
      <c r="C321" s="14"/>
      <c r="D321" s="14"/>
      <c r="E321" s="14"/>
      <c r="F321" s="14"/>
      <c r="G321" s="14" t="s">
        <v>121</v>
      </c>
      <c r="H321" s="504">
        <f>'OBRA 02 - MEMÓRIA'!O59</f>
        <v>8421.8116000000009</v>
      </c>
      <c r="I321" s="14" t="s">
        <v>122</v>
      </c>
      <c r="J321" s="505">
        <f>TRUNC(H321*J320,2)</f>
        <v>5961.83</v>
      </c>
    </row>
    <row r="322" spans="1:10" ht="15" thickTop="1">
      <c r="A322" s="506"/>
      <c r="B322" s="230"/>
      <c r="C322" s="15"/>
      <c r="D322" s="15"/>
      <c r="E322" s="15"/>
      <c r="F322" s="15"/>
      <c r="G322" s="15"/>
      <c r="H322" s="15"/>
      <c r="I322" s="15"/>
      <c r="J322" s="507"/>
    </row>
    <row r="323" spans="1:10" ht="15">
      <c r="A323" s="490" t="s">
        <v>344</v>
      </c>
      <c r="B323" s="31" t="s">
        <v>7</v>
      </c>
      <c r="C323" s="26" t="s">
        <v>8</v>
      </c>
      <c r="D323" s="26" t="s">
        <v>9</v>
      </c>
      <c r="E323" s="1143" t="s">
        <v>92</v>
      </c>
      <c r="F323" s="1144"/>
      <c r="G323" s="31" t="s">
        <v>10</v>
      </c>
      <c r="H323" s="29" t="s">
        <v>11</v>
      </c>
      <c r="I323" s="29" t="s">
        <v>12</v>
      </c>
      <c r="J323" s="491" t="s">
        <v>14</v>
      </c>
    </row>
    <row r="324" spans="1:10">
      <c r="A324" s="522" t="s">
        <v>105</v>
      </c>
      <c r="B324" s="17" t="s">
        <v>303</v>
      </c>
      <c r="C324" s="28" t="s">
        <v>303</v>
      </c>
      <c r="D324" s="28" t="s">
        <v>304</v>
      </c>
      <c r="E324" s="1153" t="s">
        <v>108</v>
      </c>
      <c r="F324" s="1154"/>
      <c r="G324" s="17" t="s">
        <v>306</v>
      </c>
      <c r="H324" s="18">
        <v>1</v>
      </c>
      <c r="I324" s="19">
        <v>3037.47</v>
      </c>
      <c r="J324" s="523">
        <f>I324*H324</f>
        <v>3037.47</v>
      </c>
    </row>
    <row r="325" spans="1:10">
      <c r="A325" s="498"/>
      <c r="B325" s="20"/>
      <c r="C325" s="499"/>
      <c r="D325" s="499"/>
      <c r="E325" s="499" t="s">
        <v>116</v>
      </c>
      <c r="F325" s="500">
        <v>0</v>
      </c>
      <c r="G325" s="499" t="s">
        <v>117</v>
      </c>
      <c r="H325" s="500">
        <v>0</v>
      </c>
      <c r="I325" s="499" t="s">
        <v>118</v>
      </c>
      <c r="J325" s="501">
        <v>0</v>
      </c>
    </row>
    <row r="326" spans="1:10">
      <c r="A326" s="498"/>
      <c r="B326" s="20"/>
      <c r="C326" s="499"/>
      <c r="D326" s="499"/>
      <c r="E326" s="499" t="s">
        <v>119</v>
      </c>
      <c r="F326" s="500">
        <f>J326-J324</f>
        <v>425.85329400000046</v>
      </c>
      <c r="G326" s="499"/>
      <c r="H326" s="1082" t="s">
        <v>120</v>
      </c>
      <c r="I326" s="1082"/>
      <c r="J326" s="501">
        <f>J324*(1+H2)</f>
        <v>3463.3232940000003</v>
      </c>
    </row>
    <row r="327" spans="1:10" ht="15" thickBot="1">
      <c r="A327" s="503"/>
      <c r="B327" s="666"/>
      <c r="C327" s="14"/>
      <c r="D327" s="14"/>
      <c r="E327" s="14"/>
      <c r="F327" s="14"/>
      <c r="G327" s="14" t="s">
        <v>121</v>
      </c>
      <c r="H327" s="504">
        <f>'OBRA 02 - MEMÓRIA'!O61</f>
        <v>3.7898152200000004</v>
      </c>
      <c r="I327" s="14" t="s">
        <v>122</v>
      </c>
      <c r="J327" s="505">
        <f>TRUNC(H327*J326,2)</f>
        <v>13125.35</v>
      </c>
    </row>
    <row r="328" spans="1:10" ht="15" thickTop="1">
      <c r="A328" s="506"/>
      <c r="B328" s="230"/>
      <c r="C328" s="15"/>
      <c r="D328" s="15"/>
      <c r="E328" s="15"/>
      <c r="F328" s="15"/>
      <c r="G328" s="15"/>
      <c r="H328" s="15"/>
      <c r="I328" s="15"/>
      <c r="J328" s="507"/>
    </row>
    <row r="329" spans="1:10" ht="15">
      <c r="A329" s="490" t="s">
        <v>420</v>
      </c>
      <c r="B329" s="31" t="s">
        <v>7</v>
      </c>
      <c r="C329" s="26" t="s">
        <v>8</v>
      </c>
      <c r="D329" s="26" t="s">
        <v>9</v>
      </c>
      <c r="E329" s="1143" t="s">
        <v>92</v>
      </c>
      <c r="F329" s="1144"/>
      <c r="G329" s="31" t="s">
        <v>10</v>
      </c>
      <c r="H329" s="29" t="s">
        <v>11</v>
      </c>
      <c r="I329" s="29" t="s">
        <v>12</v>
      </c>
      <c r="J329" s="491" t="s">
        <v>14</v>
      </c>
    </row>
    <row r="330" spans="1:10">
      <c r="A330" s="522" t="s">
        <v>105</v>
      </c>
      <c r="B330" s="17" t="s">
        <v>303</v>
      </c>
      <c r="C330" s="28" t="s">
        <v>303</v>
      </c>
      <c r="D330" s="28" t="s">
        <v>305</v>
      </c>
      <c r="E330" s="1153" t="s">
        <v>108</v>
      </c>
      <c r="F330" s="1154"/>
      <c r="G330" s="17" t="s">
        <v>306</v>
      </c>
      <c r="H330" s="18">
        <v>1</v>
      </c>
      <c r="I330" s="19">
        <v>2554.84</v>
      </c>
      <c r="J330" s="523">
        <f>I330*H330</f>
        <v>2554.84</v>
      </c>
    </row>
    <row r="331" spans="1:10">
      <c r="A331" s="498"/>
      <c r="B331" s="20"/>
      <c r="C331" s="499"/>
      <c r="D331" s="499"/>
      <c r="E331" s="499" t="s">
        <v>116</v>
      </c>
      <c r="F331" s="500">
        <v>0</v>
      </c>
      <c r="G331" s="499" t="s">
        <v>117</v>
      </c>
      <c r="H331" s="500">
        <v>0</v>
      </c>
      <c r="I331" s="499" t="s">
        <v>118</v>
      </c>
      <c r="J331" s="501">
        <v>0</v>
      </c>
    </row>
    <row r="332" spans="1:10">
      <c r="A332" s="498"/>
      <c r="B332" s="20"/>
      <c r="C332" s="499"/>
      <c r="D332" s="499"/>
      <c r="E332" s="499" t="s">
        <v>119</v>
      </c>
      <c r="F332" s="500">
        <f>J332-J330</f>
        <v>358.18856800000049</v>
      </c>
      <c r="G332" s="499"/>
      <c r="H332" s="1082" t="s">
        <v>120</v>
      </c>
      <c r="I332" s="1082"/>
      <c r="J332" s="501">
        <f>J330*(1+H2)</f>
        <v>2913.0285680000006</v>
      </c>
    </row>
    <row r="333" spans="1:10" ht="15" thickBot="1">
      <c r="A333" s="503"/>
      <c r="B333" s="666"/>
      <c r="C333" s="14"/>
      <c r="D333" s="14"/>
      <c r="E333" s="14"/>
      <c r="F333" s="14"/>
      <c r="G333" s="14" t="s">
        <v>121</v>
      </c>
      <c r="H333" s="504">
        <f>'OBRA 02 - MEMÓRIA'!O63</f>
        <v>5.3661503999999995</v>
      </c>
      <c r="I333" s="14" t="s">
        <v>122</v>
      </c>
      <c r="J333" s="505">
        <f>TRUNC(H333*J332,2)</f>
        <v>15631.74</v>
      </c>
    </row>
    <row r="334" spans="1:10" ht="15" thickTop="1">
      <c r="A334" s="506"/>
      <c r="B334" s="230"/>
      <c r="C334" s="15"/>
      <c r="D334" s="15"/>
      <c r="E334" s="15"/>
      <c r="F334" s="15"/>
      <c r="G334" s="15"/>
      <c r="H334" s="15"/>
      <c r="I334" s="15"/>
      <c r="J334" s="507"/>
    </row>
    <row r="335" spans="1:10" ht="15">
      <c r="A335" s="490" t="s">
        <v>421</v>
      </c>
      <c r="B335" s="31" t="s">
        <v>7</v>
      </c>
      <c r="C335" s="26" t="s">
        <v>8</v>
      </c>
      <c r="D335" s="26" t="s">
        <v>9</v>
      </c>
      <c r="E335" s="1143" t="s">
        <v>92</v>
      </c>
      <c r="F335" s="1144"/>
      <c r="G335" s="31" t="s">
        <v>10</v>
      </c>
      <c r="H335" s="29" t="s">
        <v>11</v>
      </c>
      <c r="I335" s="29" t="s">
        <v>12</v>
      </c>
      <c r="J335" s="491" t="s">
        <v>14</v>
      </c>
    </row>
    <row r="336" spans="1:10">
      <c r="A336" s="522" t="s">
        <v>105</v>
      </c>
      <c r="B336" s="17" t="s">
        <v>303</v>
      </c>
      <c r="C336" s="28" t="s">
        <v>303</v>
      </c>
      <c r="D336" s="28" t="s">
        <v>310</v>
      </c>
      <c r="E336" s="1153" t="s">
        <v>108</v>
      </c>
      <c r="F336" s="1154"/>
      <c r="G336" s="17" t="s">
        <v>306</v>
      </c>
      <c r="H336" s="18">
        <v>1</v>
      </c>
      <c r="I336" s="19">
        <v>4028.54</v>
      </c>
      <c r="J336" s="523">
        <f>I336*H336</f>
        <v>4028.54</v>
      </c>
    </row>
    <row r="337" spans="1:10">
      <c r="A337" s="498"/>
      <c r="B337" s="20"/>
      <c r="C337" s="499"/>
      <c r="D337" s="499"/>
      <c r="E337" s="499" t="s">
        <v>116</v>
      </c>
      <c r="F337" s="500">
        <v>0</v>
      </c>
      <c r="G337" s="499" t="s">
        <v>117</v>
      </c>
      <c r="H337" s="500">
        <v>0</v>
      </c>
      <c r="I337" s="499" t="s">
        <v>118</v>
      </c>
      <c r="J337" s="501">
        <v>0</v>
      </c>
    </row>
    <row r="338" spans="1:10">
      <c r="A338" s="498"/>
      <c r="B338" s="20"/>
      <c r="C338" s="499"/>
      <c r="D338" s="499"/>
      <c r="E338" s="499" t="s">
        <v>119</v>
      </c>
      <c r="F338" s="500">
        <f>J338-J336</f>
        <v>564.80130800000006</v>
      </c>
      <c r="G338" s="499"/>
      <c r="H338" s="1082" t="s">
        <v>120</v>
      </c>
      <c r="I338" s="1082"/>
      <c r="J338" s="501">
        <f>J336*(1+H2)</f>
        <v>4593.341308</v>
      </c>
    </row>
    <row r="339" spans="1:10" ht="15" thickBot="1">
      <c r="A339" s="503"/>
      <c r="B339" s="666"/>
      <c r="C339" s="14"/>
      <c r="D339" s="14"/>
      <c r="E339" s="14"/>
      <c r="F339" s="14"/>
      <c r="G339" s="14" t="s">
        <v>121</v>
      </c>
      <c r="H339" s="504">
        <f>'OBRA 02 - MEMÓRIA'!O65</f>
        <v>33.230435059680005</v>
      </c>
      <c r="I339" s="14" t="s">
        <v>122</v>
      </c>
      <c r="J339" s="505">
        <f>TRUNC(H339*J338,2)</f>
        <v>152638.73000000001</v>
      </c>
    </row>
    <row r="340" spans="1:10" ht="15" thickTop="1">
      <c r="A340" s="506"/>
      <c r="B340" s="230"/>
      <c r="C340" s="15"/>
      <c r="D340" s="15"/>
      <c r="E340" s="15"/>
      <c r="F340" s="15"/>
      <c r="G340" s="15"/>
      <c r="H340" s="15"/>
      <c r="I340" s="15"/>
      <c r="J340" s="507"/>
    </row>
    <row r="341" spans="1:10">
      <c r="A341" s="518" t="s">
        <v>71</v>
      </c>
      <c r="B341" s="229"/>
      <c r="C341" s="25"/>
      <c r="D341" s="25" t="s">
        <v>72</v>
      </c>
      <c r="E341" s="25"/>
      <c r="F341" s="1139"/>
      <c r="G341" s="1140"/>
      <c r="H341" s="1"/>
      <c r="I341" s="25"/>
      <c r="J341" s="519">
        <f>J351+J363</f>
        <v>98220.55</v>
      </c>
    </row>
    <row r="342" spans="1:10" ht="15">
      <c r="A342" s="490" t="s">
        <v>73</v>
      </c>
      <c r="B342" s="31" t="s">
        <v>7</v>
      </c>
      <c r="C342" s="26" t="s">
        <v>8</v>
      </c>
      <c r="D342" s="26" t="s">
        <v>9</v>
      </c>
      <c r="E342" s="1143" t="s">
        <v>92</v>
      </c>
      <c r="F342" s="1144"/>
      <c r="G342" s="31" t="s">
        <v>10</v>
      </c>
      <c r="H342" s="29" t="s">
        <v>11</v>
      </c>
      <c r="I342" s="29" t="s">
        <v>12</v>
      </c>
      <c r="J342" s="491" t="s">
        <v>14</v>
      </c>
    </row>
    <row r="343" spans="1:10" ht="51">
      <c r="A343" s="492" t="s">
        <v>93</v>
      </c>
      <c r="B343" s="4" t="s">
        <v>74</v>
      </c>
      <c r="C343" s="27" t="s">
        <v>24</v>
      </c>
      <c r="D343" s="27" t="s">
        <v>75</v>
      </c>
      <c r="E343" s="1141" t="s">
        <v>275</v>
      </c>
      <c r="F343" s="1142"/>
      <c r="G343" s="4" t="s">
        <v>76</v>
      </c>
      <c r="H343" s="5">
        <v>1</v>
      </c>
      <c r="I343" s="6">
        <v>54.54</v>
      </c>
      <c r="J343" s="493">
        <f>SUM(J344:J348)</f>
        <v>50.003387999999994</v>
      </c>
    </row>
    <row r="344" spans="1:10" ht="25.5">
      <c r="A344" s="494" t="s">
        <v>95</v>
      </c>
      <c r="B344" s="8" t="s">
        <v>130</v>
      </c>
      <c r="C344" s="23" t="s">
        <v>24</v>
      </c>
      <c r="D344" s="23" t="s">
        <v>131</v>
      </c>
      <c r="E344" s="1135" t="s">
        <v>101</v>
      </c>
      <c r="F344" s="1136"/>
      <c r="G344" s="8" t="s">
        <v>102</v>
      </c>
      <c r="H344" s="9">
        <v>0.2296</v>
      </c>
      <c r="I344" s="10">
        <v>26.5</v>
      </c>
      <c r="J344" s="495">
        <f>I344*H344</f>
        <v>6.0843999999999996</v>
      </c>
    </row>
    <row r="345" spans="1:10" ht="25.5">
      <c r="A345" s="494" t="s">
        <v>95</v>
      </c>
      <c r="B345" s="8" t="s">
        <v>103</v>
      </c>
      <c r="C345" s="23" t="s">
        <v>24</v>
      </c>
      <c r="D345" s="23" t="s">
        <v>104</v>
      </c>
      <c r="E345" s="1135" t="s">
        <v>101</v>
      </c>
      <c r="F345" s="1136"/>
      <c r="G345" s="8" t="s">
        <v>102</v>
      </c>
      <c r="H345" s="9">
        <v>0.2296</v>
      </c>
      <c r="I345" s="10">
        <v>21.05</v>
      </c>
      <c r="J345" s="495">
        <f t="shared" ref="J345:J348" si="12">I345*H345</f>
        <v>4.8330799999999998</v>
      </c>
    </row>
    <row r="346" spans="1:10" ht="25.5">
      <c r="A346" s="494" t="s">
        <v>95</v>
      </c>
      <c r="B346" s="8" t="s">
        <v>276</v>
      </c>
      <c r="C346" s="23" t="s">
        <v>24</v>
      </c>
      <c r="D346" s="23" t="s">
        <v>277</v>
      </c>
      <c r="E346" s="1135" t="s">
        <v>101</v>
      </c>
      <c r="F346" s="1136"/>
      <c r="G346" s="8" t="s">
        <v>28</v>
      </c>
      <c r="H346" s="9">
        <v>1.8E-3</v>
      </c>
      <c r="I346" s="10">
        <v>657.56</v>
      </c>
      <c r="J346" s="495">
        <f t="shared" si="12"/>
        <v>1.1836079999999998</v>
      </c>
    </row>
    <row r="347" spans="1:10" ht="25.5">
      <c r="A347" s="496" t="s">
        <v>105</v>
      </c>
      <c r="B347" s="11" t="s">
        <v>243</v>
      </c>
      <c r="C347" s="24" t="s">
        <v>24</v>
      </c>
      <c r="D347" s="24" t="s">
        <v>244</v>
      </c>
      <c r="E347" s="1137" t="s">
        <v>108</v>
      </c>
      <c r="F347" s="1138"/>
      <c r="G347" s="11" t="s">
        <v>28</v>
      </c>
      <c r="H347" s="12">
        <v>6.6E-3</v>
      </c>
      <c r="I347" s="13">
        <v>130</v>
      </c>
      <c r="J347" s="497">
        <f t="shared" si="12"/>
        <v>0.85799999999999998</v>
      </c>
    </row>
    <row r="348" spans="1:10" ht="25.5">
      <c r="A348" s="496" t="s">
        <v>105</v>
      </c>
      <c r="B348" s="11" t="s">
        <v>278</v>
      </c>
      <c r="C348" s="24" t="s">
        <v>24</v>
      </c>
      <c r="D348" s="24" t="s">
        <v>279</v>
      </c>
      <c r="E348" s="1137" t="s">
        <v>108</v>
      </c>
      <c r="F348" s="1138"/>
      <c r="G348" s="11" t="s">
        <v>76</v>
      </c>
      <c r="H348" s="12">
        <v>1.0049999999999999</v>
      </c>
      <c r="I348" s="13">
        <v>36.86</v>
      </c>
      <c r="J348" s="497">
        <f t="shared" si="12"/>
        <v>37.044299999999993</v>
      </c>
    </row>
    <row r="349" spans="1:10">
      <c r="A349" s="498"/>
      <c r="B349" s="20"/>
      <c r="C349" s="499"/>
      <c r="D349" s="499"/>
      <c r="E349" s="499" t="s">
        <v>116</v>
      </c>
      <c r="F349" s="500">
        <v>8.69</v>
      </c>
      <c r="G349" s="499" t="s">
        <v>117</v>
      </c>
      <c r="H349" s="500">
        <v>0</v>
      </c>
      <c r="I349" s="499" t="s">
        <v>118</v>
      </c>
      <c r="J349" s="501">
        <v>8.69</v>
      </c>
    </row>
    <row r="350" spans="1:10">
      <c r="A350" s="498"/>
      <c r="B350" s="20"/>
      <c r="C350" s="499"/>
      <c r="D350" s="499"/>
      <c r="E350" s="499" t="s">
        <v>119</v>
      </c>
      <c r="F350" s="500">
        <f>J350-J343</f>
        <v>10.4857104636</v>
      </c>
      <c r="G350" s="499"/>
      <c r="H350" s="1082" t="s">
        <v>120</v>
      </c>
      <c r="I350" s="1082"/>
      <c r="J350" s="501">
        <f>J343*(1+G2)</f>
        <v>60.489098463599994</v>
      </c>
    </row>
    <row r="351" spans="1:10" ht="15" thickBot="1">
      <c r="A351" s="503"/>
      <c r="B351" s="666"/>
      <c r="C351" s="14"/>
      <c r="D351" s="14"/>
      <c r="E351" s="14"/>
      <c r="F351" s="14"/>
      <c r="G351" s="14" t="s">
        <v>121</v>
      </c>
      <c r="H351" s="504">
        <f>'OBRA 02 - MEMÓRIA'!O68</f>
        <v>885.87</v>
      </c>
      <c r="I351" s="14" t="s">
        <v>122</v>
      </c>
      <c r="J351" s="505">
        <f>TRUNC(H351*J350,2)</f>
        <v>53585.47</v>
      </c>
    </row>
    <row r="352" spans="1:10" ht="15" thickTop="1">
      <c r="A352" s="506"/>
      <c r="B352" s="230"/>
      <c r="C352" s="15"/>
      <c r="D352" s="15"/>
      <c r="E352" s="15"/>
      <c r="F352" s="15"/>
      <c r="G352" s="15"/>
      <c r="H352" s="15"/>
      <c r="I352" s="15"/>
      <c r="J352" s="507"/>
    </row>
    <row r="353" spans="1:10" ht="15">
      <c r="A353" s="490" t="s">
        <v>77</v>
      </c>
      <c r="B353" s="31" t="s">
        <v>7</v>
      </c>
      <c r="C353" s="26" t="s">
        <v>8</v>
      </c>
      <c r="D353" s="26" t="s">
        <v>9</v>
      </c>
      <c r="E353" s="1143" t="s">
        <v>92</v>
      </c>
      <c r="F353" s="1144"/>
      <c r="G353" s="31" t="s">
        <v>10</v>
      </c>
      <c r="H353" s="29" t="s">
        <v>11</v>
      </c>
      <c r="I353" s="29" t="s">
        <v>12</v>
      </c>
      <c r="J353" s="491" t="s">
        <v>14</v>
      </c>
    </row>
    <row r="354" spans="1:10" ht="25.5">
      <c r="A354" s="492" t="s">
        <v>93</v>
      </c>
      <c r="B354" s="4" t="s">
        <v>78</v>
      </c>
      <c r="C354" s="27" t="s">
        <v>24</v>
      </c>
      <c r="D354" s="27" t="s">
        <v>79</v>
      </c>
      <c r="E354" s="1141" t="s">
        <v>275</v>
      </c>
      <c r="F354" s="1142"/>
      <c r="G354" s="4" t="s">
        <v>76</v>
      </c>
      <c r="H354" s="5">
        <v>1</v>
      </c>
      <c r="I354" s="6">
        <v>40.520000000000003</v>
      </c>
      <c r="J354" s="493">
        <f>SUM(J355:J360)</f>
        <v>41.651311</v>
      </c>
    </row>
    <row r="355" spans="1:10" ht="25.5">
      <c r="A355" s="494" t="s">
        <v>95</v>
      </c>
      <c r="B355" s="8" t="s">
        <v>130</v>
      </c>
      <c r="C355" s="23" t="s">
        <v>24</v>
      </c>
      <c r="D355" s="23" t="s">
        <v>131</v>
      </c>
      <c r="E355" s="1135" t="s">
        <v>101</v>
      </c>
      <c r="F355" s="1136"/>
      <c r="G355" s="8" t="s">
        <v>102</v>
      </c>
      <c r="H355" s="9">
        <v>0.23799999999999999</v>
      </c>
      <c r="I355" s="10">
        <v>26.5</v>
      </c>
      <c r="J355" s="495">
        <f>I355*H355</f>
        <v>6.3069999999999995</v>
      </c>
    </row>
    <row r="356" spans="1:10" ht="25.5">
      <c r="A356" s="494" t="s">
        <v>95</v>
      </c>
      <c r="B356" s="8" t="s">
        <v>103</v>
      </c>
      <c r="C356" s="23" t="s">
        <v>24</v>
      </c>
      <c r="D356" s="23" t="s">
        <v>104</v>
      </c>
      <c r="E356" s="1135" t="s">
        <v>101</v>
      </c>
      <c r="F356" s="1136"/>
      <c r="G356" s="8" t="s">
        <v>102</v>
      </c>
      <c r="H356" s="9">
        <v>0.23799999999999999</v>
      </c>
      <c r="I356" s="10">
        <v>21.05</v>
      </c>
      <c r="J356" s="495">
        <f>I356*H356</f>
        <v>5.0099</v>
      </c>
    </row>
    <row r="357" spans="1:10" ht="25.5">
      <c r="A357" s="496" t="s">
        <v>105</v>
      </c>
      <c r="B357" s="11" t="s">
        <v>243</v>
      </c>
      <c r="C357" s="24" t="s">
        <v>24</v>
      </c>
      <c r="D357" s="24" t="s">
        <v>244</v>
      </c>
      <c r="E357" s="1137" t="s">
        <v>108</v>
      </c>
      <c r="F357" s="1138"/>
      <c r="G357" s="11" t="s">
        <v>28</v>
      </c>
      <c r="H357" s="12">
        <v>1.49E-2</v>
      </c>
      <c r="I357" s="13">
        <v>130</v>
      </c>
      <c r="J357" s="612">
        <f>I357*H357</f>
        <v>1.9370000000000001</v>
      </c>
    </row>
    <row r="358" spans="1:10" ht="25.5">
      <c r="A358" s="496" t="s">
        <v>105</v>
      </c>
      <c r="B358" s="11" t="s">
        <v>280</v>
      </c>
      <c r="C358" s="24" t="s">
        <v>24</v>
      </c>
      <c r="D358" s="24" t="s">
        <v>281</v>
      </c>
      <c r="E358" s="1137" t="s">
        <v>108</v>
      </c>
      <c r="F358" s="1138"/>
      <c r="G358" s="11" t="s">
        <v>76</v>
      </c>
      <c r="H358" s="12">
        <v>0.2</v>
      </c>
      <c r="I358" s="13">
        <v>3.73</v>
      </c>
      <c r="J358" s="612">
        <f t="shared" ref="J358:J360" si="13">I358*H358</f>
        <v>0.746</v>
      </c>
    </row>
    <row r="359" spans="1:10" ht="25.5">
      <c r="A359" s="496" t="s">
        <v>105</v>
      </c>
      <c r="B359" s="11" t="s">
        <v>282</v>
      </c>
      <c r="C359" s="24" t="s">
        <v>24</v>
      </c>
      <c r="D359" s="24" t="s">
        <v>283</v>
      </c>
      <c r="E359" s="1137" t="s">
        <v>108</v>
      </c>
      <c r="F359" s="1138"/>
      <c r="G359" s="11" t="s">
        <v>76</v>
      </c>
      <c r="H359" s="12">
        <v>8.3299999999999999E-2</v>
      </c>
      <c r="I359" s="13">
        <v>17.670000000000002</v>
      </c>
      <c r="J359" s="612">
        <f t="shared" si="13"/>
        <v>1.4719110000000002</v>
      </c>
    </row>
    <row r="360" spans="1:10" ht="38.25">
      <c r="A360" s="496" t="s">
        <v>105</v>
      </c>
      <c r="B360" s="11" t="s">
        <v>284</v>
      </c>
      <c r="C360" s="24" t="s">
        <v>24</v>
      </c>
      <c r="D360" s="24" t="s">
        <v>285</v>
      </c>
      <c r="E360" s="1137" t="s">
        <v>108</v>
      </c>
      <c r="F360" s="1138"/>
      <c r="G360" s="11" t="s">
        <v>28</v>
      </c>
      <c r="H360" s="12">
        <v>5.6300000000000003E-2</v>
      </c>
      <c r="I360" s="13">
        <v>465</v>
      </c>
      <c r="J360" s="612">
        <f t="shared" si="13"/>
        <v>26.179500000000001</v>
      </c>
    </row>
    <row r="361" spans="1:10">
      <c r="A361" s="498"/>
      <c r="B361" s="20"/>
      <c r="C361" s="499"/>
      <c r="D361" s="499"/>
      <c r="E361" s="499" t="s">
        <v>116</v>
      </c>
      <c r="F361" s="500">
        <v>8.77</v>
      </c>
      <c r="G361" s="499" t="s">
        <v>117</v>
      </c>
      <c r="H361" s="500">
        <v>0</v>
      </c>
      <c r="I361" s="499" t="s">
        <v>118</v>
      </c>
      <c r="J361" s="501">
        <v>8.77</v>
      </c>
    </row>
    <row r="362" spans="1:10">
      <c r="A362" s="498"/>
      <c r="B362" s="20"/>
      <c r="C362" s="499"/>
      <c r="D362" s="499"/>
      <c r="E362" s="499" t="s">
        <v>119</v>
      </c>
      <c r="F362" s="500">
        <f>J362-J354</f>
        <v>8.7342799166999967</v>
      </c>
      <c r="G362" s="499"/>
      <c r="H362" s="1082" t="s">
        <v>120</v>
      </c>
      <c r="I362" s="1082"/>
      <c r="J362" s="501">
        <f>J354*(1+G2)</f>
        <v>50.385590916699996</v>
      </c>
    </row>
    <row r="363" spans="1:10" ht="15" thickBot="1">
      <c r="A363" s="503"/>
      <c r="B363" s="666"/>
      <c r="C363" s="14"/>
      <c r="D363" s="14"/>
      <c r="E363" s="14"/>
      <c r="F363" s="14"/>
      <c r="G363" s="14" t="s">
        <v>121</v>
      </c>
      <c r="H363" s="504">
        <f>'OBRA 02 - MEMÓRIA'!O71</f>
        <v>885.87</v>
      </c>
      <c r="I363" s="14" t="s">
        <v>122</v>
      </c>
      <c r="J363" s="505">
        <f>TRUNC(H363*J362,2)</f>
        <v>44635.08</v>
      </c>
    </row>
    <row r="364" spans="1:10" ht="15" thickTop="1">
      <c r="A364" s="506"/>
      <c r="B364" s="230"/>
      <c r="C364" s="15"/>
      <c r="D364" s="15"/>
      <c r="E364" s="15"/>
      <c r="F364" s="15"/>
      <c r="G364" s="15"/>
      <c r="H364" s="15"/>
      <c r="I364" s="15"/>
      <c r="J364" s="507"/>
    </row>
    <row r="365" spans="1:10">
      <c r="A365" s="518" t="s">
        <v>80</v>
      </c>
      <c r="B365" s="229"/>
      <c r="C365" s="25"/>
      <c r="D365" s="25" t="s">
        <v>81</v>
      </c>
      <c r="E365" s="25"/>
      <c r="F365" s="1139"/>
      <c r="G365" s="1140"/>
      <c r="H365" s="1"/>
      <c r="I365" s="25"/>
      <c r="J365" s="519">
        <f>J379+J392+J402+J410</f>
        <v>109844.35</v>
      </c>
    </row>
    <row r="366" spans="1:10" ht="15">
      <c r="A366" s="490" t="s">
        <v>372</v>
      </c>
      <c r="B366" s="31" t="s">
        <v>7</v>
      </c>
      <c r="C366" s="26" t="s">
        <v>8</v>
      </c>
      <c r="D366" s="26" t="s">
        <v>9</v>
      </c>
      <c r="E366" s="1143" t="s">
        <v>92</v>
      </c>
      <c r="F366" s="1144"/>
      <c r="G366" s="31" t="s">
        <v>10</v>
      </c>
      <c r="H366" s="29" t="s">
        <v>11</v>
      </c>
      <c r="I366" s="29" t="s">
        <v>12</v>
      </c>
      <c r="J366" s="491" t="s">
        <v>14</v>
      </c>
    </row>
    <row r="367" spans="1:10" ht="25.5">
      <c r="A367" s="492" t="s">
        <v>93</v>
      </c>
      <c r="B367" s="4" t="s">
        <v>82</v>
      </c>
      <c r="C367" s="27" t="s">
        <v>24</v>
      </c>
      <c r="D367" s="27" t="s">
        <v>83</v>
      </c>
      <c r="E367" s="1141" t="s">
        <v>204</v>
      </c>
      <c r="F367" s="1142"/>
      <c r="G367" s="4" t="s">
        <v>21</v>
      </c>
      <c r="H367" s="5">
        <v>1</v>
      </c>
      <c r="I367" s="6">
        <v>82.46</v>
      </c>
      <c r="J367" s="493">
        <f>SUM(J368:J376)</f>
        <v>81.545006000000001</v>
      </c>
    </row>
    <row r="368" spans="1:10" ht="25.5">
      <c r="A368" s="494" t="s">
        <v>95</v>
      </c>
      <c r="B368" s="8" t="s">
        <v>237</v>
      </c>
      <c r="C368" s="23" t="s">
        <v>24</v>
      </c>
      <c r="D368" s="23" t="s">
        <v>238</v>
      </c>
      <c r="E368" s="1135" t="s">
        <v>101</v>
      </c>
      <c r="F368" s="1136"/>
      <c r="G368" s="8" t="s">
        <v>102</v>
      </c>
      <c r="H368" s="9">
        <v>0.3725</v>
      </c>
      <c r="I368" s="10">
        <v>26.26</v>
      </c>
      <c r="J368" s="495">
        <f>I368*H368</f>
        <v>9.7818500000000004</v>
      </c>
    </row>
    <row r="369" spans="1:10" ht="25.5">
      <c r="A369" s="494" t="s">
        <v>95</v>
      </c>
      <c r="B369" s="8" t="s">
        <v>103</v>
      </c>
      <c r="C369" s="23" t="s">
        <v>24</v>
      </c>
      <c r="D369" s="23" t="s">
        <v>104</v>
      </c>
      <c r="E369" s="1135" t="s">
        <v>101</v>
      </c>
      <c r="F369" s="1136"/>
      <c r="G369" s="8" t="s">
        <v>102</v>
      </c>
      <c r="H369" s="9">
        <v>0.3725</v>
      </c>
      <c r="I369" s="10">
        <v>21.05</v>
      </c>
      <c r="J369" s="495">
        <f t="shared" ref="J369:J373" si="14">I369*H369</f>
        <v>7.8411249999999999</v>
      </c>
    </row>
    <row r="370" spans="1:10" ht="38.25">
      <c r="A370" s="494" t="s">
        <v>95</v>
      </c>
      <c r="B370" s="8" t="s">
        <v>239</v>
      </c>
      <c r="C370" s="23" t="s">
        <v>24</v>
      </c>
      <c r="D370" s="23" t="s">
        <v>240</v>
      </c>
      <c r="E370" s="1135" t="s">
        <v>125</v>
      </c>
      <c r="F370" s="1136"/>
      <c r="G370" s="8" t="s">
        <v>126</v>
      </c>
      <c r="H370" s="9">
        <v>4.1000000000000003E-3</v>
      </c>
      <c r="I370" s="10">
        <v>9.94</v>
      </c>
      <c r="J370" s="495">
        <f t="shared" si="14"/>
        <v>4.0753999999999999E-2</v>
      </c>
    </row>
    <row r="371" spans="1:10" ht="38.25">
      <c r="A371" s="494" t="s">
        <v>95</v>
      </c>
      <c r="B371" s="8" t="s">
        <v>241</v>
      </c>
      <c r="C371" s="23" t="s">
        <v>24</v>
      </c>
      <c r="D371" s="23" t="s">
        <v>242</v>
      </c>
      <c r="E371" s="1135" t="s">
        <v>125</v>
      </c>
      <c r="F371" s="1136"/>
      <c r="G371" s="8" t="s">
        <v>129</v>
      </c>
      <c r="H371" s="9">
        <v>0.18210000000000001</v>
      </c>
      <c r="I371" s="10">
        <v>0.71</v>
      </c>
      <c r="J371" s="495">
        <f t="shared" si="14"/>
        <v>0.12929099999999999</v>
      </c>
    </row>
    <row r="372" spans="1:10" ht="51">
      <c r="A372" s="494" t="s">
        <v>95</v>
      </c>
      <c r="B372" s="8" t="s">
        <v>132</v>
      </c>
      <c r="C372" s="23" t="s">
        <v>24</v>
      </c>
      <c r="D372" s="23" t="s">
        <v>133</v>
      </c>
      <c r="E372" s="1135" t="s">
        <v>125</v>
      </c>
      <c r="F372" s="1136"/>
      <c r="G372" s="8" t="s">
        <v>126</v>
      </c>
      <c r="H372" s="9">
        <v>4.9099999999999998E-2</v>
      </c>
      <c r="I372" s="10">
        <v>10.55</v>
      </c>
      <c r="J372" s="495">
        <f t="shared" si="14"/>
        <v>0.51800500000000005</v>
      </c>
    </row>
    <row r="373" spans="1:10" ht="51">
      <c r="A373" s="494" t="s">
        <v>95</v>
      </c>
      <c r="B373" s="8" t="s">
        <v>134</v>
      </c>
      <c r="C373" s="23" t="s">
        <v>24</v>
      </c>
      <c r="D373" s="23" t="s">
        <v>135</v>
      </c>
      <c r="E373" s="1135" t="s">
        <v>125</v>
      </c>
      <c r="F373" s="1136"/>
      <c r="G373" s="8" t="s">
        <v>129</v>
      </c>
      <c r="H373" s="9">
        <v>0.1371</v>
      </c>
      <c r="I373" s="10">
        <v>0.97</v>
      </c>
      <c r="J373" s="495">
        <f t="shared" si="14"/>
        <v>0.13298699999999999</v>
      </c>
    </row>
    <row r="374" spans="1:10" ht="25.5">
      <c r="A374" s="496" t="s">
        <v>105</v>
      </c>
      <c r="B374" s="11" t="s">
        <v>243</v>
      </c>
      <c r="C374" s="24" t="s">
        <v>24</v>
      </c>
      <c r="D374" s="24" t="s">
        <v>244</v>
      </c>
      <c r="E374" s="1137" t="s">
        <v>108</v>
      </c>
      <c r="F374" s="1138"/>
      <c r="G374" s="11" t="s">
        <v>28</v>
      </c>
      <c r="H374" s="12">
        <v>5.6800000000000003E-2</v>
      </c>
      <c r="I374" s="13">
        <v>130</v>
      </c>
      <c r="J374" s="612">
        <f>I374*H374</f>
        <v>7.3840000000000003</v>
      </c>
    </row>
    <row r="375" spans="1:10">
      <c r="A375" s="496" t="s">
        <v>105</v>
      </c>
      <c r="B375" s="11" t="s">
        <v>245</v>
      </c>
      <c r="C375" s="24" t="s">
        <v>24</v>
      </c>
      <c r="D375" s="24" t="s">
        <v>246</v>
      </c>
      <c r="E375" s="1137" t="s">
        <v>108</v>
      </c>
      <c r="F375" s="1138"/>
      <c r="G375" s="11" t="s">
        <v>28</v>
      </c>
      <c r="H375" s="12">
        <v>9.7999999999999997E-3</v>
      </c>
      <c r="I375" s="13">
        <v>95.03</v>
      </c>
      <c r="J375" s="612">
        <f t="shared" ref="J375:J376" si="15">I375*H375</f>
        <v>0.93129399999999996</v>
      </c>
    </row>
    <row r="376" spans="1:10" ht="38.25">
      <c r="A376" s="496" t="s">
        <v>105</v>
      </c>
      <c r="B376" s="11" t="s">
        <v>286</v>
      </c>
      <c r="C376" s="24" t="s">
        <v>24</v>
      </c>
      <c r="D376" s="24" t="s">
        <v>287</v>
      </c>
      <c r="E376" s="1137" t="s">
        <v>108</v>
      </c>
      <c r="F376" s="1138"/>
      <c r="G376" s="11" t="s">
        <v>21</v>
      </c>
      <c r="H376" s="12">
        <v>1.03</v>
      </c>
      <c r="I376" s="13">
        <v>53.19</v>
      </c>
      <c r="J376" s="612">
        <f t="shared" si="15"/>
        <v>54.785699999999999</v>
      </c>
    </row>
    <row r="377" spans="1:10">
      <c r="A377" s="498"/>
      <c r="B377" s="20"/>
      <c r="C377" s="499"/>
      <c r="D377" s="499"/>
      <c r="E377" s="499" t="s">
        <v>116</v>
      </c>
      <c r="F377" s="500">
        <v>13.64</v>
      </c>
      <c r="G377" s="499" t="s">
        <v>117</v>
      </c>
      <c r="H377" s="500">
        <v>0</v>
      </c>
      <c r="I377" s="499" t="s">
        <v>118</v>
      </c>
      <c r="J377" s="501">
        <v>13.64</v>
      </c>
    </row>
    <row r="378" spans="1:10">
      <c r="A378" s="498"/>
      <c r="B378" s="20"/>
      <c r="C378" s="499"/>
      <c r="D378" s="499"/>
      <c r="E378" s="499" t="s">
        <v>119</v>
      </c>
      <c r="F378" s="500">
        <f>J378-J367</f>
        <v>17.099987758200001</v>
      </c>
      <c r="G378" s="499"/>
      <c r="H378" s="1082" t="s">
        <v>120</v>
      </c>
      <c r="I378" s="1082"/>
      <c r="J378" s="501">
        <f>J367*(1+G2)</f>
        <v>98.644993758200002</v>
      </c>
    </row>
    <row r="379" spans="1:10" ht="15" thickBot="1">
      <c r="A379" s="503"/>
      <c r="B379" s="666"/>
      <c r="C379" s="14"/>
      <c r="D379" s="14"/>
      <c r="E379" s="14"/>
      <c r="F379" s="14"/>
      <c r="G379" s="14" t="s">
        <v>121</v>
      </c>
      <c r="H379" s="504">
        <f>'OBRA 02 - MEMÓRIA'!O75</f>
        <v>191.62</v>
      </c>
      <c r="I379" s="14" t="s">
        <v>122</v>
      </c>
      <c r="J379" s="505">
        <f>TRUNC(H379*J378,2)</f>
        <v>18902.349999999999</v>
      </c>
    </row>
    <row r="380" spans="1:10" ht="15" thickTop="1">
      <c r="A380" s="506"/>
      <c r="B380" s="230"/>
      <c r="C380" s="15"/>
      <c r="D380" s="15"/>
      <c r="E380" s="15"/>
      <c r="F380" s="15"/>
      <c r="G380" s="15"/>
      <c r="H380" s="15"/>
      <c r="I380" s="15"/>
      <c r="J380" s="507"/>
    </row>
    <row r="381" spans="1:10" ht="15">
      <c r="A381" s="490" t="s">
        <v>373</v>
      </c>
      <c r="B381" s="31" t="s">
        <v>7</v>
      </c>
      <c r="C381" s="26" t="s">
        <v>8</v>
      </c>
      <c r="D381" s="26" t="s">
        <v>9</v>
      </c>
      <c r="E381" s="1143" t="s">
        <v>92</v>
      </c>
      <c r="F381" s="1144"/>
      <c r="G381" s="31" t="s">
        <v>10</v>
      </c>
      <c r="H381" s="29" t="s">
        <v>11</v>
      </c>
      <c r="I381" s="29" t="s">
        <v>12</v>
      </c>
      <c r="J381" s="491" t="s">
        <v>14</v>
      </c>
    </row>
    <row r="382" spans="1:10" ht="38.25">
      <c r="A382" s="492" t="s">
        <v>93</v>
      </c>
      <c r="B382" s="4" t="s">
        <v>422</v>
      </c>
      <c r="C382" s="27" t="s">
        <v>24</v>
      </c>
      <c r="D382" s="27" t="s">
        <v>423</v>
      </c>
      <c r="E382" s="1141" t="s">
        <v>448</v>
      </c>
      <c r="F382" s="1142"/>
      <c r="G382" s="4" t="s">
        <v>21</v>
      </c>
      <c r="H382" s="5">
        <v>1</v>
      </c>
      <c r="I382" s="6">
        <v>78.73</v>
      </c>
      <c r="J382" s="493">
        <f>SUM(J383:J389)</f>
        <v>79.956769999999992</v>
      </c>
    </row>
    <row r="383" spans="1:10" ht="25.5">
      <c r="A383" s="494" t="s">
        <v>95</v>
      </c>
      <c r="B383" s="8" t="s">
        <v>99</v>
      </c>
      <c r="C383" s="23" t="s">
        <v>24</v>
      </c>
      <c r="D383" s="23" t="s">
        <v>100</v>
      </c>
      <c r="E383" s="1135" t="s">
        <v>101</v>
      </c>
      <c r="F383" s="1136"/>
      <c r="G383" s="8" t="s">
        <v>102</v>
      </c>
      <c r="H383" s="9">
        <v>9.7600000000000006E-2</v>
      </c>
      <c r="I383" s="10">
        <v>26.12</v>
      </c>
      <c r="J383" s="495">
        <f>I383*H383</f>
        <v>2.5493120000000005</v>
      </c>
    </row>
    <row r="384" spans="1:10" ht="25.5">
      <c r="A384" s="494" t="s">
        <v>95</v>
      </c>
      <c r="B384" s="8" t="s">
        <v>130</v>
      </c>
      <c r="C384" s="23" t="s">
        <v>24</v>
      </c>
      <c r="D384" s="23" t="s">
        <v>131</v>
      </c>
      <c r="E384" s="1135" t="s">
        <v>101</v>
      </c>
      <c r="F384" s="1136"/>
      <c r="G384" s="8" t="s">
        <v>102</v>
      </c>
      <c r="H384" s="9">
        <v>0.14829999999999999</v>
      </c>
      <c r="I384" s="10">
        <v>26.5</v>
      </c>
      <c r="J384" s="495">
        <f t="shared" ref="J384:J386" si="16">I384*H384</f>
        <v>3.9299499999999998</v>
      </c>
    </row>
    <row r="385" spans="1:10" ht="25.5">
      <c r="A385" s="494" t="s">
        <v>95</v>
      </c>
      <c r="B385" s="8" t="s">
        <v>103</v>
      </c>
      <c r="C385" s="23" t="s">
        <v>24</v>
      </c>
      <c r="D385" s="23" t="s">
        <v>104</v>
      </c>
      <c r="E385" s="1135" t="s">
        <v>101</v>
      </c>
      <c r="F385" s="1136"/>
      <c r="G385" s="8" t="s">
        <v>102</v>
      </c>
      <c r="H385" s="9">
        <v>0.24590000000000001</v>
      </c>
      <c r="I385" s="10">
        <v>21.05</v>
      </c>
      <c r="J385" s="495">
        <f t="shared" si="16"/>
        <v>5.1761950000000008</v>
      </c>
    </row>
    <row r="386" spans="1:10" ht="38.25">
      <c r="A386" s="494" t="s">
        <v>95</v>
      </c>
      <c r="B386" s="8" t="s">
        <v>449</v>
      </c>
      <c r="C386" s="23" t="s">
        <v>24</v>
      </c>
      <c r="D386" s="23" t="s">
        <v>450</v>
      </c>
      <c r="E386" s="1135" t="s">
        <v>98</v>
      </c>
      <c r="F386" s="1136"/>
      <c r="G386" s="8" t="s">
        <v>28</v>
      </c>
      <c r="H386" s="9">
        <v>7.3899999999999993E-2</v>
      </c>
      <c r="I386" s="10">
        <v>483.67</v>
      </c>
      <c r="J386" s="495">
        <f t="shared" si="16"/>
        <v>35.743212999999997</v>
      </c>
    </row>
    <row r="387" spans="1:10" ht="25.5">
      <c r="A387" s="496" t="s">
        <v>105</v>
      </c>
      <c r="B387" s="11" t="s">
        <v>280</v>
      </c>
      <c r="C387" s="24" t="s">
        <v>24</v>
      </c>
      <c r="D387" s="24" t="s">
        <v>281</v>
      </c>
      <c r="E387" s="1137" t="s">
        <v>108</v>
      </c>
      <c r="F387" s="1138"/>
      <c r="G387" s="11" t="s">
        <v>76</v>
      </c>
      <c r="H387" s="12">
        <v>0.45</v>
      </c>
      <c r="I387" s="13">
        <v>3.73</v>
      </c>
      <c r="J387" s="612">
        <f>I387*H387</f>
        <v>1.6785000000000001</v>
      </c>
    </row>
    <row r="388" spans="1:10">
      <c r="A388" s="496" t="s">
        <v>105</v>
      </c>
      <c r="B388" s="11" t="s">
        <v>451</v>
      </c>
      <c r="C388" s="24" t="s">
        <v>24</v>
      </c>
      <c r="D388" s="24" t="s">
        <v>452</v>
      </c>
      <c r="E388" s="1137" t="s">
        <v>108</v>
      </c>
      <c r="F388" s="1138"/>
      <c r="G388" s="11" t="s">
        <v>113</v>
      </c>
      <c r="H388" s="12">
        <v>2.4E-2</v>
      </c>
      <c r="I388" s="13">
        <v>15.77</v>
      </c>
      <c r="J388" s="612">
        <f t="shared" ref="J388:J389" si="17">I388*H388</f>
        <v>0.37847999999999998</v>
      </c>
    </row>
    <row r="389" spans="1:10" ht="38.25">
      <c r="A389" s="496" t="s">
        <v>105</v>
      </c>
      <c r="B389" s="11" t="s">
        <v>453</v>
      </c>
      <c r="C389" s="24" t="s">
        <v>24</v>
      </c>
      <c r="D389" s="24" t="s">
        <v>454</v>
      </c>
      <c r="E389" s="1137" t="s">
        <v>108</v>
      </c>
      <c r="F389" s="1138"/>
      <c r="G389" s="11" t="s">
        <v>21</v>
      </c>
      <c r="H389" s="12">
        <v>1.0815999999999999</v>
      </c>
      <c r="I389" s="13">
        <v>28.2</v>
      </c>
      <c r="J389" s="612">
        <f t="shared" si="17"/>
        <v>30.501119999999997</v>
      </c>
    </row>
    <row r="390" spans="1:10" ht="55.15" customHeight="1">
      <c r="A390" s="498"/>
      <c r="B390" s="20"/>
      <c r="C390" s="499"/>
      <c r="D390" s="499"/>
      <c r="E390" s="499" t="s">
        <v>116</v>
      </c>
      <c r="F390" s="500">
        <v>14.78</v>
      </c>
      <c r="G390" s="499" t="s">
        <v>117</v>
      </c>
      <c r="H390" s="500">
        <v>0</v>
      </c>
      <c r="I390" s="499" t="s">
        <v>118</v>
      </c>
      <c r="J390" s="501">
        <v>14.78</v>
      </c>
    </row>
    <row r="391" spans="1:10">
      <c r="A391" s="498"/>
      <c r="B391" s="20"/>
      <c r="C391" s="499"/>
      <c r="D391" s="499"/>
      <c r="E391" s="499" t="s">
        <v>119</v>
      </c>
      <c r="F391" s="500">
        <f>J391-J382</f>
        <v>16.766934668999994</v>
      </c>
      <c r="G391" s="499"/>
      <c r="H391" s="1082" t="s">
        <v>120</v>
      </c>
      <c r="I391" s="1082"/>
      <c r="J391" s="501">
        <f>J382*(1+G2)</f>
        <v>96.723704668999986</v>
      </c>
    </row>
    <row r="392" spans="1:10" ht="15" thickBot="1">
      <c r="A392" s="503"/>
      <c r="B392" s="666"/>
      <c r="C392" s="14"/>
      <c r="D392" s="14"/>
      <c r="E392" s="14"/>
      <c r="F392" s="14"/>
      <c r="G392" s="14" t="s">
        <v>121</v>
      </c>
      <c r="H392" s="504">
        <f>'OBRA 02 - MEMÓRIA'!O77</f>
        <v>927.05</v>
      </c>
      <c r="I392" s="14" t="s">
        <v>122</v>
      </c>
      <c r="J392" s="505">
        <f>TRUNC(H392*J391,2)</f>
        <v>89667.71</v>
      </c>
    </row>
    <row r="393" spans="1:10" ht="15" thickTop="1">
      <c r="A393" s="506"/>
      <c r="B393" s="230"/>
      <c r="C393" s="15"/>
      <c r="D393" s="15"/>
      <c r="E393" s="15"/>
      <c r="F393" s="15"/>
      <c r="G393" s="15"/>
      <c r="H393" s="15"/>
      <c r="I393" s="15"/>
      <c r="J393" s="507"/>
    </row>
    <row r="394" spans="1:10" ht="15">
      <c r="A394" s="490" t="s">
        <v>374</v>
      </c>
      <c r="B394" s="31" t="s">
        <v>7</v>
      </c>
      <c r="C394" s="26" t="s">
        <v>8</v>
      </c>
      <c r="D394" s="26" t="s">
        <v>9</v>
      </c>
      <c r="E394" s="1143" t="s">
        <v>92</v>
      </c>
      <c r="F394" s="1144"/>
      <c r="G394" s="31" t="s">
        <v>10</v>
      </c>
      <c r="H394" s="29" t="s">
        <v>11</v>
      </c>
      <c r="I394" s="29" t="s">
        <v>12</v>
      </c>
      <c r="J394" s="491" t="s">
        <v>14</v>
      </c>
    </row>
    <row r="395" spans="1:10" ht="51">
      <c r="A395" s="492" t="s">
        <v>93</v>
      </c>
      <c r="B395" s="4" t="s">
        <v>42</v>
      </c>
      <c r="C395" s="27" t="s">
        <v>24</v>
      </c>
      <c r="D395" s="27" t="s">
        <v>667</v>
      </c>
      <c r="E395" s="1141" t="s">
        <v>184</v>
      </c>
      <c r="F395" s="1142"/>
      <c r="G395" s="4" t="s">
        <v>28</v>
      </c>
      <c r="H395" s="5">
        <v>1</v>
      </c>
      <c r="I395" s="6">
        <v>7.67</v>
      </c>
      <c r="J395" s="493">
        <f>SUM(J396:J399)</f>
        <v>7.8073019999999991</v>
      </c>
    </row>
    <row r="396" spans="1:10" ht="51">
      <c r="A396" s="494" t="s">
        <v>95</v>
      </c>
      <c r="B396" s="8" t="s">
        <v>185</v>
      </c>
      <c r="C396" s="23" t="s">
        <v>24</v>
      </c>
      <c r="D396" s="23" t="s">
        <v>186</v>
      </c>
      <c r="E396" s="1135" t="s">
        <v>125</v>
      </c>
      <c r="F396" s="1136"/>
      <c r="G396" s="8" t="s">
        <v>126</v>
      </c>
      <c r="H396" s="9">
        <v>2.2499999999999999E-2</v>
      </c>
      <c r="I396" s="10">
        <v>186.94</v>
      </c>
      <c r="J396" s="495">
        <f>I396*H396</f>
        <v>4.2061500000000001</v>
      </c>
    </row>
    <row r="397" spans="1:10" ht="51">
      <c r="A397" s="494" t="s">
        <v>95</v>
      </c>
      <c r="B397" s="8" t="s">
        <v>187</v>
      </c>
      <c r="C397" s="23" t="s">
        <v>24</v>
      </c>
      <c r="D397" s="23" t="s">
        <v>188</v>
      </c>
      <c r="E397" s="1135" t="s">
        <v>125</v>
      </c>
      <c r="F397" s="1136"/>
      <c r="G397" s="8" t="s">
        <v>129</v>
      </c>
      <c r="H397" s="9">
        <v>1.8499999999999999E-2</v>
      </c>
      <c r="I397" s="10">
        <v>62.47</v>
      </c>
      <c r="J397" s="495">
        <f t="shared" ref="J397:J399" si="18">I397*H397</f>
        <v>1.1556949999999999</v>
      </c>
    </row>
    <row r="398" spans="1:10" ht="38.25">
      <c r="A398" s="494" t="s">
        <v>95</v>
      </c>
      <c r="B398" s="8" t="s">
        <v>200</v>
      </c>
      <c r="C398" s="23" t="s">
        <v>24</v>
      </c>
      <c r="D398" s="23" t="s">
        <v>201</v>
      </c>
      <c r="E398" s="1135" t="s">
        <v>125</v>
      </c>
      <c r="F398" s="1136"/>
      <c r="G398" s="8" t="s">
        <v>126</v>
      </c>
      <c r="H398" s="9">
        <v>4.1999999999999997E-3</v>
      </c>
      <c r="I398" s="10">
        <v>257.7</v>
      </c>
      <c r="J398" s="495">
        <f t="shared" si="18"/>
        <v>1.0823399999999999</v>
      </c>
    </row>
    <row r="399" spans="1:10" ht="38.25">
      <c r="A399" s="494" t="s">
        <v>95</v>
      </c>
      <c r="B399" s="8" t="s">
        <v>202</v>
      </c>
      <c r="C399" s="23" t="s">
        <v>24</v>
      </c>
      <c r="D399" s="23" t="s">
        <v>203</v>
      </c>
      <c r="E399" s="1135" t="s">
        <v>125</v>
      </c>
      <c r="F399" s="1136"/>
      <c r="G399" s="8" t="s">
        <v>129</v>
      </c>
      <c r="H399" s="9">
        <v>1.3299999999999999E-2</v>
      </c>
      <c r="I399" s="10">
        <v>102.49</v>
      </c>
      <c r="J399" s="495">
        <f t="shared" si="18"/>
        <v>1.3631169999999999</v>
      </c>
    </row>
    <row r="400" spans="1:10">
      <c r="A400" s="498"/>
      <c r="B400" s="20"/>
      <c r="C400" s="499"/>
      <c r="D400" s="499"/>
      <c r="E400" s="499" t="s">
        <v>116</v>
      </c>
      <c r="F400" s="500">
        <v>1.4</v>
      </c>
      <c r="G400" s="499" t="s">
        <v>117</v>
      </c>
      <c r="H400" s="500">
        <v>0</v>
      </c>
      <c r="I400" s="499" t="s">
        <v>118</v>
      </c>
      <c r="J400" s="501">
        <v>1.4</v>
      </c>
    </row>
    <row r="401" spans="1:10">
      <c r="A401" s="498"/>
      <c r="B401" s="20"/>
      <c r="C401" s="499"/>
      <c r="D401" s="499"/>
      <c r="E401" s="499" t="s">
        <v>119</v>
      </c>
      <c r="F401" s="500">
        <f>J401-J395</f>
        <v>1.6371912293999999</v>
      </c>
      <c r="G401" s="499"/>
      <c r="H401" s="1082" t="s">
        <v>120</v>
      </c>
      <c r="I401" s="1082"/>
      <c r="J401" s="501">
        <f>J395*(1+G2)</f>
        <v>9.444493229399999</v>
      </c>
    </row>
    <row r="402" spans="1:10" ht="15" thickBot="1">
      <c r="A402" s="503"/>
      <c r="B402" s="666"/>
      <c r="C402" s="14"/>
      <c r="D402" s="14"/>
      <c r="E402" s="14"/>
      <c r="F402" s="14"/>
      <c r="G402" s="14" t="s">
        <v>121</v>
      </c>
      <c r="H402" s="504">
        <f>'OBRA 02 - MEMÓRIA'!O80</f>
        <v>12.761892000000001</v>
      </c>
      <c r="I402" s="14" t="s">
        <v>122</v>
      </c>
      <c r="J402" s="505">
        <f>TRUNC(H402*J401,2)</f>
        <v>120.52</v>
      </c>
    </row>
    <row r="403" spans="1:10" ht="15" thickTop="1">
      <c r="A403" s="506"/>
      <c r="B403" s="230"/>
      <c r="C403" s="15"/>
      <c r="D403" s="15"/>
      <c r="E403" s="15"/>
      <c r="F403" s="15"/>
      <c r="G403" s="15"/>
      <c r="H403" s="15"/>
      <c r="I403" s="15"/>
      <c r="J403" s="507"/>
    </row>
    <row r="404" spans="1:10" ht="15">
      <c r="A404" s="490" t="s">
        <v>424</v>
      </c>
      <c r="B404" s="31" t="s">
        <v>7</v>
      </c>
      <c r="C404" s="26" t="s">
        <v>8</v>
      </c>
      <c r="D404" s="26" t="s">
        <v>9</v>
      </c>
      <c r="E404" s="1143" t="s">
        <v>92</v>
      </c>
      <c r="F404" s="1144"/>
      <c r="G404" s="31" t="s">
        <v>10</v>
      </c>
      <c r="H404" s="29" t="s">
        <v>11</v>
      </c>
      <c r="I404" s="29" t="s">
        <v>12</v>
      </c>
      <c r="J404" s="491" t="s">
        <v>14</v>
      </c>
    </row>
    <row r="405" spans="1:10" ht="38.25">
      <c r="A405" s="492" t="s">
        <v>93</v>
      </c>
      <c r="B405" s="4" t="s">
        <v>56</v>
      </c>
      <c r="C405" s="27" t="s">
        <v>24</v>
      </c>
      <c r="D405" s="27" t="s">
        <v>653</v>
      </c>
      <c r="E405" s="1141" t="s">
        <v>184</v>
      </c>
      <c r="F405" s="1142"/>
      <c r="G405" s="4" t="s">
        <v>36</v>
      </c>
      <c r="H405" s="5">
        <v>1</v>
      </c>
      <c r="I405" s="6">
        <v>2.46</v>
      </c>
      <c r="J405" s="493">
        <f>SUM(J406:J407)</f>
        <v>2.4911820000000002</v>
      </c>
    </row>
    <row r="406" spans="1:10" ht="51">
      <c r="A406" s="494" t="s">
        <v>95</v>
      </c>
      <c r="B406" s="8" t="s">
        <v>233</v>
      </c>
      <c r="C406" s="23" t="s">
        <v>24</v>
      </c>
      <c r="D406" s="23" t="s">
        <v>234</v>
      </c>
      <c r="E406" s="1135" t="s">
        <v>125</v>
      </c>
      <c r="F406" s="1136"/>
      <c r="G406" s="8" t="s">
        <v>126</v>
      </c>
      <c r="H406" s="9">
        <v>8.3000000000000001E-3</v>
      </c>
      <c r="I406" s="10">
        <v>268.74</v>
      </c>
      <c r="J406" s="495">
        <f>I406*H406</f>
        <v>2.2305420000000002</v>
      </c>
    </row>
    <row r="407" spans="1:10" ht="51">
      <c r="A407" s="494" t="s">
        <v>95</v>
      </c>
      <c r="B407" s="8" t="s">
        <v>235</v>
      </c>
      <c r="C407" s="23" t="s">
        <v>24</v>
      </c>
      <c r="D407" s="23" t="s">
        <v>236</v>
      </c>
      <c r="E407" s="1135" t="s">
        <v>125</v>
      </c>
      <c r="F407" s="1136"/>
      <c r="G407" s="8" t="s">
        <v>129</v>
      </c>
      <c r="H407" s="9">
        <v>3.5999999999999999E-3</v>
      </c>
      <c r="I407" s="10">
        <v>72.400000000000006</v>
      </c>
      <c r="J407" s="495">
        <f>I407*H407</f>
        <v>0.26064000000000004</v>
      </c>
    </row>
    <row r="408" spans="1:10">
      <c r="A408" s="498"/>
      <c r="B408" s="20"/>
      <c r="C408" s="499"/>
      <c r="D408" s="499"/>
      <c r="E408" s="499" t="s">
        <v>116</v>
      </c>
      <c r="F408" s="500">
        <v>0.24000000000000002</v>
      </c>
      <c r="G408" s="499" t="s">
        <v>117</v>
      </c>
      <c r="H408" s="500">
        <v>0</v>
      </c>
      <c r="I408" s="499" t="s">
        <v>118</v>
      </c>
      <c r="J408" s="501">
        <v>0.24000000000000002</v>
      </c>
    </row>
    <row r="409" spans="1:10" ht="14.45" customHeight="1">
      <c r="A409" s="498"/>
      <c r="B409" s="20"/>
      <c r="C409" s="499"/>
      <c r="D409" s="499"/>
      <c r="E409" s="499" t="s">
        <v>119</v>
      </c>
      <c r="F409" s="500">
        <v>0.61</v>
      </c>
      <c r="G409" s="499"/>
      <c r="H409" s="1082" t="s">
        <v>120</v>
      </c>
      <c r="I409" s="1082"/>
      <c r="J409" s="501">
        <f>J405*(1+G2)</f>
        <v>3.0135828654000001</v>
      </c>
    </row>
    <row r="410" spans="1:10" ht="15" thickBot="1">
      <c r="A410" s="503"/>
      <c r="B410" s="666"/>
      <c r="C410" s="14"/>
      <c r="D410" s="14"/>
      <c r="E410" s="14"/>
      <c r="F410" s="14"/>
      <c r="G410" s="14" t="s">
        <v>121</v>
      </c>
      <c r="H410" s="504">
        <f>'OBRA 02 - MEMÓRIA'!O83</f>
        <v>382.85676000000007</v>
      </c>
      <c r="I410" s="14" t="s">
        <v>122</v>
      </c>
      <c r="J410" s="505">
        <f>TRUNC(H410*J409,2)</f>
        <v>1153.77</v>
      </c>
    </row>
    <row r="411" spans="1:10" ht="15" thickTop="1">
      <c r="A411" s="506"/>
      <c r="B411" s="230"/>
      <c r="C411" s="15"/>
      <c r="D411" s="15"/>
      <c r="E411" s="15"/>
      <c r="F411" s="15"/>
      <c r="G411" s="15"/>
      <c r="H411" s="15"/>
      <c r="I411" s="15"/>
      <c r="J411" s="507"/>
    </row>
    <row r="412" spans="1:10">
      <c r="A412" s="518">
        <v>6</v>
      </c>
      <c r="B412" s="229"/>
      <c r="C412" s="25"/>
      <c r="D412" s="25" t="s">
        <v>329</v>
      </c>
      <c r="E412" s="25"/>
      <c r="F412" s="1139"/>
      <c r="G412" s="1140"/>
      <c r="H412" s="1"/>
      <c r="I412" s="25"/>
      <c r="J412" s="519">
        <f>J425</f>
        <v>20992.07</v>
      </c>
    </row>
    <row r="413" spans="1:10" ht="15">
      <c r="A413" s="490" t="s">
        <v>85</v>
      </c>
      <c r="B413" s="31" t="s">
        <v>7</v>
      </c>
      <c r="C413" s="26" t="s">
        <v>8</v>
      </c>
      <c r="D413" s="26" t="s">
        <v>9</v>
      </c>
      <c r="E413" s="1143" t="s">
        <v>92</v>
      </c>
      <c r="F413" s="1144"/>
      <c r="G413" s="31" t="s">
        <v>10</v>
      </c>
      <c r="H413" s="29" t="s">
        <v>11</v>
      </c>
      <c r="I413" s="29" t="s">
        <v>12</v>
      </c>
      <c r="J413" s="491" t="s">
        <v>14</v>
      </c>
    </row>
    <row r="414" spans="1:10" ht="51">
      <c r="A414" s="492" t="s">
        <v>93</v>
      </c>
      <c r="B414" s="4" t="s">
        <v>330</v>
      </c>
      <c r="C414" s="27" t="s">
        <v>24</v>
      </c>
      <c r="D414" s="27" t="s">
        <v>331</v>
      </c>
      <c r="E414" s="1141" t="s">
        <v>346</v>
      </c>
      <c r="F414" s="1142"/>
      <c r="G414" s="4" t="s">
        <v>76</v>
      </c>
      <c r="H414" s="5">
        <v>1</v>
      </c>
      <c r="I414" s="6">
        <v>6.62</v>
      </c>
      <c r="J414" s="493">
        <f>SUM(J415:J422)</f>
        <v>6.3876930000000005</v>
      </c>
    </row>
    <row r="415" spans="1:10" ht="25.5">
      <c r="A415" s="494" t="s">
        <v>95</v>
      </c>
      <c r="B415" s="8" t="s">
        <v>347</v>
      </c>
      <c r="C415" s="23" t="s">
        <v>24</v>
      </c>
      <c r="D415" s="23" t="s">
        <v>348</v>
      </c>
      <c r="E415" s="1135" t="s">
        <v>101</v>
      </c>
      <c r="F415" s="1136"/>
      <c r="G415" s="8" t="s">
        <v>102</v>
      </c>
      <c r="H415" s="9">
        <v>3.4000000000000002E-2</v>
      </c>
      <c r="I415" s="10">
        <v>27.98</v>
      </c>
      <c r="J415" s="495">
        <f>I415*H415</f>
        <v>0.95132000000000005</v>
      </c>
    </row>
    <row r="416" spans="1:10" ht="25.5">
      <c r="A416" s="494" t="s">
        <v>95</v>
      </c>
      <c r="B416" s="8" t="s">
        <v>103</v>
      </c>
      <c r="C416" s="23" t="s">
        <v>24</v>
      </c>
      <c r="D416" s="23" t="s">
        <v>104</v>
      </c>
      <c r="E416" s="1135" t="s">
        <v>101</v>
      </c>
      <c r="F416" s="1136"/>
      <c r="G416" s="8" t="s">
        <v>102</v>
      </c>
      <c r="H416" s="9">
        <v>1.4E-2</v>
      </c>
      <c r="I416" s="10">
        <v>21.05</v>
      </c>
      <c r="J416" s="495">
        <f t="shared" ref="J416:J418" si="19">I416*H416</f>
        <v>0.29470000000000002</v>
      </c>
    </row>
    <row r="417" spans="1:10" ht="25.5">
      <c r="A417" s="494" t="s">
        <v>95</v>
      </c>
      <c r="B417" s="8" t="s">
        <v>349</v>
      </c>
      <c r="C417" s="23" t="s">
        <v>24</v>
      </c>
      <c r="D417" s="23" t="s">
        <v>350</v>
      </c>
      <c r="E417" s="1135" t="s">
        <v>125</v>
      </c>
      <c r="F417" s="1136"/>
      <c r="G417" s="8" t="s">
        <v>126</v>
      </c>
      <c r="H417" s="9">
        <v>2.9999999999999997E-4</v>
      </c>
      <c r="I417" s="10">
        <v>187.61</v>
      </c>
      <c r="J417" s="495">
        <f t="shared" si="19"/>
        <v>5.6283E-2</v>
      </c>
    </row>
    <row r="418" spans="1:10" ht="25.5">
      <c r="A418" s="494" t="s">
        <v>95</v>
      </c>
      <c r="B418" s="8" t="s">
        <v>351</v>
      </c>
      <c r="C418" s="23" t="s">
        <v>24</v>
      </c>
      <c r="D418" s="23" t="s">
        <v>352</v>
      </c>
      <c r="E418" s="1135" t="s">
        <v>125</v>
      </c>
      <c r="F418" s="1136"/>
      <c r="G418" s="8" t="s">
        <v>129</v>
      </c>
      <c r="H418" s="9">
        <v>3.3399999999999999E-2</v>
      </c>
      <c r="I418" s="10">
        <v>99</v>
      </c>
      <c r="J418" s="495">
        <f t="shared" si="19"/>
        <v>3.3066</v>
      </c>
    </row>
    <row r="419" spans="1:10">
      <c r="A419" s="496" t="s">
        <v>105</v>
      </c>
      <c r="B419" s="11" t="s">
        <v>353</v>
      </c>
      <c r="C419" s="24" t="s">
        <v>24</v>
      </c>
      <c r="D419" s="24" t="s">
        <v>354</v>
      </c>
      <c r="E419" s="1137" t="s">
        <v>108</v>
      </c>
      <c r="F419" s="1138"/>
      <c r="G419" s="11" t="s">
        <v>288</v>
      </c>
      <c r="H419" s="12">
        <v>2E-3</v>
      </c>
      <c r="I419" s="13">
        <v>25.98</v>
      </c>
      <c r="J419" s="612">
        <f>I419*H419</f>
        <v>5.1959999999999999E-2</v>
      </c>
    </row>
    <row r="420" spans="1:10" ht="25.5">
      <c r="A420" s="496" t="s">
        <v>105</v>
      </c>
      <c r="B420" s="11" t="s">
        <v>355</v>
      </c>
      <c r="C420" s="24" t="s">
        <v>24</v>
      </c>
      <c r="D420" s="24" t="s">
        <v>356</v>
      </c>
      <c r="E420" s="1137" t="s">
        <v>108</v>
      </c>
      <c r="F420" s="1138"/>
      <c r="G420" s="11" t="s">
        <v>288</v>
      </c>
      <c r="H420" s="12">
        <v>4.2999999999999997E-2</v>
      </c>
      <c r="I420" s="13">
        <v>32.49</v>
      </c>
      <c r="J420" s="612">
        <f t="shared" ref="J420:J422" si="20">I420*H420</f>
        <v>1.39707</v>
      </c>
    </row>
    <row r="421" spans="1:10" ht="14.45" customHeight="1">
      <c r="A421" s="496" t="s">
        <v>105</v>
      </c>
      <c r="B421" s="11" t="s">
        <v>357</v>
      </c>
      <c r="C421" s="24" t="s">
        <v>24</v>
      </c>
      <c r="D421" s="24" t="s">
        <v>358</v>
      </c>
      <c r="E421" s="1137" t="s">
        <v>108</v>
      </c>
      <c r="F421" s="1138"/>
      <c r="G421" s="11" t="s">
        <v>113</v>
      </c>
      <c r="H421" s="12">
        <v>2.5000000000000001E-2</v>
      </c>
      <c r="I421" s="13">
        <v>9.16</v>
      </c>
      <c r="J421" s="612">
        <f t="shared" si="20"/>
        <v>0.22900000000000001</v>
      </c>
    </row>
    <row r="422" spans="1:10" ht="25.5">
      <c r="A422" s="496" t="s">
        <v>105</v>
      </c>
      <c r="B422" s="11" t="s">
        <v>359</v>
      </c>
      <c r="C422" s="24" t="s">
        <v>24</v>
      </c>
      <c r="D422" s="24" t="s">
        <v>360</v>
      </c>
      <c r="E422" s="1137" t="s">
        <v>108</v>
      </c>
      <c r="F422" s="1138"/>
      <c r="G422" s="11" t="s">
        <v>113</v>
      </c>
      <c r="H422" s="12">
        <v>1.0999999999999999E-2</v>
      </c>
      <c r="I422" s="13">
        <v>9.16</v>
      </c>
      <c r="J422" s="612">
        <f t="shared" si="20"/>
        <v>0.10076</v>
      </c>
    </row>
    <row r="423" spans="1:10" ht="14.25" customHeight="1">
      <c r="A423" s="498"/>
      <c r="B423" s="20"/>
      <c r="C423" s="499"/>
      <c r="D423" s="499"/>
      <c r="E423" s="499" t="s">
        <v>116</v>
      </c>
      <c r="F423" s="500">
        <v>1.92</v>
      </c>
      <c r="G423" s="499" t="s">
        <v>117</v>
      </c>
      <c r="H423" s="500">
        <v>0</v>
      </c>
      <c r="I423" s="499" t="s">
        <v>118</v>
      </c>
      <c r="J423" s="501">
        <v>1.92</v>
      </c>
    </row>
    <row r="424" spans="1:10" ht="15" customHeight="1">
      <c r="A424" s="498"/>
      <c r="B424" s="20"/>
      <c r="C424" s="499"/>
      <c r="D424" s="499"/>
      <c r="E424" s="499" t="s">
        <v>119</v>
      </c>
      <c r="F424" s="500">
        <f>J424-J414</f>
        <v>1.3394992220999997</v>
      </c>
      <c r="G424" s="499"/>
      <c r="H424" s="1082" t="s">
        <v>120</v>
      </c>
      <c r="I424" s="1082"/>
      <c r="J424" s="501">
        <f>J414*(1+G2)</f>
        <v>7.7271922221000002</v>
      </c>
    </row>
    <row r="425" spans="1:10" ht="15" thickBot="1">
      <c r="A425" s="503"/>
      <c r="B425" s="666"/>
      <c r="C425" s="14"/>
      <c r="D425" s="14"/>
      <c r="E425" s="14"/>
      <c r="F425" s="14"/>
      <c r="G425" s="14" t="s">
        <v>121</v>
      </c>
      <c r="H425" s="504">
        <f>'OBRA 02 - MEMÓRIA'!O86</f>
        <v>2716.65</v>
      </c>
      <c r="I425" s="14" t="s">
        <v>122</v>
      </c>
      <c r="J425" s="505">
        <f>TRUNC(H425*J424,2)</f>
        <v>20992.07</v>
      </c>
    </row>
    <row r="426" spans="1:10" ht="15" thickTop="1">
      <c r="A426" s="506"/>
      <c r="B426" s="230"/>
      <c r="C426" s="15"/>
      <c r="D426" s="15"/>
      <c r="E426" s="15"/>
      <c r="F426" s="15"/>
      <c r="G426" s="15"/>
      <c r="H426" s="15"/>
      <c r="I426" s="15"/>
      <c r="J426" s="507"/>
    </row>
    <row r="427" spans="1:10">
      <c r="A427" s="518">
        <v>7</v>
      </c>
      <c r="B427" s="229"/>
      <c r="C427" s="25"/>
      <c r="D427" s="25" t="s">
        <v>87</v>
      </c>
      <c r="E427" s="25"/>
      <c r="F427" s="1139"/>
      <c r="G427" s="1140"/>
      <c r="H427" s="1"/>
      <c r="I427" s="25"/>
      <c r="J427" s="519">
        <f>J438</f>
        <v>98595.19</v>
      </c>
    </row>
    <row r="428" spans="1:10" ht="15">
      <c r="A428" s="490" t="s">
        <v>86</v>
      </c>
      <c r="B428" s="31" t="s">
        <v>7</v>
      </c>
      <c r="C428" s="26" t="s">
        <v>8</v>
      </c>
      <c r="D428" s="26" t="s">
        <v>9</v>
      </c>
      <c r="E428" s="1143" t="s">
        <v>92</v>
      </c>
      <c r="F428" s="1144"/>
      <c r="G428" s="31" t="s">
        <v>10</v>
      </c>
      <c r="H428" s="29" t="s">
        <v>11</v>
      </c>
      <c r="I428" s="29" t="s">
        <v>12</v>
      </c>
      <c r="J428" s="491" t="s">
        <v>14</v>
      </c>
    </row>
    <row r="429" spans="1:10">
      <c r="A429" s="492" t="s">
        <v>93</v>
      </c>
      <c r="B429" s="4" t="s">
        <v>88</v>
      </c>
      <c r="C429" s="27" t="s">
        <v>19</v>
      </c>
      <c r="D429" s="27" t="s">
        <v>89</v>
      </c>
      <c r="E429" s="1141" t="s">
        <v>101</v>
      </c>
      <c r="F429" s="1142"/>
      <c r="G429" s="4" t="s">
        <v>90</v>
      </c>
      <c r="H429" s="5">
        <v>1</v>
      </c>
      <c r="I429" s="6">
        <v>50804.55</v>
      </c>
      <c r="J429" s="493">
        <f>SUM(J430:J435)</f>
        <v>50939.899999999994</v>
      </c>
    </row>
    <row r="430" spans="1:10" ht="25.5">
      <c r="A430" s="494" t="s">
        <v>95</v>
      </c>
      <c r="B430" s="8" t="s">
        <v>289</v>
      </c>
      <c r="C430" s="23" t="s">
        <v>24</v>
      </c>
      <c r="D430" s="23" t="s">
        <v>290</v>
      </c>
      <c r="E430" s="1135" t="s">
        <v>101</v>
      </c>
      <c r="F430" s="1136"/>
      <c r="G430" s="8" t="s">
        <v>291</v>
      </c>
      <c r="H430" s="9">
        <v>1</v>
      </c>
      <c r="I430" s="10">
        <v>22082.95</v>
      </c>
      <c r="J430" s="495">
        <f>I430*H430</f>
        <v>22082.95</v>
      </c>
    </row>
    <row r="431" spans="1:10" ht="25.5">
      <c r="A431" s="494" t="s">
        <v>95</v>
      </c>
      <c r="B431" s="8" t="s">
        <v>292</v>
      </c>
      <c r="C431" s="23" t="s">
        <v>24</v>
      </c>
      <c r="D431" s="23" t="s">
        <v>293</v>
      </c>
      <c r="E431" s="1135" t="s">
        <v>101</v>
      </c>
      <c r="F431" s="1136"/>
      <c r="G431" s="8" t="s">
        <v>291</v>
      </c>
      <c r="H431" s="9">
        <v>1</v>
      </c>
      <c r="I431" s="10">
        <v>9574.6200000000008</v>
      </c>
      <c r="J431" s="495">
        <f t="shared" ref="J431:J435" si="21">I431*H431</f>
        <v>9574.6200000000008</v>
      </c>
    </row>
    <row r="432" spans="1:10" ht="25.5">
      <c r="A432" s="494" t="s">
        <v>95</v>
      </c>
      <c r="B432" s="8" t="s">
        <v>294</v>
      </c>
      <c r="C432" s="23" t="s">
        <v>24</v>
      </c>
      <c r="D432" s="23" t="s">
        <v>295</v>
      </c>
      <c r="E432" s="1135" t="s">
        <v>101</v>
      </c>
      <c r="F432" s="1136"/>
      <c r="G432" s="8" t="s">
        <v>291</v>
      </c>
      <c r="H432" s="9">
        <v>1</v>
      </c>
      <c r="I432" s="10">
        <v>6318.43</v>
      </c>
      <c r="J432" s="495">
        <f t="shared" si="21"/>
        <v>6318.43</v>
      </c>
    </row>
    <row r="433" spans="1:10" ht="25.5">
      <c r="A433" s="494" t="s">
        <v>95</v>
      </c>
      <c r="B433" s="8" t="s">
        <v>296</v>
      </c>
      <c r="C433" s="23" t="s">
        <v>24</v>
      </c>
      <c r="D433" s="23" t="s">
        <v>297</v>
      </c>
      <c r="E433" s="1135" t="s">
        <v>101</v>
      </c>
      <c r="F433" s="1136"/>
      <c r="G433" s="8" t="s">
        <v>291</v>
      </c>
      <c r="H433" s="9">
        <v>1</v>
      </c>
      <c r="I433" s="10">
        <v>5095.74</v>
      </c>
      <c r="J433" s="495">
        <f t="shared" si="21"/>
        <v>5095.74</v>
      </c>
    </row>
    <row r="434" spans="1:10" ht="25.5">
      <c r="A434" s="494" t="s">
        <v>95</v>
      </c>
      <c r="B434" s="8" t="s">
        <v>298</v>
      </c>
      <c r="C434" s="23" t="s">
        <v>24</v>
      </c>
      <c r="D434" s="23" t="s">
        <v>299</v>
      </c>
      <c r="E434" s="1135" t="s">
        <v>101</v>
      </c>
      <c r="F434" s="1136"/>
      <c r="G434" s="8" t="s">
        <v>291</v>
      </c>
      <c r="H434" s="9">
        <v>1</v>
      </c>
      <c r="I434" s="10">
        <v>4096.0200000000004</v>
      </c>
      <c r="J434" s="495">
        <f t="shared" si="21"/>
        <v>4096.0200000000004</v>
      </c>
    </row>
    <row r="435" spans="1:10" ht="25.5">
      <c r="A435" s="494" t="s">
        <v>95</v>
      </c>
      <c r="B435" s="8" t="s">
        <v>300</v>
      </c>
      <c r="C435" s="23" t="s">
        <v>24</v>
      </c>
      <c r="D435" s="23" t="s">
        <v>301</v>
      </c>
      <c r="E435" s="1135" t="s">
        <v>101</v>
      </c>
      <c r="F435" s="1136"/>
      <c r="G435" s="8" t="s">
        <v>291</v>
      </c>
      <c r="H435" s="9">
        <v>1</v>
      </c>
      <c r="I435" s="10">
        <v>3772.14</v>
      </c>
      <c r="J435" s="495">
        <f t="shared" si="21"/>
        <v>3772.14</v>
      </c>
    </row>
    <row r="436" spans="1:10">
      <c r="A436" s="498"/>
      <c r="B436" s="20"/>
      <c r="C436" s="499"/>
      <c r="D436" s="499"/>
      <c r="E436" s="499" t="s">
        <v>116</v>
      </c>
      <c r="F436" s="500">
        <v>47655.799999999996</v>
      </c>
      <c r="G436" s="499" t="s">
        <v>117</v>
      </c>
      <c r="H436" s="500">
        <v>0</v>
      </c>
      <c r="I436" s="499" t="s">
        <v>118</v>
      </c>
      <c r="J436" s="501">
        <v>47655.799999999996</v>
      </c>
    </row>
    <row r="437" spans="1:10">
      <c r="A437" s="498"/>
      <c r="B437" s="20"/>
      <c r="C437" s="499"/>
      <c r="D437" s="499"/>
      <c r="E437" s="499" t="s">
        <v>119</v>
      </c>
      <c r="F437" s="500">
        <v>12701.13</v>
      </c>
      <c r="G437" s="499"/>
      <c r="H437" s="1082" t="s">
        <v>120</v>
      </c>
      <c r="I437" s="1082"/>
      <c r="J437" s="501">
        <f>J429*(1+G2)</f>
        <v>61621.997029999991</v>
      </c>
    </row>
    <row r="438" spans="1:10" ht="15" thickBot="1">
      <c r="A438" s="503"/>
      <c r="B438" s="666"/>
      <c r="C438" s="14"/>
      <c r="D438" s="14"/>
      <c r="E438" s="14"/>
      <c r="F438" s="14"/>
      <c r="G438" s="14" t="s">
        <v>121</v>
      </c>
      <c r="H438" s="504">
        <f>'OBRA 02 - MEMÓRIA'!M90</f>
        <v>1.6</v>
      </c>
      <c r="I438" s="14" t="s">
        <v>122</v>
      </c>
      <c r="J438" s="505">
        <f>TRUNC(H438*J437,2)</f>
        <v>98595.19</v>
      </c>
    </row>
    <row r="439" spans="1:10" ht="15" thickTop="1">
      <c r="A439" s="506"/>
      <c r="B439" s="230"/>
      <c r="C439" s="15"/>
      <c r="D439" s="15"/>
      <c r="E439" s="15"/>
      <c r="F439" s="15"/>
      <c r="G439" s="15"/>
      <c r="H439" s="15"/>
      <c r="I439" s="15"/>
      <c r="J439" s="507"/>
    </row>
    <row r="440" spans="1:10">
      <c r="A440" s="527"/>
      <c r="B440" s="20"/>
      <c r="C440" s="20"/>
      <c r="D440" s="20"/>
      <c r="E440" s="20"/>
      <c r="F440" s="20"/>
      <c r="G440" s="20"/>
      <c r="H440" s="20"/>
      <c r="I440" s="20"/>
      <c r="J440" s="528"/>
    </row>
    <row r="441" spans="1:10">
      <c r="A441" s="1156"/>
      <c r="B441" s="1157"/>
      <c r="C441" s="1157"/>
      <c r="D441" s="614"/>
      <c r="E441" s="613"/>
      <c r="F441" s="1157" t="s">
        <v>328</v>
      </c>
      <c r="G441" s="1157"/>
      <c r="H441" s="1158">
        <f>J427+J412+J365+J341+J90+J48+J6</f>
        <v>1813927.0499265289</v>
      </c>
      <c r="I441" s="1158"/>
      <c r="J441" s="1159"/>
    </row>
  </sheetData>
  <mergeCells count="395">
    <mergeCell ref="A441:C441"/>
    <mergeCell ref="F441:G441"/>
    <mergeCell ref="H441:J441"/>
    <mergeCell ref="E431:F431"/>
    <mergeCell ref="E432:F432"/>
    <mergeCell ref="E433:F433"/>
    <mergeCell ref="E434:F434"/>
    <mergeCell ref="E435:F435"/>
    <mergeCell ref="H437:I437"/>
    <mergeCell ref="E422:F422"/>
    <mergeCell ref="H424:I424"/>
    <mergeCell ref="F427:G427"/>
    <mergeCell ref="E428:F428"/>
    <mergeCell ref="E429:F429"/>
    <mergeCell ref="E430:F430"/>
    <mergeCell ref="E416:F416"/>
    <mergeCell ref="E417:F417"/>
    <mergeCell ref="E418:F418"/>
    <mergeCell ref="E419:F419"/>
    <mergeCell ref="E420:F420"/>
    <mergeCell ref="E421:F421"/>
    <mergeCell ref="E407:F407"/>
    <mergeCell ref="H409:I409"/>
    <mergeCell ref="F412:G412"/>
    <mergeCell ref="E413:F413"/>
    <mergeCell ref="E414:F414"/>
    <mergeCell ref="E415:F415"/>
    <mergeCell ref="E398:F398"/>
    <mergeCell ref="E399:F399"/>
    <mergeCell ref="H401:I401"/>
    <mergeCell ref="E404:F404"/>
    <mergeCell ref="E405:F405"/>
    <mergeCell ref="E406:F406"/>
    <mergeCell ref="E389:F389"/>
    <mergeCell ref="H391:I391"/>
    <mergeCell ref="E394:F394"/>
    <mergeCell ref="E395:F395"/>
    <mergeCell ref="E396:F396"/>
    <mergeCell ref="E397:F397"/>
    <mergeCell ref="E383:F383"/>
    <mergeCell ref="E384:F384"/>
    <mergeCell ref="E385:F385"/>
    <mergeCell ref="E386:F386"/>
    <mergeCell ref="E387:F387"/>
    <mergeCell ref="E388:F388"/>
    <mergeCell ref="E374:F374"/>
    <mergeCell ref="E375:F375"/>
    <mergeCell ref="E376:F376"/>
    <mergeCell ref="H378:I378"/>
    <mergeCell ref="E381:F381"/>
    <mergeCell ref="E382:F382"/>
    <mergeCell ref="E368:F368"/>
    <mergeCell ref="E369:F369"/>
    <mergeCell ref="E370:F370"/>
    <mergeCell ref="E371:F371"/>
    <mergeCell ref="E372:F372"/>
    <mergeCell ref="E373:F373"/>
    <mergeCell ref="E359:F359"/>
    <mergeCell ref="E360:F360"/>
    <mergeCell ref="H362:I362"/>
    <mergeCell ref="F365:G365"/>
    <mergeCell ref="E366:F366"/>
    <mergeCell ref="E367:F367"/>
    <mergeCell ref="E353:F353"/>
    <mergeCell ref="E354:F354"/>
    <mergeCell ref="E355:F355"/>
    <mergeCell ref="E356:F356"/>
    <mergeCell ref="E357:F357"/>
    <mergeCell ref="E358:F358"/>
    <mergeCell ref="E344:F344"/>
    <mergeCell ref="E345:F345"/>
    <mergeCell ref="E346:F346"/>
    <mergeCell ref="E347:F347"/>
    <mergeCell ref="E348:F348"/>
    <mergeCell ref="H350:I350"/>
    <mergeCell ref="E335:F335"/>
    <mergeCell ref="E336:F336"/>
    <mergeCell ref="H338:I338"/>
    <mergeCell ref="F341:G341"/>
    <mergeCell ref="E342:F342"/>
    <mergeCell ref="E343:F343"/>
    <mergeCell ref="E323:F323"/>
    <mergeCell ref="E324:F324"/>
    <mergeCell ref="H326:I326"/>
    <mergeCell ref="E329:F329"/>
    <mergeCell ref="E330:F330"/>
    <mergeCell ref="H332:I332"/>
    <mergeCell ref="E311:F311"/>
    <mergeCell ref="H313:I313"/>
    <mergeCell ref="E316:F316"/>
    <mergeCell ref="E317:F317"/>
    <mergeCell ref="E318:F318"/>
    <mergeCell ref="H320:I320"/>
    <mergeCell ref="E302:F302"/>
    <mergeCell ref="E303:F303"/>
    <mergeCell ref="E308:F308"/>
    <mergeCell ref="E309:F309"/>
    <mergeCell ref="E310:F310"/>
    <mergeCell ref="E293:F293"/>
    <mergeCell ref="E294:F294"/>
    <mergeCell ref="E295:F295"/>
    <mergeCell ref="H297:I297"/>
    <mergeCell ref="E300:F300"/>
    <mergeCell ref="E301:F301"/>
    <mergeCell ref="H305:I305"/>
    <mergeCell ref="E284:F284"/>
    <mergeCell ref="E285:F285"/>
    <mergeCell ref="E286:F286"/>
    <mergeCell ref="E287:F287"/>
    <mergeCell ref="H289:I289"/>
    <mergeCell ref="E292:F292"/>
    <mergeCell ref="A275:E275"/>
    <mergeCell ref="F275:I275"/>
    <mergeCell ref="G276:I276"/>
    <mergeCell ref="A279:E279"/>
    <mergeCell ref="F279:I279"/>
    <mergeCell ref="H281:I281"/>
    <mergeCell ref="G270:I270"/>
    <mergeCell ref="G271:I271"/>
    <mergeCell ref="A272:E272"/>
    <mergeCell ref="F272:I272"/>
    <mergeCell ref="H273:I273"/>
    <mergeCell ref="H274:I274"/>
    <mergeCell ref="A267:E267"/>
    <mergeCell ref="F267:I267"/>
    <mergeCell ref="A268:E268"/>
    <mergeCell ref="F268:I268"/>
    <mergeCell ref="A269:E269"/>
    <mergeCell ref="F269:I269"/>
    <mergeCell ref="A264:E264"/>
    <mergeCell ref="F264:I264"/>
    <mergeCell ref="A265:E265"/>
    <mergeCell ref="F265:I265"/>
    <mergeCell ref="A266:E266"/>
    <mergeCell ref="F266:I266"/>
    <mergeCell ref="H255:I255"/>
    <mergeCell ref="J255:J256"/>
    <mergeCell ref="A260:E260"/>
    <mergeCell ref="F260:I260"/>
    <mergeCell ref="F261:I261"/>
    <mergeCell ref="A263:E263"/>
    <mergeCell ref="F263:I263"/>
    <mergeCell ref="E254:F254"/>
    <mergeCell ref="A255:A256"/>
    <mergeCell ref="B255:B256"/>
    <mergeCell ref="C255:C256"/>
    <mergeCell ref="D255:D256"/>
    <mergeCell ref="E255:E256"/>
    <mergeCell ref="F255:G255"/>
    <mergeCell ref="G246:I246"/>
    <mergeCell ref="G247:I247"/>
    <mergeCell ref="A248:E248"/>
    <mergeCell ref="F248:I248"/>
    <mergeCell ref="H250:I250"/>
    <mergeCell ref="E253:F253"/>
    <mergeCell ref="A243:E243"/>
    <mergeCell ref="F243:I243"/>
    <mergeCell ref="A244:E244"/>
    <mergeCell ref="F244:I244"/>
    <mergeCell ref="A245:E245"/>
    <mergeCell ref="F245:I245"/>
    <mergeCell ref="A240:E240"/>
    <mergeCell ref="F240:I240"/>
    <mergeCell ref="A241:E241"/>
    <mergeCell ref="F241:I241"/>
    <mergeCell ref="A242:E242"/>
    <mergeCell ref="F242:I242"/>
    <mergeCell ref="H232:I232"/>
    <mergeCell ref="J232:J233"/>
    <mergeCell ref="A236:E236"/>
    <mergeCell ref="F236:I236"/>
    <mergeCell ref="F237:I237"/>
    <mergeCell ref="A239:E239"/>
    <mergeCell ref="F239:I239"/>
    <mergeCell ref="E231:F231"/>
    <mergeCell ref="A232:A233"/>
    <mergeCell ref="B232:B233"/>
    <mergeCell ref="C232:C233"/>
    <mergeCell ref="D232:D233"/>
    <mergeCell ref="E232:E233"/>
    <mergeCell ref="F232:G232"/>
    <mergeCell ref="G223:I223"/>
    <mergeCell ref="G224:I224"/>
    <mergeCell ref="A225:E225"/>
    <mergeCell ref="F225:I225"/>
    <mergeCell ref="H227:I227"/>
    <mergeCell ref="E230:F230"/>
    <mergeCell ref="A220:E220"/>
    <mergeCell ref="F220:I220"/>
    <mergeCell ref="A221:E221"/>
    <mergeCell ref="F221:I221"/>
    <mergeCell ref="A222:E222"/>
    <mergeCell ref="F222:I222"/>
    <mergeCell ref="A217:E217"/>
    <mergeCell ref="F217:I217"/>
    <mergeCell ref="A218:E218"/>
    <mergeCell ref="F218:I218"/>
    <mergeCell ref="A219:E219"/>
    <mergeCell ref="F219:I219"/>
    <mergeCell ref="H209:I209"/>
    <mergeCell ref="J209:J210"/>
    <mergeCell ref="A213:E213"/>
    <mergeCell ref="F213:I213"/>
    <mergeCell ref="F214:I214"/>
    <mergeCell ref="A216:E216"/>
    <mergeCell ref="F216:I216"/>
    <mergeCell ref="E208:F208"/>
    <mergeCell ref="A209:A210"/>
    <mergeCell ref="B209:B210"/>
    <mergeCell ref="C209:C210"/>
    <mergeCell ref="D209:D210"/>
    <mergeCell ref="E209:E210"/>
    <mergeCell ref="F209:G209"/>
    <mergeCell ref="E207:F207"/>
    <mergeCell ref="E159:F159"/>
    <mergeCell ref="E160:F160"/>
    <mergeCell ref="E166:F166"/>
    <mergeCell ref="E167:F167"/>
    <mergeCell ref="A168:A169"/>
    <mergeCell ref="B168:B169"/>
    <mergeCell ref="C168:C169"/>
    <mergeCell ref="D168:D169"/>
    <mergeCell ref="E168:E169"/>
    <mergeCell ref="F168:G168"/>
    <mergeCell ref="A183:E183"/>
    <mergeCell ref="F183:I183"/>
    <mergeCell ref="A184:E184"/>
    <mergeCell ref="F184:I184"/>
    <mergeCell ref="A185:E185"/>
    <mergeCell ref="F185:I185"/>
    <mergeCell ref="H162:I162"/>
    <mergeCell ref="F165:G165"/>
    <mergeCell ref="E150:F150"/>
    <mergeCell ref="E151:F151"/>
    <mergeCell ref="E152:F152"/>
    <mergeCell ref="H154:I154"/>
    <mergeCell ref="E157:F157"/>
    <mergeCell ref="E158:F158"/>
    <mergeCell ref="E141:F141"/>
    <mergeCell ref="E142:F142"/>
    <mergeCell ref="H144:I144"/>
    <mergeCell ref="E147:F147"/>
    <mergeCell ref="E148:F148"/>
    <mergeCell ref="E149:F149"/>
    <mergeCell ref="E135:F135"/>
    <mergeCell ref="E136:F136"/>
    <mergeCell ref="E137:F137"/>
    <mergeCell ref="E138:F138"/>
    <mergeCell ref="E139:F139"/>
    <mergeCell ref="E140:F140"/>
    <mergeCell ref="E126:F126"/>
    <mergeCell ref="H128:I128"/>
    <mergeCell ref="E131:F131"/>
    <mergeCell ref="E132:F132"/>
    <mergeCell ref="E133:F133"/>
    <mergeCell ref="E134:F134"/>
    <mergeCell ref="E117:F117"/>
    <mergeCell ref="E118:F118"/>
    <mergeCell ref="E119:F119"/>
    <mergeCell ref="E120:F120"/>
    <mergeCell ref="H122:I122"/>
    <mergeCell ref="E125:F125"/>
    <mergeCell ref="E111:F111"/>
    <mergeCell ref="E112:F112"/>
    <mergeCell ref="E113:F113"/>
    <mergeCell ref="E114:F114"/>
    <mergeCell ref="E115:F115"/>
    <mergeCell ref="E116:F116"/>
    <mergeCell ref="E105:F105"/>
    <mergeCell ref="E106:F106"/>
    <mergeCell ref="E107:F107"/>
    <mergeCell ref="E108:F108"/>
    <mergeCell ref="E109:F109"/>
    <mergeCell ref="E110:F110"/>
    <mergeCell ref="E96:F96"/>
    <mergeCell ref="E97:F97"/>
    <mergeCell ref="E98:F98"/>
    <mergeCell ref="E99:F99"/>
    <mergeCell ref="E100:F100"/>
    <mergeCell ref="H102:I102"/>
    <mergeCell ref="F90:G90"/>
    <mergeCell ref="F91:G91"/>
    <mergeCell ref="E92:F92"/>
    <mergeCell ref="E93:F93"/>
    <mergeCell ref="E94:F94"/>
    <mergeCell ref="E95:F95"/>
    <mergeCell ref="H79:I79"/>
    <mergeCell ref="E82:F82"/>
    <mergeCell ref="E83:F83"/>
    <mergeCell ref="E84:F84"/>
    <mergeCell ref="E85:F85"/>
    <mergeCell ref="H87:I87"/>
    <mergeCell ref="A75:E75"/>
    <mergeCell ref="F75:I75"/>
    <mergeCell ref="A76:E76"/>
    <mergeCell ref="F76:I76"/>
    <mergeCell ref="A77:E77"/>
    <mergeCell ref="F77:I77"/>
    <mergeCell ref="A72:E72"/>
    <mergeCell ref="F72:I72"/>
    <mergeCell ref="A73:E73"/>
    <mergeCell ref="F73:I73"/>
    <mergeCell ref="A74:E74"/>
    <mergeCell ref="F74:I74"/>
    <mergeCell ref="H61:I61"/>
    <mergeCell ref="J61:J62"/>
    <mergeCell ref="A68:E68"/>
    <mergeCell ref="F68:I68"/>
    <mergeCell ref="F69:I69"/>
    <mergeCell ref="A71:E71"/>
    <mergeCell ref="F71:I71"/>
    <mergeCell ref="E54:F54"/>
    <mergeCell ref="H56:I56"/>
    <mergeCell ref="E59:F59"/>
    <mergeCell ref="E60:F60"/>
    <mergeCell ref="A61:A62"/>
    <mergeCell ref="B61:B62"/>
    <mergeCell ref="C61:C62"/>
    <mergeCell ref="D61:D62"/>
    <mergeCell ref="E61:E62"/>
    <mergeCell ref="F61:G61"/>
    <mergeCell ref="E24:F24"/>
    <mergeCell ref="E25:F25"/>
    <mergeCell ref="F48:G48"/>
    <mergeCell ref="E49:F49"/>
    <mergeCell ref="E50:F50"/>
    <mergeCell ref="E51:F51"/>
    <mergeCell ref="E52:F52"/>
    <mergeCell ref="E53:F53"/>
    <mergeCell ref="H37:I37"/>
    <mergeCell ref="E40:F40"/>
    <mergeCell ref="E41:F41"/>
    <mergeCell ref="E42:F42"/>
    <mergeCell ref="E43:F43"/>
    <mergeCell ref="H45:I45"/>
    <mergeCell ref="H168:I168"/>
    <mergeCell ref="J168:J169"/>
    <mergeCell ref="E11:F11"/>
    <mergeCell ref="E12:F12"/>
    <mergeCell ref="E13:F13"/>
    <mergeCell ref="E14:F14"/>
    <mergeCell ref="E15:F15"/>
    <mergeCell ref="H17:I17"/>
    <mergeCell ref="F6:G6"/>
    <mergeCell ref="E7:F7"/>
    <mergeCell ref="E8:F8"/>
    <mergeCell ref="E9:F9"/>
    <mergeCell ref="E10:F10"/>
    <mergeCell ref="E30:F30"/>
    <mergeCell ref="E31:F31"/>
    <mergeCell ref="E32:F32"/>
    <mergeCell ref="E33:F33"/>
    <mergeCell ref="E34:F34"/>
    <mergeCell ref="E35:F35"/>
    <mergeCell ref="H27:I27"/>
    <mergeCell ref="E20:F20"/>
    <mergeCell ref="E21:F21"/>
    <mergeCell ref="E22:F22"/>
    <mergeCell ref="E23:F23"/>
    <mergeCell ref="A178:E178"/>
    <mergeCell ref="F178:I178"/>
    <mergeCell ref="F179:I179"/>
    <mergeCell ref="A181:E181"/>
    <mergeCell ref="F181:I181"/>
    <mergeCell ref="A182:E182"/>
    <mergeCell ref="F182:I182"/>
    <mergeCell ref="A186:E186"/>
    <mergeCell ref="F186:I186"/>
    <mergeCell ref="A187:E187"/>
    <mergeCell ref="F187:I187"/>
    <mergeCell ref="G188:I188"/>
    <mergeCell ref="G189:I189"/>
    <mergeCell ref="G190:I190"/>
    <mergeCell ref="G191:I191"/>
    <mergeCell ref="G192:I192"/>
    <mergeCell ref="H204:I204"/>
    <mergeCell ref="A193:E193"/>
    <mergeCell ref="F193:I193"/>
    <mergeCell ref="H194:I194"/>
    <mergeCell ref="H195:I195"/>
    <mergeCell ref="H196:I196"/>
    <mergeCell ref="A197:E197"/>
    <mergeCell ref="F197:I197"/>
    <mergeCell ref="G198:I198"/>
    <mergeCell ref="A202:E202"/>
    <mergeCell ref="F202:I202"/>
    <mergeCell ref="A5:J5"/>
    <mergeCell ref="A1:C2"/>
    <mergeCell ref="D1:F1"/>
    <mergeCell ref="I1:J2"/>
    <mergeCell ref="D2:F2"/>
    <mergeCell ref="A3:D3"/>
    <mergeCell ref="E3:J3"/>
    <mergeCell ref="A4:D4"/>
    <mergeCell ref="E4:J4"/>
  </mergeCells>
  <pageMargins left="0.511811024" right="0.511811024" top="0.78740157499999996" bottom="0.78740157499999996" header="0.31496062000000002" footer="0.31496062000000002"/>
  <pageSetup paperSize="9" scale="61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2"/>
  <sheetViews>
    <sheetView topLeftCell="A5" workbookViewId="0">
      <selection activeCell="AG14" sqref="AG14"/>
    </sheetView>
  </sheetViews>
  <sheetFormatPr defaultRowHeight="14.25"/>
  <cols>
    <col min="1" max="1" width="6" customWidth="1"/>
    <col min="2" max="2" width="24.75" customWidth="1"/>
    <col min="3" max="3" width="19.25" bestFit="1" customWidth="1"/>
    <col min="4" max="4" width="16.25" bestFit="1" customWidth="1"/>
    <col min="5" max="5" width="7.375" hidden="1" customWidth="1"/>
    <col min="6" max="13" width="6.375" bestFit="1" customWidth="1"/>
    <col min="14" max="30" width="0" hidden="1" customWidth="1"/>
  </cols>
  <sheetData>
    <row r="1" spans="1:30" ht="114" customHeight="1" thickBot="1">
      <c r="A1" s="804"/>
      <c r="B1" s="805"/>
      <c r="C1" s="1160" t="s">
        <v>792</v>
      </c>
      <c r="D1" s="1160"/>
      <c r="E1" s="1160"/>
      <c r="F1" s="1160"/>
      <c r="G1" s="1160"/>
      <c r="H1" s="1160"/>
      <c r="I1" s="1160"/>
      <c r="J1" s="805"/>
      <c r="K1" s="805"/>
      <c r="L1" s="805"/>
      <c r="M1" s="806"/>
      <c r="O1" s="332"/>
      <c r="P1" s="332"/>
      <c r="Q1" s="332"/>
      <c r="R1" s="332"/>
      <c r="W1" s="332"/>
      <c r="X1" s="332"/>
      <c r="Y1" s="332"/>
      <c r="Z1" s="332"/>
    </row>
    <row r="2" spans="1:30" ht="14.45" customHeight="1" thickBot="1">
      <c r="A2" s="1163" t="s">
        <v>689</v>
      </c>
      <c r="B2" s="873"/>
      <c r="C2" s="873"/>
      <c r="D2" s="873"/>
      <c r="E2" s="873"/>
      <c r="F2" s="873"/>
      <c r="G2" s="873"/>
      <c r="H2" s="873"/>
      <c r="I2" s="873"/>
      <c r="J2" s="873"/>
      <c r="K2" s="873"/>
      <c r="L2" s="873"/>
      <c r="M2" s="1164"/>
      <c r="O2" s="332"/>
      <c r="P2" s="332"/>
      <c r="Q2" s="332"/>
      <c r="R2" s="332"/>
      <c r="W2" s="332"/>
      <c r="X2" s="332"/>
      <c r="Y2" s="332"/>
      <c r="Z2" s="332"/>
    </row>
    <row r="3" spans="1:30" ht="13.9" customHeight="1" thickBot="1">
      <c r="A3" s="1163"/>
      <c r="B3" s="873"/>
      <c r="C3" s="873"/>
      <c r="D3" s="873"/>
      <c r="E3" s="873"/>
      <c r="F3" s="873"/>
      <c r="G3" s="873"/>
      <c r="H3" s="873"/>
      <c r="I3" s="873"/>
      <c r="J3" s="873"/>
      <c r="K3" s="873"/>
      <c r="L3" s="873"/>
      <c r="M3" s="1164"/>
      <c r="O3" s="332"/>
      <c r="P3" s="332"/>
      <c r="Q3" s="332"/>
      <c r="R3" s="332"/>
      <c r="W3" s="332"/>
      <c r="X3" s="332"/>
      <c r="Y3" s="332"/>
      <c r="Z3" s="332"/>
    </row>
    <row r="4" spans="1:30" ht="14.45" customHeight="1" thickBot="1">
      <c r="A4" s="1165" t="s">
        <v>547</v>
      </c>
      <c r="B4" s="873" t="s">
        <v>690</v>
      </c>
      <c r="C4" s="316" t="s">
        <v>686</v>
      </c>
      <c r="D4" s="316" t="s">
        <v>697</v>
      </c>
      <c r="E4" s="316"/>
      <c r="F4" s="873" t="s">
        <v>698</v>
      </c>
      <c r="G4" s="873"/>
      <c r="H4" s="873"/>
      <c r="I4" s="873"/>
      <c r="J4" s="873"/>
      <c r="K4" s="873"/>
      <c r="L4" s="873"/>
      <c r="M4" s="1164"/>
      <c r="O4" s="332"/>
      <c r="P4" s="332"/>
      <c r="Q4" s="332"/>
      <c r="R4" s="332"/>
      <c r="W4" s="332"/>
      <c r="X4" s="332"/>
      <c r="Y4" s="332"/>
      <c r="Z4" s="332"/>
    </row>
    <row r="5" spans="1:30" ht="15.75" thickBot="1">
      <c r="A5" s="1165"/>
      <c r="B5" s="873"/>
      <c r="C5" s="316"/>
      <c r="D5" s="316"/>
      <c r="E5" s="316"/>
      <c r="F5" s="1166" t="s">
        <v>703</v>
      </c>
      <c r="G5" s="1167"/>
      <c r="H5" s="1167"/>
      <c r="I5" s="1168"/>
      <c r="J5" s="1166" t="s">
        <v>704</v>
      </c>
      <c r="K5" s="1167"/>
      <c r="L5" s="1167"/>
      <c r="M5" s="1169"/>
      <c r="O5" s="332">
        <v>1</v>
      </c>
      <c r="P5" s="332">
        <v>2</v>
      </c>
      <c r="Q5" s="332">
        <v>3</v>
      </c>
      <c r="R5" s="332">
        <v>4</v>
      </c>
      <c r="S5">
        <v>5</v>
      </c>
      <c r="T5">
        <v>6</v>
      </c>
      <c r="U5">
        <v>7</v>
      </c>
      <c r="V5">
        <v>8</v>
      </c>
      <c r="W5" s="332">
        <v>9</v>
      </c>
      <c r="X5" s="332">
        <v>10</v>
      </c>
      <c r="Y5" s="332">
        <v>11</v>
      </c>
      <c r="Z5" s="332">
        <v>12</v>
      </c>
      <c r="AA5">
        <v>13</v>
      </c>
      <c r="AB5">
        <v>14</v>
      </c>
      <c r="AC5">
        <v>15</v>
      </c>
      <c r="AD5">
        <v>16</v>
      </c>
    </row>
    <row r="6" spans="1:30" ht="15.75" thickBot="1">
      <c r="A6" s="1165"/>
      <c r="B6" s="873"/>
      <c r="C6" s="316" t="s">
        <v>687</v>
      </c>
      <c r="D6" s="316" t="s">
        <v>681</v>
      </c>
      <c r="E6" s="316"/>
      <c r="F6" s="336" t="s">
        <v>699</v>
      </c>
      <c r="G6" s="336" t="s">
        <v>700</v>
      </c>
      <c r="H6" s="336" t="s">
        <v>701</v>
      </c>
      <c r="I6" s="336" t="s">
        <v>702</v>
      </c>
      <c r="J6" s="336" t="s">
        <v>699</v>
      </c>
      <c r="K6" s="336" t="s">
        <v>700</v>
      </c>
      <c r="L6" s="336" t="s">
        <v>701</v>
      </c>
      <c r="M6" s="577" t="s">
        <v>702</v>
      </c>
      <c r="N6">
        <f>SUM(O6:AD6)</f>
        <v>4</v>
      </c>
      <c r="O6" s="332">
        <v>4</v>
      </c>
      <c r="P6" s="332">
        <v>0</v>
      </c>
      <c r="Q6" s="332">
        <v>0</v>
      </c>
      <c r="R6" s="332">
        <v>0</v>
      </c>
      <c r="S6">
        <v>0</v>
      </c>
      <c r="T6">
        <v>0</v>
      </c>
      <c r="U6">
        <v>0</v>
      </c>
      <c r="V6">
        <v>0</v>
      </c>
      <c r="W6" s="332">
        <v>0</v>
      </c>
      <c r="X6" s="332">
        <v>0</v>
      </c>
      <c r="Y6" s="332">
        <v>0</v>
      </c>
      <c r="Z6" s="332">
        <v>0</v>
      </c>
      <c r="AA6">
        <v>0</v>
      </c>
      <c r="AB6">
        <v>0</v>
      </c>
      <c r="AC6">
        <v>0</v>
      </c>
      <c r="AD6">
        <v>0</v>
      </c>
    </row>
    <row r="7" spans="1:30" ht="15.75" thickBot="1">
      <c r="A7" s="1035">
        <v>1</v>
      </c>
      <c r="B7" s="1036" t="s">
        <v>17</v>
      </c>
      <c r="C7" s="1039">
        <f>'OBRA 02 - SINTÉTICA'!I7</f>
        <v>11862.826363182503</v>
      </c>
      <c r="D7" s="1041">
        <f>C7/$C$28</f>
        <v>6.539858583048736E-3</v>
      </c>
      <c r="E7" s="1045">
        <f>D7</f>
        <v>6.539858583048736E-3</v>
      </c>
      <c r="F7" s="333">
        <f>O6</f>
        <v>4</v>
      </c>
      <c r="G7" s="333">
        <f t="shared" ref="G7:M7" si="0">P6</f>
        <v>0</v>
      </c>
      <c r="H7" s="333">
        <f t="shared" si="0"/>
        <v>0</v>
      </c>
      <c r="I7" s="333">
        <f t="shared" si="0"/>
        <v>0</v>
      </c>
      <c r="J7" s="333">
        <f t="shared" si="0"/>
        <v>0</v>
      </c>
      <c r="K7" s="333">
        <f t="shared" si="0"/>
        <v>0</v>
      </c>
      <c r="L7" s="333">
        <f t="shared" si="0"/>
        <v>0</v>
      </c>
      <c r="M7" s="547">
        <f t="shared" si="0"/>
        <v>0</v>
      </c>
      <c r="O7" s="332"/>
      <c r="P7" s="332"/>
      <c r="Q7" s="332"/>
      <c r="R7" s="332"/>
      <c r="W7" s="332"/>
      <c r="X7" s="332"/>
      <c r="Y7" s="332"/>
      <c r="Z7" s="332"/>
    </row>
    <row r="8" spans="1:30" ht="15.75" thickBot="1">
      <c r="A8" s="1035"/>
      <c r="B8" s="1036"/>
      <c r="C8" s="1162"/>
      <c r="D8" s="1161"/>
      <c r="E8" s="1046"/>
      <c r="F8" s="1043">
        <f>SUM(F7:I7)/N6</f>
        <v>1</v>
      </c>
      <c r="G8" s="1170"/>
      <c r="H8" s="1170"/>
      <c r="I8" s="1170"/>
      <c r="J8" s="1171"/>
      <c r="K8" s="1172"/>
      <c r="L8" s="1172"/>
      <c r="M8" s="1173"/>
      <c r="O8" s="332"/>
      <c r="P8" s="332"/>
      <c r="Q8" s="332"/>
      <c r="R8" s="332"/>
      <c r="W8" s="332"/>
      <c r="X8" s="332"/>
      <c r="Y8" s="332"/>
      <c r="Z8" s="332"/>
    </row>
    <row r="9" spans="1:30" ht="15.75" thickBot="1">
      <c r="A9" s="1035"/>
      <c r="B9" s="1036"/>
      <c r="C9" s="1162"/>
      <c r="D9" s="1161"/>
      <c r="E9" s="1047"/>
      <c r="F9" s="1048">
        <f>F8*C7/C28</f>
        <v>6.539858583048736E-3</v>
      </c>
      <c r="G9" s="1048"/>
      <c r="H9" s="1048"/>
      <c r="I9" s="1048"/>
      <c r="J9" s="1174"/>
      <c r="K9" s="1172"/>
      <c r="L9" s="1172"/>
      <c r="M9" s="1173"/>
      <c r="N9">
        <f>SUM(O9:AD9)</f>
        <v>4</v>
      </c>
      <c r="O9" s="332">
        <v>2</v>
      </c>
      <c r="P9" s="332">
        <v>2</v>
      </c>
      <c r="Q9" s="332">
        <v>0</v>
      </c>
      <c r="R9" s="332">
        <v>0</v>
      </c>
      <c r="S9">
        <v>0</v>
      </c>
      <c r="T9">
        <v>0</v>
      </c>
      <c r="U9">
        <v>0</v>
      </c>
      <c r="V9">
        <v>0</v>
      </c>
      <c r="W9" s="332">
        <v>0</v>
      </c>
      <c r="X9" s="332">
        <v>0</v>
      </c>
      <c r="Y9" s="332">
        <v>0</v>
      </c>
      <c r="Z9" s="332">
        <v>0</v>
      </c>
      <c r="AA9">
        <v>0</v>
      </c>
      <c r="AB9">
        <v>0</v>
      </c>
      <c r="AC9">
        <v>0</v>
      </c>
      <c r="AD9">
        <v>0</v>
      </c>
    </row>
    <row r="10" spans="1:30" ht="15.75" thickBot="1">
      <c r="A10" s="1035">
        <v>2</v>
      </c>
      <c r="B10" s="1036" t="s">
        <v>38</v>
      </c>
      <c r="C10" s="1039">
        <f>'OBRA 02 - SINTÉTICA'!I12</f>
        <v>242869.67</v>
      </c>
      <c r="D10" s="1041">
        <f>C10/$C$28</f>
        <v>0.13389164161091233</v>
      </c>
      <c r="E10" s="1045">
        <f>D10+E7</f>
        <v>0.14043150019396106</v>
      </c>
      <c r="F10" s="280">
        <f>O9</f>
        <v>2</v>
      </c>
      <c r="G10" s="280">
        <f t="shared" ref="G10:I10" si="1">P9</f>
        <v>2</v>
      </c>
      <c r="H10" s="280">
        <f t="shared" si="1"/>
        <v>0</v>
      </c>
      <c r="I10" s="280">
        <f t="shared" si="1"/>
        <v>0</v>
      </c>
      <c r="J10" s="337"/>
      <c r="K10" s="337"/>
      <c r="L10" s="337"/>
      <c r="M10" s="578"/>
      <c r="O10" s="332"/>
      <c r="P10" s="332"/>
      <c r="Q10" s="332"/>
      <c r="R10" s="332"/>
      <c r="W10" s="332"/>
      <c r="X10" s="332"/>
      <c r="Y10" s="332"/>
      <c r="Z10" s="332"/>
    </row>
    <row r="11" spans="1:30" ht="15.75" thickBot="1">
      <c r="A11" s="1035"/>
      <c r="B11" s="1036"/>
      <c r="C11" s="1162"/>
      <c r="D11" s="1161"/>
      <c r="E11" s="1046"/>
      <c r="F11" s="1043">
        <f>SUM(F10:I10)/N9</f>
        <v>1</v>
      </c>
      <c r="G11" s="1170"/>
      <c r="H11" s="1170"/>
      <c r="I11" s="1170"/>
      <c r="J11" s="1171"/>
      <c r="K11" s="1172"/>
      <c r="L11" s="1172"/>
      <c r="M11" s="1173"/>
      <c r="O11" s="332"/>
      <c r="P11" s="332"/>
      <c r="Q11" s="332"/>
      <c r="R11" s="332"/>
      <c r="W11" s="332"/>
      <c r="X11" s="332"/>
      <c r="Y11" s="332"/>
      <c r="Z11" s="332"/>
    </row>
    <row r="12" spans="1:30" ht="15.75" thickBot="1">
      <c r="A12" s="1035"/>
      <c r="B12" s="1036"/>
      <c r="C12" s="1162"/>
      <c r="D12" s="1161"/>
      <c r="E12" s="1047"/>
      <c r="F12" s="1037">
        <f>F9+(F11*C10/C28)</f>
        <v>0.14043150019396106</v>
      </c>
      <c r="G12" s="1038"/>
      <c r="H12" s="1038"/>
      <c r="I12" s="1038"/>
      <c r="J12" s="1174"/>
      <c r="K12" s="1172"/>
      <c r="L12" s="1172"/>
      <c r="M12" s="1173"/>
      <c r="N12">
        <f>SUM(O12:AD12)</f>
        <v>4</v>
      </c>
      <c r="O12" s="332">
        <v>0</v>
      </c>
      <c r="P12" s="332">
        <v>0</v>
      </c>
      <c r="Q12" s="332">
        <f>4/3</f>
        <v>1.3333333333333333</v>
      </c>
      <c r="R12" s="332">
        <f>4/3</f>
        <v>1.3333333333333333</v>
      </c>
      <c r="S12">
        <f>4/3</f>
        <v>1.3333333333333333</v>
      </c>
      <c r="T12">
        <v>0</v>
      </c>
      <c r="U12">
        <v>0</v>
      </c>
      <c r="V12">
        <v>0</v>
      </c>
      <c r="W12" s="332">
        <v>0</v>
      </c>
      <c r="X12" s="332">
        <v>0</v>
      </c>
      <c r="Y12" s="332">
        <v>0</v>
      </c>
      <c r="Z12" s="332">
        <v>0</v>
      </c>
      <c r="AA12">
        <v>0</v>
      </c>
      <c r="AB12">
        <v>0</v>
      </c>
      <c r="AC12">
        <v>0</v>
      </c>
      <c r="AD12">
        <v>0</v>
      </c>
    </row>
    <row r="13" spans="1:30" ht="15.75" thickBot="1">
      <c r="A13" s="1035">
        <v>3</v>
      </c>
      <c r="B13" s="1036" t="s">
        <v>59</v>
      </c>
      <c r="C13" s="1039">
        <f>'OBRA 02 - SINTÉTICA'!I16</f>
        <v>1231542.3900000001</v>
      </c>
      <c r="D13" s="1041">
        <f>C13/$C$28</f>
        <v>0.67893711186961481</v>
      </c>
      <c r="E13" s="1045">
        <f t="shared" ref="E13" si="2">D13+E10</f>
        <v>0.81936861206357592</v>
      </c>
      <c r="F13" s="280">
        <f>O12</f>
        <v>0</v>
      </c>
      <c r="G13" s="280">
        <f t="shared" ref="G13:I13" si="3">P12</f>
        <v>0</v>
      </c>
      <c r="H13" s="280">
        <f t="shared" si="3"/>
        <v>1.3333333333333333</v>
      </c>
      <c r="I13" s="280">
        <f t="shared" si="3"/>
        <v>1.3333333333333333</v>
      </c>
      <c r="J13" s="280">
        <f>S12</f>
        <v>1.3333333333333333</v>
      </c>
      <c r="K13" s="280">
        <f t="shared" ref="K13:M13" si="4">T12</f>
        <v>0</v>
      </c>
      <c r="L13" s="280">
        <f t="shared" si="4"/>
        <v>0</v>
      </c>
      <c r="M13" s="549">
        <f t="shared" si="4"/>
        <v>0</v>
      </c>
      <c r="O13" s="332"/>
      <c r="P13" s="332"/>
      <c r="Q13" s="332"/>
      <c r="R13" s="332"/>
      <c r="W13" s="332"/>
      <c r="X13" s="332"/>
      <c r="Y13" s="332"/>
      <c r="Z13" s="332"/>
    </row>
    <row r="14" spans="1:30" ht="15.75" thickBot="1">
      <c r="A14" s="1035"/>
      <c r="B14" s="1036"/>
      <c r="C14" s="1162"/>
      <c r="D14" s="1161"/>
      <c r="E14" s="1046"/>
      <c r="F14" s="1043">
        <f>SUM(F13:I13)/4</f>
        <v>0.66666666666666663</v>
      </c>
      <c r="G14" s="1170"/>
      <c r="H14" s="1170"/>
      <c r="I14" s="1170"/>
      <c r="J14" s="1171">
        <f>SUM(J13:M13/N12)</f>
        <v>0.33333333333333331</v>
      </c>
      <c r="K14" s="1172"/>
      <c r="L14" s="1172"/>
      <c r="M14" s="1173"/>
      <c r="N14">
        <f>SUM(O14:AD14)</f>
        <v>4</v>
      </c>
      <c r="O14" s="332">
        <v>0</v>
      </c>
      <c r="P14" s="332">
        <v>0</v>
      </c>
      <c r="Q14" s="332">
        <f>4/3</f>
        <v>1.3333333333333333</v>
      </c>
      <c r="R14" s="332">
        <f>4/3</f>
        <v>1.3333333333333333</v>
      </c>
      <c r="S14">
        <f>4/3</f>
        <v>1.3333333333333333</v>
      </c>
      <c r="W14" s="332"/>
      <c r="X14" s="332"/>
      <c r="Y14" s="332"/>
      <c r="Z14" s="332"/>
    </row>
    <row r="15" spans="1:30" ht="15.75" thickBot="1">
      <c r="A15" s="1035"/>
      <c r="B15" s="1036"/>
      <c r="C15" s="1162"/>
      <c r="D15" s="1161"/>
      <c r="E15" s="1047"/>
      <c r="F15" s="1037">
        <f>F12+(F14*C13/C28)</f>
        <v>0.59305624144037083</v>
      </c>
      <c r="G15" s="1038"/>
      <c r="H15" s="1038"/>
      <c r="I15" s="1038"/>
      <c r="J15" s="1048">
        <f>F27+J14*C13/C28</f>
        <v>0.91292261524518414</v>
      </c>
      <c r="K15" s="1048"/>
      <c r="L15" s="1048"/>
      <c r="M15" s="1049"/>
      <c r="O15" s="332"/>
      <c r="P15" s="332"/>
      <c r="Q15" s="332"/>
      <c r="R15" s="332"/>
      <c r="W15" s="332"/>
      <c r="X15" s="332"/>
      <c r="Y15" s="332"/>
      <c r="Z15" s="332"/>
    </row>
    <row r="16" spans="1:30" ht="15.75" thickBot="1">
      <c r="A16" s="1035">
        <v>4</v>
      </c>
      <c r="B16" s="1036" t="s">
        <v>695</v>
      </c>
      <c r="C16" s="1039">
        <f>'OBRA 02 - SINTÉTICA'!I37</f>
        <v>98220.55</v>
      </c>
      <c r="D16" s="1041">
        <f>C16/$C$28</f>
        <v>5.4148015597940628E-2</v>
      </c>
      <c r="E16" s="1045">
        <f t="shared" ref="E16" si="5">D16+E13</f>
        <v>0.8735166276615165</v>
      </c>
      <c r="F16" s="280">
        <f>O14</f>
        <v>0</v>
      </c>
      <c r="G16" s="280">
        <f t="shared" ref="G16:M16" si="6">P14</f>
        <v>0</v>
      </c>
      <c r="H16" s="280">
        <f t="shared" si="6"/>
        <v>1.3333333333333333</v>
      </c>
      <c r="I16" s="280">
        <f t="shared" si="6"/>
        <v>1.3333333333333333</v>
      </c>
      <c r="J16" s="280">
        <f t="shared" si="6"/>
        <v>1.3333333333333333</v>
      </c>
      <c r="K16" s="280">
        <f t="shared" si="6"/>
        <v>0</v>
      </c>
      <c r="L16" s="280">
        <f t="shared" si="6"/>
        <v>0</v>
      </c>
      <c r="M16" s="549">
        <f t="shared" si="6"/>
        <v>0</v>
      </c>
      <c r="O16" s="332"/>
      <c r="P16" s="332"/>
      <c r="Q16" s="332"/>
      <c r="R16" s="332"/>
      <c r="W16" s="332"/>
      <c r="X16" s="332"/>
      <c r="Y16" s="332"/>
      <c r="Z16" s="332"/>
    </row>
    <row r="17" spans="1:30" ht="15.75" thickBot="1">
      <c r="A17" s="1035"/>
      <c r="B17" s="1036"/>
      <c r="C17" s="1162"/>
      <c r="D17" s="1161"/>
      <c r="E17" s="1046"/>
      <c r="F17" s="1043">
        <f>SUM(F16:I16)/N14</f>
        <v>0.66666666666666663</v>
      </c>
      <c r="G17" s="1170"/>
      <c r="H17" s="1170"/>
      <c r="I17" s="1170"/>
      <c r="J17" s="1043">
        <f>SUM(J16:M16/N14)</f>
        <v>0.33333333333333331</v>
      </c>
      <c r="K17" s="1170"/>
      <c r="L17" s="1170"/>
      <c r="M17" s="1176"/>
      <c r="O17" s="332"/>
      <c r="P17" s="332"/>
      <c r="Q17" s="332"/>
      <c r="R17" s="332"/>
      <c r="W17" s="332"/>
      <c r="X17" s="332"/>
      <c r="Y17" s="332"/>
      <c r="Z17" s="332"/>
    </row>
    <row r="18" spans="1:30" ht="15.75" thickBot="1">
      <c r="A18" s="1035"/>
      <c r="B18" s="1036"/>
      <c r="C18" s="1162"/>
      <c r="D18" s="1161"/>
      <c r="E18" s="1047"/>
      <c r="F18" s="1054">
        <f>F15+(F17*C16/C28)</f>
        <v>0.62915491850566463</v>
      </c>
      <c r="G18" s="1172"/>
      <c r="H18" s="1172"/>
      <c r="I18" s="1172"/>
      <c r="J18" s="1048">
        <f>J15+J17*C16/C28</f>
        <v>0.93097195377783104</v>
      </c>
      <c r="K18" s="1048"/>
      <c r="L18" s="1048"/>
      <c r="M18" s="1049"/>
      <c r="N18">
        <f>SUM(O18:AD18)</f>
        <v>4</v>
      </c>
      <c r="O18" s="332">
        <v>0</v>
      </c>
      <c r="P18" s="332">
        <v>0</v>
      </c>
      <c r="Q18" s="332">
        <v>0</v>
      </c>
      <c r="R18" s="332">
        <v>2</v>
      </c>
      <c r="S18">
        <v>2</v>
      </c>
      <c r="T18">
        <v>0</v>
      </c>
      <c r="U18">
        <v>0</v>
      </c>
      <c r="V18">
        <v>0</v>
      </c>
      <c r="W18" s="332">
        <v>0</v>
      </c>
      <c r="X18" s="332">
        <v>0</v>
      </c>
      <c r="Y18" s="332">
        <v>0</v>
      </c>
      <c r="Z18" s="332">
        <v>0</v>
      </c>
      <c r="AA18">
        <v>0</v>
      </c>
      <c r="AB18">
        <v>0</v>
      </c>
      <c r="AC18">
        <v>0</v>
      </c>
      <c r="AD18">
        <v>0</v>
      </c>
    </row>
    <row r="19" spans="1:30" ht="15.75" thickBot="1">
      <c r="A19" s="1035">
        <v>5</v>
      </c>
      <c r="B19" s="1036" t="s">
        <v>81</v>
      </c>
      <c r="C19" s="1039">
        <f>'OBRA 02 - SINTÉTICA'!I40</f>
        <v>109844.35</v>
      </c>
      <c r="D19" s="1041">
        <f>C19/$C$28</f>
        <v>6.0556101316329936E-2</v>
      </c>
      <c r="E19" s="1045">
        <f t="shared" ref="E19" si="7">D19+E16</f>
        <v>0.93407272897784643</v>
      </c>
      <c r="F19" s="333">
        <f>O18</f>
        <v>0</v>
      </c>
      <c r="G19" s="333">
        <f t="shared" ref="G19:M19" si="8">P18</f>
        <v>0</v>
      </c>
      <c r="H19" s="333">
        <f t="shared" si="8"/>
        <v>0</v>
      </c>
      <c r="I19" s="333">
        <f t="shared" si="8"/>
        <v>2</v>
      </c>
      <c r="J19" s="333">
        <f t="shared" si="8"/>
        <v>2</v>
      </c>
      <c r="K19" s="333">
        <f t="shared" si="8"/>
        <v>0</v>
      </c>
      <c r="L19" s="333">
        <f t="shared" si="8"/>
        <v>0</v>
      </c>
      <c r="M19" s="547">
        <f t="shared" si="8"/>
        <v>0</v>
      </c>
      <c r="O19" s="332"/>
      <c r="P19" s="332"/>
      <c r="Q19" s="332"/>
      <c r="R19" s="332"/>
      <c r="W19" s="332"/>
      <c r="X19" s="332"/>
      <c r="Y19" s="332"/>
      <c r="Z19" s="332"/>
    </row>
    <row r="20" spans="1:30" ht="15.75" thickBot="1">
      <c r="A20" s="1035"/>
      <c r="B20" s="1036"/>
      <c r="C20" s="1162"/>
      <c r="D20" s="1161"/>
      <c r="E20" s="1046"/>
      <c r="F20" s="1043">
        <f>SUM(F19:I19)/N18</f>
        <v>0.5</v>
      </c>
      <c r="G20" s="1170"/>
      <c r="H20" s="1170"/>
      <c r="I20" s="1170"/>
      <c r="J20" s="1175">
        <f>SUM(J19:M19)/N18</f>
        <v>0.5</v>
      </c>
      <c r="K20" s="1170"/>
      <c r="L20" s="1170"/>
      <c r="M20" s="1176"/>
      <c r="O20" s="332"/>
      <c r="P20" s="332"/>
      <c r="Q20" s="332"/>
      <c r="R20" s="332"/>
      <c r="W20" s="332"/>
      <c r="X20" s="332"/>
      <c r="Y20" s="332"/>
      <c r="Z20" s="332"/>
    </row>
    <row r="21" spans="1:30" ht="15.75" thickBot="1">
      <c r="A21" s="1035"/>
      <c r="B21" s="1036"/>
      <c r="C21" s="1162"/>
      <c r="D21" s="1161"/>
      <c r="E21" s="1047"/>
      <c r="F21" s="1054">
        <f>F18+F20*C19/C28</f>
        <v>0.65943296916382965</v>
      </c>
      <c r="G21" s="1172"/>
      <c r="H21" s="1172"/>
      <c r="I21" s="1172"/>
      <c r="J21" s="1048">
        <f>J18+J20*C19/C28</f>
        <v>0.96125000443599595</v>
      </c>
      <c r="K21" s="1048"/>
      <c r="L21" s="1048"/>
      <c r="M21" s="1049"/>
      <c r="N21">
        <f>SUM(O21:AD21)</f>
        <v>4</v>
      </c>
      <c r="O21" s="332">
        <v>0</v>
      </c>
      <c r="P21" s="332">
        <v>0</v>
      </c>
      <c r="Q21" s="332">
        <v>0</v>
      </c>
      <c r="R21" s="332">
        <v>0</v>
      </c>
      <c r="S21" s="332">
        <v>0</v>
      </c>
      <c r="T21" s="332">
        <v>4</v>
      </c>
      <c r="U21" s="332">
        <v>0</v>
      </c>
      <c r="V21" s="332">
        <v>0</v>
      </c>
      <c r="W21" s="332">
        <v>0</v>
      </c>
      <c r="X21" s="332">
        <v>0</v>
      </c>
      <c r="Y21" s="332">
        <v>0</v>
      </c>
      <c r="Z21" s="332">
        <v>0</v>
      </c>
      <c r="AA21" s="332">
        <v>0</v>
      </c>
      <c r="AB21" s="332">
        <v>0</v>
      </c>
      <c r="AC21" s="332">
        <v>0</v>
      </c>
      <c r="AD21" s="332">
        <v>0</v>
      </c>
    </row>
    <row r="22" spans="1:30" ht="15.75" thickBot="1">
      <c r="A22" s="1035">
        <v>6</v>
      </c>
      <c r="B22" s="1036" t="s">
        <v>329</v>
      </c>
      <c r="C22" s="1039">
        <f>'OBRA 02 - SINTÉTICA'!I45</f>
        <v>20992.07</v>
      </c>
      <c r="D22" s="1041">
        <f>C22/$C$28</f>
        <v>1.1572720105854238E-2</v>
      </c>
      <c r="E22" s="1045">
        <f t="shared" ref="E22" si="9">D22+E19</f>
        <v>0.94564544908370063</v>
      </c>
      <c r="F22" s="280">
        <f>O21</f>
        <v>0</v>
      </c>
      <c r="G22" s="280">
        <f t="shared" ref="G22:M22" si="10">P21</f>
        <v>0</v>
      </c>
      <c r="H22" s="280">
        <f t="shared" si="10"/>
        <v>0</v>
      </c>
      <c r="I22" s="280">
        <f t="shared" si="10"/>
        <v>0</v>
      </c>
      <c r="J22" s="280">
        <f t="shared" si="10"/>
        <v>0</v>
      </c>
      <c r="K22" s="280">
        <f t="shared" si="10"/>
        <v>4</v>
      </c>
      <c r="L22" s="280">
        <f t="shared" si="10"/>
        <v>0</v>
      </c>
      <c r="M22" s="549">
        <f t="shared" si="10"/>
        <v>0</v>
      </c>
      <c r="O22" s="332"/>
      <c r="P22" s="332"/>
      <c r="Q22" s="332"/>
      <c r="R22" s="332"/>
      <c r="W22" s="332"/>
      <c r="X22" s="332"/>
      <c r="Y22" s="332"/>
      <c r="Z22" s="332"/>
    </row>
    <row r="23" spans="1:30" ht="15.75" thickBot="1">
      <c r="A23" s="1035"/>
      <c r="B23" s="1036"/>
      <c r="C23" s="1162"/>
      <c r="D23" s="1161"/>
      <c r="E23" s="1046"/>
      <c r="F23" s="1053">
        <f>SUM(F22:I22)/N21</f>
        <v>0</v>
      </c>
      <c r="G23" s="1172"/>
      <c r="H23" s="1172"/>
      <c r="I23" s="1172"/>
      <c r="J23" s="1175">
        <f>SUM(J22:M22)/N21</f>
        <v>1</v>
      </c>
      <c r="K23" s="1170"/>
      <c r="L23" s="1170"/>
      <c r="M23" s="1176"/>
      <c r="O23" s="332"/>
      <c r="P23" s="332"/>
      <c r="Q23" s="332"/>
      <c r="R23" s="332"/>
      <c r="W23" s="332"/>
      <c r="X23" s="332"/>
      <c r="Y23" s="332"/>
      <c r="Z23" s="332"/>
    </row>
    <row r="24" spans="1:30" ht="15.75" thickBot="1">
      <c r="A24" s="1035"/>
      <c r="B24" s="1036"/>
      <c r="C24" s="1162"/>
      <c r="D24" s="1161"/>
      <c r="E24" s="1047"/>
      <c r="F24" s="1054">
        <f>F21+F23*C22/C28</f>
        <v>0.65943296916382965</v>
      </c>
      <c r="G24" s="1172"/>
      <c r="H24" s="1172"/>
      <c r="I24" s="1172"/>
      <c r="J24" s="1048">
        <f>J21+J23*C22/C28</f>
        <v>0.97282272454185015</v>
      </c>
      <c r="K24" s="1048"/>
      <c r="L24" s="1048"/>
      <c r="M24" s="1049"/>
      <c r="O24" s="332"/>
      <c r="P24" s="332"/>
      <c r="Q24" s="332"/>
      <c r="R24" s="332"/>
      <c r="W24" s="332"/>
      <c r="X24" s="332"/>
      <c r="Y24" s="332"/>
      <c r="Z24" s="332"/>
    </row>
    <row r="25" spans="1:30" ht="15.75" thickBot="1">
      <c r="A25" s="1035">
        <v>7</v>
      </c>
      <c r="B25" s="1061" t="s">
        <v>696</v>
      </c>
      <c r="C25" s="1039">
        <f>'OBRA 02 - SINTÉTICA'!I47</f>
        <v>98595.19</v>
      </c>
      <c r="D25" s="1041">
        <f>C25/$C$28</f>
        <v>5.4354550916299288E-2</v>
      </c>
      <c r="E25" s="1045">
        <f t="shared" ref="E25" si="11">D25+E22</f>
        <v>0.99999999999999989</v>
      </c>
      <c r="F25" s="333">
        <f>O25</f>
        <v>1</v>
      </c>
      <c r="G25" s="333">
        <f t="shared" ref="G25:K25" si="12">P25</f>
        <v>1</v>
      </c>
      <c r="H25" s="333">
        <f t="shared" si="12"/>
        <v>1</v>
      </c>
      <c r="I25" s="333">
        <f t="shared" si="12"/>
        <v>1</v>
      </c>
      <c r="J25" s="333">
        <f t="shared" si="12"/>
        <v>2</v>
      </c>
      <c r="K25" s="333">
        <f t="shared" si="12"/>
        <v>2</v>
      </c>
      <c r="L25" s="339"/>
      <c r="M25" s="579"/>
      <c r="N25">
        <f>SUM(O25:T25)</f>
        <v>8</v>
      </c>
      <c r="O25" s="332">
        <v>1</v>
      </c>
      <c r="P25" s="332">
        <v>1</v>
      </c>
      <c r="Q25" s="332">
        <v>1</v>
      </c>
      <c r="R25" s="332">
        <v>1</v>
      </c>
      <c r="S25" s="332">
        <v>2</v>
      </c>
      <c r="T25" s="332">
        <v>2</v>
      </c>
      <c r="W25" s="332"/>
      <c r="X25" s="332"/>
      <c r="Y25" s="332"/>
      <c r="Z25" s="332"/>
    </row>
    <row r="26" spans="1:30" ht="15.75" thickBot="1">
      <c r="A26" s="1177"/>
      <c r="B26" s="1061"/>
      <c r="C26" s="1162"/>
      <c r="D26" s="1161"/>
      <c r="E26" s="1046"/>
      <c r="F26" s="1043">
        <f>SUM(F25:I25)/N25</f>
        <v>0.5</v>
      </c>
      <c r="G26" s="1170"/>
      <c r="H26" s="1170"/>
      <c r="I26" s="1170"/>
      <c r="J26" s="1175">
        <f>SUM(J25:K25)/N25</f>
        <v>0.5</v>
      </c>
      <c r="K26" s="1170"/>
      <c r="L26" s="1170"/>
      <c r="M26" s="1176"/>
      <c r="O26" s="332"/>
      <c r="P26" s="332"/>
      <c r="Q26" s="332"/>
      <c r="R26" s="332"/>
      <c r="W26" s="332"/>
      <c r="X26" s="332"/>
      <c r="Y26" s="332"/>
      <c r="Z26" s="332"/>
    </row>
    <row r="27" spans="1:30" ht="15.75" thickBot="1">
      <c r="A27" s="1177"/>
      <c r="B27" s="1061"/>
      <c r="C27" s="1162"/>
      <c r="D27" s="1161"/>
      <c r="E27" s="1047"/>
      <c r="F27" s="1054">
        <f>F24+F26*C25/C28</f>
        <v>0.68661024462197928</v>
      </c>
      <c r="G27" s="1172"/>
      <c r="H27" s="1172"/>
      <c r="I27" s="1172"/>
      <c r="J27" s="1043">
        <f>J24+J26*(C25+F26)/C28</f>
        <v>1.0000001378225216</v>
      </c>
      <c r="K27" s="1043"/>
      <c r="L27" s="1043"/>
      <c r="M27" s="1051"/>
      <c r="O27" s="332"/>
      <c r="P27" s="332"/>
      <c r="Q27" s="332"/>
      <c r="R27" s="332"/>
      <c r="W27" s="332"/>
      <c r="X27" s="332"/>
      <c r="Y27" s="332"/>
      <c r="Z27" s="332"/>
    </row>
    <row r="28" spans="1:30" ht="15.75" thickBot="1">
      <c r="A28" s="551"/>
      <c r="B28" s="327" t="s">
        <v>688</v>
      </c>
      <c r="C28" s="328">
        <f>SUM(C7:C27)</f>
        <v>1813927.0463631828</v>
      </c>
      <c r="D28" s="329">
        <f>SUM(D7:D27)</f>
        <v>0.99999999999999989</v>
      </c>
      <c r="E28" s="329"/>
      <c r="F28" s="330"/>
      <c r="G28" s="330"/>
      <c r="H28" s="330"/>
      <c r="I28" s="330"/>
      <c r="J28" s="317"/>
      <c r="K28" s="317"/>
      <c r="L28" s="317"/>
      <c r="M28" s="552"/>
      <c r="O28" s="332"/>
      <c r="P28" s="332"/>
      <c r="Q28" s="332"/>
      <c r="R28" s="332"/>
      <c r="W28" s="332"/>
      <c r="X28" s="332"/>
      <c r="Y28" s="332"/>
      <c r="Z28" s="332"/>
    </row>
    <row r="29" spans="1:30" ht="15.75" thickBot="1">
      <c r="A29" s="1062" t="s">
        <v>691</v>
      </c>
      <c r="B29" s="939"/>
      <c r="C29" s="331"/>
      <c r="D29" s="331"/>
      <c r="E29" s="331"/>
      <c r="F29" s="952">
        <f>F27*C28</f>
        <v>1245460.8930298493</v>
      </c>
      <c r="G29" s="952"/>
      <c r="H29" s="952"/>
      <c r="I29" s="952"/>
      <c r="J29" s="952">
        <f>(C28-F29)</f>
        <v>568466.15333333355</v>
      </c>
      <c r="K29" s="952"/>
      <c r="L29" s="952"/>
      <c r="M29" s="953"/>
      <c r="O29" s="332"/>
      <c r="P29" s="332"/>
      <c r="Q29" s="332"/>
      <c r="R29" s="332"/>
      <c r="W29" s="332"/>
      <c r="X29" s="332"/>
      <c r="Y29" s="332"/>
      <c r="Z29" s="332"/>
    </row>
    <row r="30" spans="1:30" ht="15.75" thickBot="1">
      <c r="A30" s="1062" t="s">
        <v>692</v>
      </c>
      <c r="B30" s="939"/>
      <c r="C30" s="331"/>
      <c r="D30" s="331"/>
      <c r="E30" s="331"/>
      <c r="F30" s="960">
        <f>F29/C28</f>
        <v>0.68661024462197928</v>
      </c>
      <c r="G30" s="960"/>
      <c r="H30" s="960"/>
      <c r="I30" s="960"/>
      <c r="J30" s="960">
        <f>J29/C28</f>
        <v>0.31338975537802072</v>
      </c>
      <c r="K30" s="960"/>
      <c r="L30" s="960"/>
      <c r="M30" s="961"/>
      <c r="O30" s="332"/>
      <c r="P30" s="332"/>
      <c r="Q30" s="332"/>
      <c r="R30" s="332"/>
      <c r="W30" s="332"/>
      <c r="X30" s="332"/>
      <c r="Y30" s="332"/>
      <c r="Z30" s="332"/>
    </row>
    <row r="31" spans="1:30" ht="15.75" thickBot="1">
      <c r="A31" s="1062" t="s">
        <v>693</v>
      </c>
      <c r="B31" s="939"/>
      <c r="C31" s="331"/>
      <c r="D31" s="331"/>
      <c r="E31" s="331"/>
      <c r="F31" s="952">
        <f>F29</f>
        <v>1245460.8930298493</v>
      </c>
      <c r="G31" s="952"/>
      <c r="H31" s="952"/>
      <c r="I31" s="952"/>
      <c r="J31" s="952">
        <f>F31+J29</f>
        <v>1813927.0463631828</v>
      </c>
      <c r="K31" s="952"/>
      <c r="L31" s="952"/>
      <c r="M31" s="953"/>
      <c r="O31" s="332"/>
      <c r="P31" s="332"/>
      <c r="Q31" s="332"/>
      <c r="R31" s="332"/>
      <c r="W31" s="332"/>
      <c r="X31" s="332"/>
      <c r="Y31" s="332"/>
      <c r="Z31" s="332"/>
    </row>
    <row r="32" spans="1:30" ht="15.75" thickBot="1">
      <c r="A32" s="1055" t="s">
        <v>694</v>
      </c>
      <c r="B32" s="1056"/>
      <c r="C32" s="553"/>
      <c r="D32" s="553"/>
      <c r="E32" s="553"/>
      <c r="F32" s="955">
        <f>F30</f>
        <v>0.68661024462197928</v>
      </c>
      <c r="G32" s="955"/>
      <c r="H32" s="955"/>
      <c r="I32" s="955"/>
      <c r="J32" s="956">
        <f>F32+J30</f>
        <v>1</v>
      </c>
      <c r="K32" s="956"/>
      <c r="L32" s="956"/>
      <c r="M32" s="1178"/>
    </row>
  </sheetData>
  <mergeCells count="82">
    <mergeCell ref="A32:B32"/>
    <mergeCell ref="F32:I32"/>
    <mergeCell ref="J32:M32"/>
    <mergeCell ref="A30:B30"/>
    <mergeCell ref="F30:I30"/>
    <mergeCell ref="J30:M30"/>
    <mergeCell ref="A31:B31"/>
    <mergeCell ref="F31:I31"/>
    <mergeCell ref="J31:M31"/>
    <mergeCell ref="J27:M27"/>
    <mergeCell ref="A29:B29"/>
    <mergeCell ref="F29:I29"/>
    <mergeCell ref="J29:M29"/>
    <mergeCell ref="A25:A27"/>
    <mergeCell ref="B25:B27"/>
    <mergeCell ref="C25:C27"/>
    <mergeCell ref="D25:D27"/>
    <mergeCell ref="E25:E27"/>
    <mergeCell ref="F26:I26"/>
    <mergeCell ref="J26:M26"/>
    <mergeCell ref="F27:I27"/>
    <mergeCell ref="D22:D24"/>
    <mergeCell ref="E22:E24"/>
    <mergeCell ref="F23:I23"/>
    <mergeCell ref="J23:M23"/>
    <mergeCell ref="F24:I24"/>
    <mergeCell ref="J24:M24"/>
    <mergeCell ref="F20:I20"/>
    <mergeCell ref="J20:M20"/>
    <mergeCell ref="F21:I21"/>
    <mergeCell ref="J21:M21"/>
    <mergeCell ref="J17:M17"/>
    <mergeCell ref="F18:I18"/>
    <mergeCell ref="J18:M18"/>
    <mergeCell ref="F17:I17"/>
    <mergeCell ref="D16:D18"/>
    <mergeCell ref="E16:E18"/>
    <mergeCell ref="A19:A21"/>
    <mergeCell ref="B19:B21"/>
    <mergeCell ref="C19:C21"/>
    <mergeCell ref="D19:D21"/>
    <mergeCell ref="E19:E21"/>
    <mergeCell ref="D13:D15"/>
    <mergeCell ref="E13:E15"/>
    <mergeCell ref="F14:I14"/>
    <mergeCell ref="J14:M14"/>
    <mergeCell ref="F15:I15"/>
    <mergeCell ref="J15:M15"/>
    <mergeCell ref="F8:I8"/>
    <mergeCell ref="J8:M8"/>
    <mergeCell ref="F9:I9"/>
    <mergeCell ref="J9:M9"/>
    <mergeCell ref="E10:E12"/>
    <mergeCell ref="F11:I11"/>
    <mergeCell ref="J11:M11"/>
    <mergeCell ref="F12:I12"/>
    <mergeCell ref="J12:M12"/>
    <mergeCell ref="A22:A24"/>
    <mergeCell ref="B22:B24"/>
    <mergeCell ref="C22:C24"/>
    <mergeCell ref="A13:A15"/>
    <mergeCell ref="B13:B15"/>
    <mergeCell ref="C13:C15"/>
    <mergeCell ref="A16:A18"/>
    <mergeCell ref="B16:B18"/>
    <mergeCell ref="C16:C18"/>
    <mergeCell ref="C1:I1"/>
    <mergeCell ref="D7:D9"/>
    <mergeCell ref="A10:A12"/>
    <mergeCell ref="B10:B12"/>
    <mergeCell ref="A7:A9"/>
    <mergeCell ref="B7:B9"/>
    <mergeCell ref="C7:C9"/>
    <mergeCell ref="C10:C12"/>
    <mergeCell ref="D10:D12"/>
    <mergeCell ref="A2:M3"/>
    <mergeCell ref="A4:A6"/>
    <mergeCell ref="B4:B6"/>
    <mergeCell ref="F4:M4"/>
    <mergeCell ref="F5:I5"/>
    <mergeCell ref="J5:M5"/>
    <mergeCell ref="E7:E9"/>
  </mergeCells>
  <conditionalFormatting sqref="F7:M7">
    <cfRule type="cellIs" dxfId="41" priority="3" operator="equal">
      <formula>0</formula>
    </cfRule>
    <cfRule type="cellIs" dxfId="40" priority="4" operator="greaterThan">
      <formula>0</formula>
    </cfRule>
    <cfRule type="cellIs" dxfId="39" priority="5" operator="equal">
      <formula>0</formula>
    </cfRule>
    <cfRule type="cellIs" dxfId="38" priority="6" operator="greaterThan">
      <formula>0</formula>
    </cfRule>
  </conditionalFormatting>
  <conditionalFormatting sqref="F10:M10 F13:M13 F16:M16 F19:M19 F22:M22 F25:M25">
    <cfRule type="cellIs" dxfId="37" priority="7" operator="equal">
      <formula>0</formula>
    </cfRule>
    <cfRule type="cellIs" dxfId="36" priority="8" operator="greaterThan">
      <formula>0</formula>
    </cfRule>
    <cfRule type="cellIs" dxfId="35" priority="15" operator="greaterThan">
      <formula>0</formula>
    </cfRule>
  </conditionalFormatting>
  <conditionalFormatting sqref="F16:M16 F19:M19 F22:M22 F25:M25 F10:M10 F13:M13">
    <cfRule type="cellIs" dxfId="34" priority="14" operator="equal">
      <formula>0</formula>
    </cfRule>
  </conditionalFormatting>
  <conditionalFormatting sqref="F16:M16 F19:M19 F22:M22 F25:M25">
    <cfRule type="cellIs" dxfId="33" priority="1" operator="equal">
      <formula>0</formula>
    </cfRule>
    <cfRule type="cellIs" dxfId="32" priority="2" operator="greaterThan">
      <formula>0</formula>
    </cfRule>
  </conditionalFormatting>
  <pageMargins left="0.511811024" right="0.511811024" top="0.78740157499999996" bottom="0.78740157499999996" header="0.31496062000000002" footer="0.31496062000000002"/>
  <pageSetup paperSize="9" scale="86" fitToWidth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9"/>
  <sheetViews>
    <sheetView zoomScale="80" zoomScaleNormal="80" workbookViewId="0">
      <pane ySplit="2" topLeftCell="A47" activePane="bottomLeft" state="frozen"/>
      <selection activeCell="C1" sqref="C1"/>
      <selection pane="bottomLeft" activeCell="H57" sqref="H57:J57"/>
    </sheetView>
  </sheetViews>
  <sheetFormatPr defaultRowHeight="14.25"/>
  <cols>
    <col min="1" max="1" width="6" bestFit="1" customWidth="1"/>
    <col min="2" max="2" width="8.625" bestFit="1" customWidth="1"/>
    <col min="3" max="3" width="6.875" customWidth="1"/>
    <col min="4" max="4" width="60" bestFit="1" customWidth="1"/>
    <col min="5" max="5" width="8" bestFit="1" customWidth="1"/>
    <col min="6" max="9" width="13" customWidth="1"/>
    <col min="10" max="10" width="12.875" customWidth="1"/>
    <col min="11" max="11" width="14.125" bestFit="1" customWidth="1"/>
  </cols>
  <sheetData>
    <row r="1" spans="1:10">
      <c r="A1" s="982"/>
      <c r="B1" s="983"/>
      <c r="C1" s="983"/>
      <c r="D1" s="1113" t="s">
        <v>735</v>
      </c>
      <c r="E1" s="1114"/>
      <c r="F1" s="1115"/>
      <c r="G1" s="1182" t="s">
        <v>1</v>
      </c>
      <c r="H1" s="1010"/>
      <c r="I1" s="982"/>
      <c r="J1" s="982"/>
    </row>
    <row r="2" spans="1:10" ht="54.6" customHeight="1">
      <c r="A2" s="983"/>
      <c r="B2" s="983"/>
      <c r="C2" s="983"/>
      <c r="D2" s="984" t="s">
        <v>631</v>
      </c>
      <c r="E2" s="985"/>
      <c r="F2" s="986"/>
      <c r="G2" s="485">
        <v>0.2097</v>
      </c>
      <c r="H2" s="485">
        <v>0.14019999999999999</v>
      </c>
      <c r="I2" s="980"/>
      <c r="J2" s="980"/>
    </row>
    <row r="3" spans="1:10" ht="13.9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0" ht="30.6" customHeight="1">
      <c r="A4" s="977" t="s">
        <v>737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0" ht="20.45" customHeight="1">
      <c r="A5" s="1179" t="s">
        <v>395</v>
      </c>
      <c r="B5" s="1180"/>
      <c r="C5" s="1180"/>
      <c r="D5" s="1180"/>
      <c r="E5" s="1180"/>
      <c r="F5" s="1180"/>
      <c r="G5" s="1180"/>
      <c r="H5" s="1180"/>
      <c r="I5" s="1180"/>
      <c r="J5" s="1181"/>
    </row>
    <row r="6" spans="1:10" ht="30">
      <c r="A6" s="557" t="s">
        <v>6</v>
      </c>
      <c r="B6" s="66" t="s">
        <v>7</v>
      </c>
      <c r="C6" s="66" t="s">
        <v>8</v>
      </c>
      <c r="D6" s="66" t="s">
        <v>9</v>
      </c>
      <c r="E6" s="66" t="s">
        <v>10</v>
      </c>
      <c r="F6" s="66" t="s">
        <v>11</v>
      </c>
      <c r="G6" s="66" t="s">
        <v>12</v>
      </c>
      <c r="H6" s="66" t="s">
        <v>13</v>
      </c>
      <c r="I6" s="66" t="s">
        <v>14</v>
      </c>
      <c r="J6" s="558" t="s">
        <v>15</v>
      </c>
    </row>
    <row r="7" spans="1:10">
      <c r="A7" s="518" t="s">
        <v>16</v>
      </c>
      <c r="B7" s="25"/>
      <c r="C7" s="25"/>
      <c r="D7" s="25" t="s">
        <v>17</v>
      </c>
      <c r="E7" s="25"/>
      <c r="F7" s="1"/>
      <c r="G7" s="25"/>
      <c r="H7" s="25"/>
      <c r="I7" s="2">
        <f>SUM(I8:I14)</f>
        <v>287800.69</v>
      </c>
      <c r="J7" s="559">
        <f>SUM(J8:J14)</f>
        <v>0.10769739220371016</v>
      </c>
    </row>
    <row r="8" spans="1:10">
      <c r="A8" s="492" t="s">
        <v>570</v>
      </c>
      <c r="B8" s="3" t="s">
        <v>302</v>
      </c>
      <c r="C8" s="27" t="s">
        <v>19</v>
      </c>
      <c r="D8" s="27" t="s">
        <v>20</v>
      </c>
      <c r="E8" s="4" t="s">
        <v>21</v>
      </c>
      <c r="F8" s="6">
        <f>VLOOKUP(A8,'OBRA 03 - MEMÓRIA'!A6:O104,15,0)</f>
        <v>6</v>
      </c>
      <c r="G8" s="6">
        <f>'OBRA 03 - ANALÍTICA'!J8</f>
        <v>374.03189999999995</v>
      </c>
      <c r="H8" s="46">
        <f>G8*(1+$G$2)</f>
        <v>452.46638942999994</v>
      </c>
      <c r="I8" s="6">
        <f>TRUNC(F8*H8,2)</f>
        <v>2714.79</v>
      </c>
      <c r="J8" s="560">
        <f t="shared" ref="J8:J14" si="0">I8/$H$57</f>
        <v>1.0158968117161579E-3</v>
      </c>
    </row>
    <row r="9" spans="1:10" ht="25.5">
      <c r="A9" s="492" t="s">
        <v>571</v>
      </c>
      <c r="B9" s="3" t="s">
        <v>23</v>
      </c>
      <c r="C9" s="27" t="s">
        <v>24</v>
      </c>
      <c r="D9" s="27" t="s">
        <v>25</v>
      </c>
      <c r="E9" s="4" t="s">
        <v>21</v>
      </c>
      <c r="F9" s="6">
        <f>VLOOKUP(A9,'OBRA 03 - MEMÓRIA'!$A:$O,15,0)</f>
        <v>113.0973</v>
      </c>
      <c r="G9" s="6">
        <f>'OBRA 03 - ANALÍTICA'!J21</f>
        <v>22.650455999999998</v>
      </c>
      <c r="H9" s="46">
        <f t="shared" ref="H9:H18" si="1">G9*(1+$G$2)</f>
        <v>27.400256623199997</v>
      </c>
      <c r="I9" s="6">
        <f>TRUNC(F9*H9,2)</f>
        <v>3098.89</v>
      </c>
      <c r="J9" s="560">
        <f t="shared" si="0"/>
        <v>1.15963020007407E-3</v>
      </c>
    </row>
    <row r="10" spans="1:10">
      <c r="A10" s="561" t="s">
        <v>572</v>
      </c>
      <c r="B10" s="3" t="s">
        <v>361</v>
      </c>
      <c r="C10" s="27" t="s">
        <v>27</v>
      </c>
      <c r="D10" s="27" t="s">
        <v>636</v>
      </c>
      <c r="E10" s="4" t="s">
        <v>21</v>
      </c>
      <c r="F10" s="6">
        <f>VLOOKUP(A10,'OBRA 03 - MEMÓRIA'!A7:O105,15,0)</f>
        <v>880.57569999999998</v>
      </c>
      <c r="G10" s="6">
        <f>'OBRA 03 - ANALÍTICA'!J32</f>
        <v>3.9131663089420776</v>
      </c>
      <c r="H10" s="46">
        <f t="shared" si="1"/>
        <v>4.7337572839272317</v>
      </c>
      <c r="I10" s="6">
        <f>TRUNC(F10*H10,2)</f>
        <v>4168.43</v>
      </c>
      <c r="J10" s="560">
        <f t="shared" si="0"/>
        <v>1.5598608904784474E-3</v>
      </c>
    </row>
    <row r="11" spans="1:10">
      <c r="A11" s="492" t="s">
        <v>573</v>
      </c>
      <c r="B11" s="3" t="s">
        <v>29</v>
      </c>
      <c r="C11" s="27" t="s">
        <v>30</v>
      </c>
      <c r="D11" s="43" t="s">
        <v>560</v>
      </c>
      <c r="E11" s="4" t="s">
        <v>31</v>
      </c>
      <c r="F11" s="6">
        <f>VLOOKUP(A11,'OBRA 03 - MEMÓRIA'!$A:$O,15,0)</f>
        <v>1391.37</v>
      </c>
      <c r="G11" s="6">
        <f>'OBRA 03 - ANALÍTICA'!J51</f>
        <v>9.8135000000000012</v>
      </c>
      <c r="H11" s="46">
        <f t="shared" si="1"/>
        <v>11.871390950000002</v>
      </c>
      <c r="I11" s="6">
        <f>TRUNC(F11*H11,2)</f>
        <v>16517.490000000002</v>
      </c>
      <c r="J11" s="560">
        <f t="shared" si="0"/>
        <v>6.180981007206275E-3</v>
      </c>
    </row>
    <row r="12" spans="1:10">
      <c r="A12" s="492" t="s">
        <v>574</v>
      </c>
      <c r="B12" s="3" t="s">
        <v>362</v>
      </c>
      <c r="C12" s="27" t="s">
        <v>27</v>
      </c>
      <c r="D12" s="554" t="s">
        <v>561</v>
      </c>
      <c r="E12" s="4" t="s">
        <v>28</v>
      </c>
      <c r="F12" s="6">
        <f>VLOOKUP(A12,'OBRA 03 - MEMÓRIA'!$A:$O,15,0)</f>
        <v>428.72299999999996</v>
      </c>
      <c r="G12" s="6">
        <f>'OBRA 03 - ANALÍTICA'!J61</f>
        <v>391.38085807040079</v>
      </c>
      <c r="H12" s="46">
        <f t="shared" si="1"/>
        <v>473.45342400776383</v>
      </c>
      <c r="I12" s="6">
        <f t="shared" ref="I12:I13" si="2">TRUNC(F12*H12,2)</f>
        <v>202980.37</v>
      </c>
      <c r="J12" s="560">
        <f t="shared" si="0"/>
        <v>7.5956928795216594E-2</v>
      </c>
    </row>
    <row r="13" spans="1:10" ht="51">
      <c r="A13" s="492" t="s">
        <v>575</v>
      </c>
      <c r="B13" s="235" t="s">
        <v>42</v>
      </c>
      <c r="C13" s="235" t="s">
        <v>24</v>
      </c>
      <c r="D13" s="234" t="s">
        <v>669</v>
      </c>
      <c r="E13" s="4" t="s">
        <v>28</v>
      </c>
      <c r="F13" s="6">
        <f>VLOOKUP(A13,'OBRA 03 - MEMÓRIA'!$A:$O,15,0)</f>
        <v>496.98951499999993</v>
      </c>
      <c r="G13" s="46">
        <f>'OBRA 03 - ANALÍTICA'!J92</f>
        <v>7.8073019999999991</v>
      </c>
      <c r="H13" s="46">
        <f t="shared" si="1"/>
        <v>9.444493229399999</v>
      </c>
      <c r="I13" s="6">
        <f t="shared" si="2"/>
        <v>4693.8100000000004</v>
      </c>
      <c r="J13" s="560">
        <f t="shared" si="0"/>
        <v>1.7564624202245549E-3</v>
      </c>
    </row>
    <row r="14" spans="1:10" ht="38.25">
      <c r="A14" s="492" t="s">
        <v>576</v>
      </c>
      <c r="B14" s="3" t="s">
        <v>34</v>
      </c>
      <c r="C14" s="27" t="s">
        <v>24</v>
      </c>
      <c r="D14" s="27" t="s">
        <v>656</v>
      </c>
      <c r="E14" s="4" t="s">
        <v>36</v>
      </c>
      <c r="F14" s="6">
        <f>VLOOKUP(A14,'OBRA 03 - MEMÓRIA'!$A:$O,15,0)</f>
        <v>14909.685449999997</v>
      </c>
      <c r="G14" s="250">
        <f>'OBRA 03 - ANALÍTICA'!J102</f>
        <v>2.9732859999999999</v>
      </c>
      <c r="H14" s="46">
        <f t="shared" si="1"/>
        <v>3.5967840741999999</v>
      </c>
      <c r="I14" s="6">
        <f>TRUNC(F14*H14,2)</f>
        <v>53626.91</v>
      </c>
      <c r="J14" s="560">
        <f t="shared" si="0"/>
        <v>2.0067632078794067E-2</v>
      </c>
    </row>
    <row r="15" spans="1:10">
      <c r="A15" s="562" t="s">
        <v>37</v>
      </c>
      <c r="B15" s="215"/>
      <c r="C15" s="215"/>
      <c r="D15" s="215" t="s">
        <v>38</v>
      </c>
      <c r="E15" s="215"/>
      <c r="F15" s="216"/>
      <c r="G15" s="216"/>
      <c r="H15" s="217"/>
      <c r="I15" s="2">
        <f>SUM(I16:I18)</f>
        <v>229096.46000000002</v>
      </c>
      <c r="J15" s="559">
        <f>SUM(J16:J18)</f>
        <v>8.5729785099200415E-2</v>
      </c>
    </row>
    <row r="16" spans="1:10" ht="38.25">
      <c r="A16" s="492" t="s">
        <v>39</v>
      </c>
      <c r="B16" s="3">
        <v>101124</v>
      </c>
      <c r="C16" s="27" t="s">
        <v>24</v>
      </c>
      <c r="D16" s="27" t="s">
        <v>397</v>
      </c>
      <c r="E16" s="4" t="s">
        <v>28</v>
      </c>
      <c r="F16" s="6">
        <f>VLOOKUP(A16,'OBRA 03 - MEMÓRIA'!$A:$O,15,0)</f>
        <v>1437.6918400000002</v>
      </c>
      <c r="G16" s="6">
        <f>'OBRA 03 - ANALÍTICA'!J111</f>
        <v>15.327324999999998</v>
      </c>
      <c r="H16" s="46">
        <f t="shared" si="1"/>
        <v>18.541465052499998</v>
      </c>
      <c r="I16" s="6">
        <f>TRUNC(F16*H16,2)</f>
        <v>26656.91</v>
      </c>
      <c r="J16" s="560">
        <f>I16/$H$57</f>
        <v>9.9752356090911515E-3</v>
      </c>
    </row>
    <row r="17" spans="1:12">
      <c r="A17" s="492" t="s">
        <v>40</v>
      </c>
      <c r="B17" s="3" t="s">
        <v>41</v>
      </c>
      <c r="C17" s="27" t="s">
        <v>27</v>
      </c>
      <c r="D17" s="43" t="s">
        <v>562</v>
      </c>
      <c r="E17" s="4" t="s">
        <v>28</v>
      </c>
      <c r="F17" s="6">
        <f>VLOOKUP(A17,'OBRA 03 - MEMÓRIA'!$A:$O,15,0)</f>
        <v>1437.6918400000002</v>
      </c>
      <c r="G17" s="181">
        <f>'OBRA 03 - ANALÍTICA'!J121</f>
        <v>4.9014837633769313</v>
      </c>
      <c r="H17" s="46">
        <f t="shared" si="1"/>
        <v>5.9293249085570734</v>
      </c>
      <c r="I17" s="6">
        <f>TRUNC(F17*H17,2)</f>
        <v>8524.5400000000009</v>
      </c>
      <c r="J17" s="560">
        <f t="shared" ref="J17:J18" si="3">I17/$H$57</f>
        <v>3.189953185088665E-3</v>
      </c>
    </row>
    <row r="18" spans="1:12" ht="25.5">
      <c r="A18" s="492" t="s">
        <v>396</v>
      </c>
      <c r="B18" s="3" t="s">
        <v>34</v>
      </c>
      <c r="C18" s="27" t="s">
        <v>24</v>
      </c>
      <c r="D18" s="27" t="s">
        <v>654</v>
      </c>
      <c r="E18" s="4" t="s">
        <v>36</v>
      </c>
      <c r="F18" s="6">
        <f>VLOOKUP(A18,'OBRA 03 - MEMÓRIA'!$A:$O,15,0)</f>
        <v>53913.44400000001</v>
      </c>
      <c r="G18" s="181">
        <f>'OBRA 03 - ANALÍTICA'!J144</f>
        <v>2.9732859999999999</v>
      </c>
      <c r="H18" s="46">
        <f t="shared" si="1"/>
        <v>3.5967840741999999</v>
      </c>
      <c r="I18" s="6">
        <f t="shared" ref="I18" si="4">TRUNC(F18*H18,2)</f>
        <v>193915.01</v>
      </c>
      <c r="J18" s="560">
        <f t="shared" si="3"/>
        <v>7.2564596305020601E-2</v>
      </c>
    </row>
    <row r="19" spans="1:12">
      <c r="A19" s="518" t="s">
        <v>44</v>
      </c>
      <c r="B19" s="25"/>
      <c r="C19" s="25"/>
      <c r="D19" s="25" t="s">
        <v>45</v>
      </c>
      <c r="E19" s="25"/>
      <c r="F19" s="216"/>
      <c r="G19" s="216"/>
      <c r="H19" s="217"/>
      <c r="I19" s="219">
        <f>I20+I27</f>
        <v>1038449.18</v>
      </c>
      <c r="J19" s="563">
        <f>J20+J27</f>
        <v>0.3885962490989206</v>
      </c>
    </row>
    <row r="20" spans="1:12">
      <c r="A20" s="518" t="s">
        <v>46</v>
      </c>
      <c r="B20" s="25"/>
      <c r="C20" s="25"/>
      <c r="D20" s="25" t="s">
        <v>47</v>
      </c>
      <c r="E20" s="25"/>
      <c r="F20" s="216"/>
      <c r="G20" s="216"/>
      <c r="H20" s="217"/>
      <c r="I20" s="2">
        <f>SUM(I21:I26)</f>
        <v>451964.38</v>
      </c>
      <c r="J20" s="559">
        <f>SUM(J21:J26)</f>
        <v>0.1691287991525201</v>
      </c>
    </row>
    <row r="21" spans="1:12" ht="25.5">
      <c r="A21" s="492" t="s">
        <v>48</v>
      </c>
      <c r="B21" s="3" t="s">
        <v>49</v>
      </c>
      <c r="C21" s="27" t="s">
        <v>24</v>
      </c>
      <c r="D21" s="27" t="s">
        <v>50</v>
      </c>
      <c r="E21" s="4" t="s">
        <v>21</v>
      </c>
      <c r="F21" s="218">
        <f>VLOOKUP(A21,'OBRA 03 - MEMÓRIA'!$A:$O,15,0)</f>
        <v>3594.2296000000001</v>
      </c>
      <c r="G21" s="214">
        <f>'OBRA 03 - ANALÍTICA'!J154</f>
        <v>1.98004779</v>
      </c>
      <c r="H21" s="46">
        <f t="shared" ref="H21:H22" si="5">G21*(1+$G$2)</f>
        <v>2.3952638115629998</v>
      </c>
      <c r="I21" s="214">
        <f t="shared" ref="I21:I25" si="6">TRUNC(F21*H21,2)</f>
        <v>8609.1200000000008</v>
      </c>
      <c r="J21" s="564">
        <f t="shared" ref="J21:J26" si="7">I21/$H$57</f>
        <v>3.2216037187708111E-3</v>
      </c>
    </row>
    <row r="22" spans="1:12" ht="51">
      <c r="A22" s="492" t="s">
        <v>51</v>
      </c>
      <c r="B22" s="3" t="s">
        <v>52</v>
      </c>
      <c r="C22" s="27" t="s">
        <v>24</v>
      </c>
      <c r="D22" s="27" t="s">
        <v>53</v>
      </c>
      <c r="E22" s="4" t="s">
        <v>28</v>
      </c>
      <c r="F22" s="6">
        <f>VLOOKUP(A22,'OBRA 03 - MEMÓRIA'!$A:$O,15,0)</f>
        <v>718.84592000000009</v>
      </c>
      <c r="G22" s="6">
        <f>'OBRA 03 - ANALÍTICA'!J167</f>
        <v>93.440669999999997</v>
      </c>
      <c r="H22" s="46">
        <f t="shared" si="5"/>
        <v>113.035178499</v>
      </c>
      <c r="I22" s="6">
        <f t="shared" si="6"/>
        <v>81254.87</v>
      </c>
      <c r="J22" s="560">
        <f t="shared" si="7"/>
        <v>3.0406242607866864E-2</v>
      </c>
      <c r="L22" s="74"/>
    </row>
    <row r="23" spans="1:12">
      <c r="A23" s="565" t="s">
        <v>368</v>
      </c>
      <c r="B23" s="71" t="s">
        <v>307</v>
      </c>
      <c r="C23" s="70" t="s">
        <v>24</v>
      </c>
      <c r="D23" s="70" t="s">
        <v>308</v>
      </c>
      <c r="E23" s="72" t="s">
        <v>28</v>
      </c>
      <c r="F23" s="73">
        <f>VLOOKUP(A23,'OBRA 03 - MEMÓRIA'!$A:$O,15,0)</f>
        <v>449.27870000000007</v>
      </c>
      <c r="G23" s="73">
        <f>'OBRA 03 - ANALÍTICA'!J187</f>
        <v>60.92</v>
      </c>
      <c r="H23" s="58">
        <f>G23*(1+$H$2)</f>
        <v>69.46098400000001</v>
      </c>
      <c r="I23" s="73">
        <f t="shared" si="6"/>
        <v>31207.34</v>
      </c>
      <c r="J23" s="566">
        <f t="shared" si="7"/>
        <v>1.1678044050605064E-2</v>
      </c>
      <c r="L23" s="74"/>
    </row>
    <row r="24" spans="1:12" ht="38.25">
      <c r="A24" s="492" t="s">
        <v>309</v>
      </c>
      <c r="B24" s="3" t="s">
        <v>54</v>
      </c>
      <c r="C24" s="27" t="s">
        <v>24</v>
      </c>
      <c r="D24" s="27" t="s">
        <v>55</v>
      </c>
      <c r="E24" s="4" t="s">
        <v>28</v>
      </c>
      <c r="F24" s="6">
        <f>VLOOKUP(A24,'OBRA 03 - MEMÓRIA'!$A:$O,15,0)</f>
        <v>718.84592000000009</v>
      </c>
      <c r="G24" s="6">
        <f>'OBRA 03 - ANALÍTICA'!J193</f>
        <v>174.16018999999997</v>
      </c>
      <c r="H24" s="46">
        <f t="shared" ref="H24:H26" si="8">G24*(1+$G$2)</f>
        <v>210.68158184299998</v>
      </c>
      <c r="I24" s="6">
        <f t="shared" si="6"/>
        <v>151447.59</v>
      </c>
      <c r="J24" s="560">
        <f t="shared" si="7"/>
        <v>5.6672937436448446E-2</v>
      </c>
      <c r="L24" s="74"/>
    </row>
    <row r="25" spans="1:12" ht="51">
      <c r="A25" s="492" t="s">
        <v>326</v>
      </c>
      <c r="B25" s="3" t="s">
        <v>42</v>
      </c>
      <c r="C25" s="27" t="s">
        <v>24</v>
      </c>
      <c r="D25" s="27" t="s">
        <v>659</v>
      </c>
      <c r="E25" s="4" t="s">
        <v>28</v>
      </c>
      <c r="F25" s="6">
        <f>VLOOKUP(A25,'OBRA 03 - MEMÓRIA'!$A:$O,15,0)</f>
        <v>1797.1148000000003</v>
      </c>
      <c r="G25" s="181">
        <f>'OBRA 03 - ANALÍTICA'!J209</f>
        <v>7.8073019999999991</v>
      </c>
      <c r="H25" s="46">
        <f t="shared" si="8"/>
        <v>9.444493229399999</v>
      </c>
      <c r="I25" s="6">
        <f t="shared" si="6"/>
        <v>16972.830000000002</v>
      </c>
      <c r="J25" s="560">
        <f t="shared" si="7"/>
        <v>6.3513729912075545E-3</v>
      </c>
      <c r="L25" s="74"/>
    </row>
    <row r="26" spans="1:12" ht="25.5">
      <c r="A26" s="492" t="s">
        <v>327</v>
      </c>
      <c r="B26" s="3" t="s">
        <v>56</v>
      </c>
      <c r="C26" s="27" t="s">
        <v>24</v>
      </c>
      <c r="D26" s="27" t="s">
        <v>658</v>
      </c>
      <c r="E26" s="4" t="s">
        <v>36</v>
      </c>
      <c r="F26" s="6">
        <f>VLOOKUP(A26,'OBRA 03 - MEMÓRIA'!$A:$O,15,0)</f>
        <v>53913.44400000001</v>
      </c>
      <c r="G26" s="6">
        <f>'OBRA 03 - ANALÍTICA'!J219</f>
        <v>2.4911820000000002</v>
      </c>
      <c r="H26" s="46">
        <f t="shared" si="8"/>
        <v>3.0135828654000001</v>
      </c>
      <c r="I26" s="6">
        <f t="shared" ref="I26:I39" si="9">TRUNC(F26*H26,2)</f>
        <v>162472.63</v>
      </c>
      <c r="J26" s="560">
        <f t="shared" si="7"/>
        <v>6.0798598347621358E-2</v>
      </c>
      <c r="L26" s="74"/>
    </row>
    <row r="27" spans="1:12">
      <c r="A27" s="518" t="s">
        <v>58</v>
      </c>
      <c r="B27" s="25"/>
      <c r="C27" s="25"/>
      <c r="D27" s="25" t="s">
        <v>59</v>
      </c>
      <c r="E27" s="25"/>
      <c r="F27" s="216"/>
      <c r="G27" s="216"/>
      <c r="H27" s="217"/>
      <c r="I27" s="2">
        <f>SUM(I28:I40)</f>
        <v>586484.80000000005</v>
      </c>
      <c r="J27" s="559">
        <f>SUM(J28:J40)</f>
        <v>0.21946744994640049</v>
      </c>
      <c r="L27" s="74"/>
    </row>
    <row r="28" spans="1:12" ht="38.25">
      <c r="A28" s="492" t="s">
        <v>457</v>
      </c>
      <c r="B28" s="3" t="s">
        <v>458</v>
      </c>
      <c r="C28" s="27" t="s">
        <v>24</v>
      </c>
      <c r="D28" s="27" t="s">
        <v>459</v>
      </c>
      <c r="E28" s="4" t="s">
        <v>21</v>
      </c>
      <c r="F28" s="6">
        <f>VLOOKUP(A28,'OBRA 03 - MEMÓRIA'!$A:$O,15,0)</f>
        <v>2911.8492000000001</v>
      </c>
      <c r="G28" s="6">
        <f>'OBRA 03 - ANALÍTICA'!J228</f>
        <v>80.442993000000001</v>
      </c>
      <c r="H28" s="46">
        <f t="shared" ref="H28:H37" si="10">G28*(1+$G$2)</f>
        <v>97.311888632100008</v>
      </c>
      <c r="I28" s="6">
        <f t="shared" si="9"/>
        <v>283357.53999999998</v>
      </c>
      <c r="J28" s="560">
        <f t="shared" ref="J28:J40" si="11">I28/$H$57</f>
        <v>0.10603472882312578</v>
      </c>
      <c r="L28" s="74"/>
    </row>
    <row r="29" spans="1:12">
      <c r="A29" s="492" t="s">
        <v>414</v>
      </c>
      <c r="B29" s="3" t="s">
        <v>62</v>
      </c>
      <c r="C29" s="27" t="s">
        <v>27</v>
      </c>
      <c r="D29" s="43" t="s">
        <v>563</v>
      </c>
      <c r="E29" s="4" t="s">
        <v>21</v>
      </c>
      <c r="F29" s="6">
        <f>VLOOKUP(A29,'OBRA 03 - MEMÓRIA'!$A:$O,15,0)</f>
        <v>3594.2296000000001</v>
      </c>
      <c r="G29" s="6">
        <f>'OBRA 03 - ANALÍTICA'!J243</f>
        <v>0.39891387824278257</v>
      </c>
      <c r="H29" s="46">
        <f t="shared" si="10"/>
        <v>0.48256611851029407</v>
      </c>
      <c r="I29" s="225">
        <f t="shared" si="9"/>
        <v>1734.45</v>
      </c>
      <c r="J29" s="560">
        <f t="shared" si="11"/>
        <v>6.4904549710330817E-4</v>
      </c>
      <c r="L29" s="74"/>
    </row>
    <row r="30" spans="1:12">
      <c r="A30" s="492" t="s">
        <v>415</v>
      </c>
      <c r="B30" s="3" t="s">
        <v>63</v>
      </c>
      <c r="C30" s="27" t="s">
        <v>27</v>
      </c>
      <c r="D30" s="43" t="s">
        <v>564</v>
      </c>
      <c r="E30" s="4" t="s">
        <v>21</v>
      </c>
      <c r="F30" s="6">
        <f>VLOOKUP(A30,'OBRA 03 - MEMÓRIA'!$A:$O,15,0)</f>
        <v>3594.2296000000001</v>
      </c>
      <c r="G30" s="6">
        <f>'OBRA 03 - ANALÍTICA'!J266</f>
        <v>0.27620920000000004</v>
      </c>
      <c r="H30" s="46">
        <f t="shared" si="10"/>
        <v>0.33413026924000006</v>
      </c>
      <c r="I30" s="225">
        <f>TRUNC(F30*H30,2)</f>
        <v>1200.94</v>
      </c>
      <c r="J30" s="560">
        <f t="shared" si="11"/>
        <v>4.494016542945873E-4</v>
      </c>
      <c r="L30" s="74"/>
    </row>
    <row r="31" spans="1:12">
      <c r="A31" s="492" t="s">
        <v>416</v>
      </c>
      <c r="B31" s="3" t="s">
        <v>60</v>
      </c>
      <c r="C31" s="27" t="s">
        <v>27</v>
      </c>
      <c r="D31" s="43" t="s">
        <v>565</v>
      </c>
      <c r="E31" s="4" t="s">
        <v>61</v>
      </c>
      <c r="F31" s="6">
        <f>VLOOKUP(A31,'OBRA 03 - MEMÓRIA'!$A:$O,15,0)</f>
        <v>431.30755200000004</v>
      </c>
      <c r="G31" s="6">
        <f>'OBRA 03 - ANALÍTICA'!J289</f>
        <v>196.22979753012049</v>
      </c>
      <c r="H31" s="46">
        <f t="shared" si="10"/>
        <v>237.37918607218677</v>
      </c>
      <c r="I31" s="225">
        <f t="shared" si="9"/>
        <v>102383.43</v>
      </c>
      <c r="J31" s="560">
        <f t="shared" si="11"/>
        <v>3.8312724044793307E-2</v>
      </c>
      <c r="L31" s="74"/>
    </row>
    <row r="32" spans="1:12" ht="38.25">
      <c r="A32" s="492" t="s">
        <v>417</v>
      </c>
      <c r="B32" s="3" t="s">
        <v>56</v>
      </c>
      <c r="C32" s="27" t="s">
        <v>24</v>
      </c>
      <c r="D32" s="27" t="s">
        <v>668</v>
      </c>
      <c r="E32" s="4" t="s">
        <v>36</v>
      </c>
      <c r="F32" s="6">
        <f>VLOOKUP(A32,'OBRA 03 - MEMÓRIA'!$A:$O,15,0)</f>
        <v>5391.3444000000009</v>
      </c>
      <c r="G32" s="6">
        <f>'OBRA 03 - ANALÍTICA'!J320</f>
        <v>2.4911820000000002</v>
      </c>
      <c r="H32" s="46">
        <f t="shared" si="10"/>
        <v>3.0135828654000001</v>
      </c>
      <c r="I32" s="251">
        <f t="shared" si="9"/>
        <v>16247.26</v>
      </c>
      <c r="J32" s="560">
        <f t="shared" si="11"/>
        <v>6.0798587121373895E-3</v>
      </c>
      <c r="L32" s="74"/>
    </row>
    <row r="33" spans="1:12" ht="51">
      <c r="A33" s="492" t="s">
        <v>460</v>
      </c>
      <c r="B33" s="3" t="s">
        <v>42</v>
      </c>
      <c r="C33" s="27" t="s">
        <v>24</v>
      </c>
      <c r="D33" s="27" t="s">
        <v>43</v>
      </c>
      <c r="E33" s="4" t="s">
        <v>28</v>
      </c>
      <c r="F33" s="6">
        <f>VLOOKUP(A33,'OBRA 03 - MEMÓRIA'!$A:$O,15,0)</f>
        <v>193.92915672000001</v>
      </c>
      <c r="G33" s="6">
        <f>'OBRA 03 - ANALÍTICA'!J328</f>
        <v>7.8073019999999991</v>
      </c>
      <c r="H33" s="46">
        <f t="shared" si="10"/>
        <v>9.444493229399999</v>
      </c>
      <c r="I33" s="6">
        <f t="shared" si="9"/>
        <v>1831.56</v>
      </c>
      <c r="J33" s="560">
        <f t="shared" si="11"/>
        <v>6.8538486014271675E-4</v>
      </c>
      <c r="L33" s="74"/>
    </row>
    <row r="34" spans="1:12" ht="25.5">
      <c r="A34" s="492" t="s">
        <v>461</v>
      </c>
      <c r="B34" s="3" t="s">
        <v>56</v>
      </c>
      <c r="C34" s="27" t="s">
        <v>24</v>
      </c>
      <c r="D34" s="27" t="s">
        <v>418</v>
      </c>
      <c r="E34" s="4" t="s">
        <v>36</v>
      </c>
      <c r="F34" s="6">
        <f>VLOOKUP(A34,'OBRA 03 - MEMÓRIA'!$A:$O,15,0)</f>
        <v>5817.8747016000007</v>
      </c>
      <c r="G34" s="6">
        <f>'OBRA 03 - ANALÍTICA'!J338</f>
        <v>2.4911820000000002</v>
      </c>
      <c r="H34" s="46">
        <f t="shared" si="10"/>
        <v>3.0135828654000001</v>
      </c>
      <c r="I34" s="225">
        <f t="shared" si="9"/>
        <v>17532.64</v>
      </c>
      <c r="J34" s="560">
        <f t="shared" si="11"/>
        <v>6.5608585109592924E-3</v>
      </c>
      <c r="L34" s="74"/>
    </row>
    <row r="35" spans="1:12" ht="38.25">
      <c r="A35" s="492" t="s">
        <v>462</v>
      </c>
      <c r="B35" s="3" t="s">
        <v>64</v>
      </c>
      <c r="C35" s="27" t="s">
        <v>24</v>
      </c>
      <c r="D35" s="27" t="s">
        <v>65</v>
      </c>
      <c r="E35" s="4" t="s">
        <v>66</v>
      </c>
      <c r="F35" s="6">
        <f>VLOOKUP(A35,'OBRA 03 - MEMÓRIA'!$A:$O,15,0)</f>
        <v>1023.1477748544002</v>
      </c>
      <c r="G35" s="6">
        <f>'OBRA 03 - ANALÍTICA'!J346</f>
        <v>1.425548</v>
      </c>
      <c r="H35" s="46">
        <f t="shared" si="10"/>
        <v>1.7244854156</v>
      </c>
      <c r="I35" s="225">
        <f>TRUNC(F35*H35,2)</f>
        <v>1764.4</v>
      </c>
      <c r="J35" s="560">
        <f t="shared" si="11"/>
        <v>6.6025303415438729E-4</v>
      </c>
    </row>
    <row r="36" spans="1:12" ht="38.25">
      <c r="A36" s="492" t="s">
        <v>463</v>
      </c>
      <c r="B36" s="3" t="s">
        <v>67</v>
      </c>
      <c r="C36" s="27" t="s">
        <v>24</v>
      </c>
      <c r="D36" s="27" t="s">
        <v>68</v>
      </c>
      <c r="E36" s="4" t="s">
        <v>66</v>
      </c>
      <c r="F36" s="6">
        <f>VLOOKUP(A36,'OBRA 03 - MEMÓRIA'!$A:$O,15,0)</f>
        <v>16029.315139385602</v>
      </c>
      <c r="G36" s="6">
        <f>'OBRA 03 - ANALÍTICA'!J354</f>
        <v>0.56272500000000003</v>
      </c>
      <c r="H36" s="46">
        <f t="shared" si="10"/>
        <v>0.68072843250000004</v>
      </c>
      <c r="I36" s="225">
        <f>TRUNC(F36*H36,2)</f>
        <v>10911.61</v>
      </c>
      <c r="J36" s="560">
        <f t="shared" si="11"/>
        <v>4.0832144695133491E-3</v>
      </c>
    </row>
    <row r="37" spans="1:12">
      <c r="A37" s="492" t="s">
        <v>464</v>
      </c>
      <c r="B37" s="3" t="s">
        <v>69</v>
      </c>
      <c r="C37" s="27" t="s">
        <v>19</v>
      </c>
      <c r="D37" s="27" t="s">
        <v>70</v>
      </c>
      <c r="E37" s="4" t="s">
        <v>21</v>
      </c>
      <c r="F37" s="6">
        <f>VLOOKUP(A37,'OBRA 03 - MEMÓRIA'!$A:$O,15,0)</f>
        <v>3594.2296000000001</v>
      </c>
      <c r="G37" s="6">
        <f>'OBRA 03 - ANALÍTICA'!J362</f>
        <v>0.58518999999999999</v>
      </c>
      <c r="H37" s="46">
        <f t="shared" si="10"/>
        <v>0.70790434299999994</v>
      </c>
      <c r="I37" s="225">
        <f t="shared" si="9"/>
        <v>2544.37</v>
      </c>
      <c r="J37" s="560">
        <f t="shared" si="11"/>
        <v>9.5212424195839846E-4</v>
      </c>
    </row>
    <row r="38" spans="1:12">
      <c r="A38" s="565" t="s">
        <v>420</v>
      </c>
      <c r="B38" s="71" t="s">
        <v>303</v>
      </c>
      <c r="C38" s="71" t="s">
        <v>303</v>
      </c>
      <c r="D38" s="70" t="s">
        <v>304</v>
      </c>
      <c r="E38" s="72" t="s">
        <v>306</v>
      </c>
      <c r="F38" s="73">
        <f>VLOOKUP(A38,'OBRA 03 - MEMÓRIA'!$A:$O,15,0)</f>
        <v>1.61740332</v>
      </c>
      <c r="G38" s="73">
        <f>'OBRA 03 - ANALÍTICA'!J369</f>
        <v>3037.47</v>
      </c>
      <c r="H38" s="58">
        <f>G38*(1+$H$2)</f>
        <v>3463.3232940000003</v>
      </c>
      <c r="I38" s="254">
        <f t="shared" si="9"/>
        <v>5601.59</v>
      </c>
      <c r="J38" s="566">
        <f t="shared" si="11"/>
        <v>2.0961611843056415E-3</v>
      </c>
    </row>
    <row r="39" spans="1:12">
      <c r="A39" s="565" t="s">
        <v>421</v>
      </c>
      <c r="B39" s="71" t="s">
        <v>303</v>
      </c>
      <c r="C39" s="71" t="s">
        <v>303</v>
      </c>
      <c r="D39" s="70" t="s">
        <v>305</v>
      </c>
      <c r="E39" s="72" t="s">
        <v>306</v>
      </c>
      <c r="F39" s="73">
        <f>VLOOKUP(A39,'OBRA 03 - MEMÓRIA'!$A:$O,15,0)</f>
        <v>4.6724984799999998</v>
      </c>
      <c r="G39" s="73">
        <f>'OBRA 03 - ANALÍTICA'!J375</f>
        <v>2554.84</v>
      </c>
      <c r="H39" s="58">
        <f t="shared" ref="H39:H40" si="12">G39*(1+$H$2)</f>
        <v>2913.0285680000006</v>
      </c>
      <c r="I39" s="254">
        <f t="shared" si="9"/>
        <v>13611.12</v>
      </c>
      <c r="J39" s="566">
        <f t="shared" si="11"/>
        <v>5.0933933791880888E-3</v>
      </c>
    </row>
    <row r="40" spans="1:12">
      <c r="A40" s="565" t="s">
        <v>465</v>
      </c>
      <c r="B40" s="71" t="s">
        <v>303</v>
      </c>
      <c r="C40" s="71" t="s">
        <v>303</v>
      </c>
      <c r="D40" s="70" t="s">
        <v>310</v>
      </c>
      <c r="E40" s="72" t="s">
        <v>306</v>
      </c>
      <c r="F40" s="73">
        <f>VLOOKUP(A40,'OBRA 03 - MEMÓRIA'!$A:$O,15,0)</f>
        <v>27.815024028480007</v>
      </c>
      <c r="G40" s="73">
        <f>'OBRA 03 - ANALÍTICA'!J381</f>
        <v>4028.54</v>
      </c>
      <c r="H40" s="58">
        <f t="shared" si="12"/>
        <v>4593.341308</v>
      </c>
      <c r="I40" s="254">
        <f t="shared" ref="I40" si="13">TRUNC(F40*H40,2)</f>
        <v>127763.89</v>
      </c>
      <c r="J40" s="566">
        <f t="shared" si="11"/>
        <v>4.7810301534724202E-2</v>
      </c>
    </row>
    <row r="41" spans="1:12">
      <c r="A41" s="518" t="s">
        <v>71</v>
      </c>
      <c r="B41" s="25"/>
      <c r="C41" s="25"/>
      <c r="D41" s="25" t="s">
        <v>72</v>
      </c>
      <c r="E41" s="25"/>
      <c r="F41" s="216"/>
      <c r="G41" s="216"/>
      <c r="H41" s="217"/>
      <c r="I41" s="2">
        <f>SUM(I42:I43)</f>
        <v>398600.49</v>
      </c>
      <c r="J41" s="559">
        <f>SUM(J42:J43)</f>
        <v>0.14915959132732121</v>
      </c>
    </row>
    <row r="42" spans="1:12" ht="51">
      <c r="A42" s="492" t="s">
        <v>73</v>
      </c>
      <c r="B42" s="3" t="s">
        <v>74</v>
      </c>
      <c r="C42" s="27" t="s">
        <v>24</v>
      </c>
      <c r="D42" s="27" t="s">
        <v>75</v>
      </c>
      <c r="E42" s="4" t="s">
        <v>76</v>
      </c>
      <c r="F42" s="6">
        <f>VLOOKUP(A42,'OBRA 03 - MEMÓRIA'!$A:$O,15,0)</f>
        <v>3595.0539999999996</v>
      </c>
      <c r="G42" s="181">
        <f>'OBRA 03 - ANALÍTICA'!J388</f>
        <v>50.003387999999994</v>
      </c>
      <c r="H42" s="46">
        <f t="shared" ref="H42:H43" si="14">G42*(1+$G$2)</f>
        <v>60.489098463599994</v>
      </c>
      <c r="I42" s="6">
        <f>TRUNC(F42*H42,2)</f>
        <v>217461.57</v>
      </c>
      <c r="J42" s="560">
        <f>I42/$H$57</f>
        <v>8.1375913287506624E-2</v>
      </c>
    </row>
    <row r="43" spans="1:12" ht="25.5">
      <c r="A43" s="492" t="s">
        <v>77</v>
      </c>
      <c r="B43" s="3" t="s">
        <v>78</v>
      </c>
      <c r="C43" s="27" t="s">
        <v>24</v>
      </c>
      <c r="D43" s="27" t="s">
        <v>79</v>
      </c>
      <c r="E43" s="4" t="s">
        <v>76</v>
      </c>
      <c r="F43" s="6">
        <f>VLOOKUP(A43,'OBRA 03 - MEMÓRIA'!$A:$O,15,0)</f>
        <v>3595.0539999999996</v>
      </c>
      <c r="G43" s="6">
        <f>'OBRA 03 - ANALÍTICA'!J399</f>
        <v>41.651311</v>
      </c>
      <c r="H43" s="46">
        <f t="shared" si="14"/>
        <v>50.385590916699996</v>
      </c>
      <c r="I43" s="6">
        <f>TRUNC(F43*H43,2)</f>
        <v>181138.92</v>
      </c>
      <c r="J43" s="560">
        <f>I43/$H$57</f>
        <v>6.7783678039814568E-2</v>
      </c>
    </row>
    <row r="44" spans="1:12">
      <c r="A44" s="518" t="s">
        <v>80</v>
      </c>
      <c r="B44" s="25"/>
      <c r="C44" s="25"/>
      <c r="D44" s="25" t="s">
        <v>81</v>
      </c>
      <c r="E44" s="215"/>
      <c r="F44" s="216"/>
      <c r="G44" s="216"/>
      <c r="H44" s="217"/>
      <c r="I44" s="2">
        <f>SUM(I45:I48)</f>
        <v>501695.23000000004</v>
      </c>
      <c r="J44" s="559">
        <f>SUM(J45:J48)</f>
        <v>0.18773849344155702</v>
      </c>
    </row>
    <row r="45" spans="1:12" ht="25.5">
      <c r="A45" s="492" t="s">
        <v>529</v>
      </c>
      <c r="B45" s="3" t="s">
        <v>82</v>
      </c>
      <c r="C45" s="27" t="s">
        <v>24</v>
      </c>
      <c r="D45" s="27" t="s">
        <v>83</v>
      </c>
      <c r="E45" s="4" t="s">
        <v>21</v>
      </c>
      <c r="F45" s="6">
        <f>VLOOKUP(A45,'OBRA 03 - MEMÓRIA'!$A:$O,15,0)</f>
        <v>4559.7273999999998</v>
      </c>
      <c r="G45" s="6">
        <f>'OBRA 03 - ANALÍTICA'!J411</f>
        <v>81.545006000000001</v>
      </c>
      <c r="H45" s="46">
        <f t="shared" ref="H45:H48" si="15">G45*(1+$G$2)</f>
        <v>98.644993758200002</v>
      </c>
      <c r="I45" s="6">
        <f>TRUNC(F45*H45,2)</f>
        <v>449794.28</v>
      </c>
      <c r="J45" s="560">
        <f>I45/$H$57</f>
        <v>0.16831672983183407</v>
      </c>
    </row>
    <row r="46" spans="1:12" ht="38.25">
      <c r="A46" s="492" t="s">
        <v>598</v>
      </c>
      <c r="B46" s="3" t="s">
        <v>472</v>
      </c>
      <c r="C46" s="27" t="s">
        <v>30</v>
      </c>
      <c r="D46" s="27" t="s">
        <v>644</v>
      </c>
      <c r="E46" s="4" t="s">
        <v>84</v>
      </c>
      <c r="F46" s="6">
        <f>VLOOKUP(A46,'OBRA 03 - MEMÓRIA'!$A:$O,15,0)</f>
        <v>43</v>
      </c>
      <c r="G46" s="6">
        <f>'OBRA 03 - ANALÍTICA'!J426</f>
        <v>414.82760000000007</v>
      </c>
      <c r="H46" s="46">
        <f t="shared" si="15"/>
        <v>501.81694772000009</v>
      </c>
      <c r="I46" s="6">
        <f t="shared" ref="I46" si="16">TRUNC(F46*H46,2)</f>
        <v>21578.12</v>
      </c>
      <c r="J46" s="560">
        <f>I46/$H$57</f>
        <v>8.0747104972497541E-3</v>
      </c>
    </row>
    <row r="47" spans="1:12" ht="51">
      <c r="A47" s="492" t="s">
        <v>599</v>
      </c>
      <c r="B47" s="3" t="s">
        <v>42</v>
      </c>
      <c r="C47" s="27" t="s">
        <v>24</v>
      </c>
      <c r="D47" s="27" t="s">
        <v>667</v>
      </c>
      <c r="E47" s="4" t="s">
        <v>28</v>
      </c>
      <c r="F47" s="6">
        <f>VLOOKUP(A47,'OBRA 03 - MEMÓRIA'!$A:$O,15,0)</f>
        <v>303.67784483999998</v>
      </c>
      <c r="G47" s="181">
        <f>'OBRA 03 - ANALÍTICA'!J439</f>
        <v>7.8073019999999991</v>
      </c>
      <c r="H47" s="46">
        <f t="shared" si="15"/>
        <v>9.444493229399999</v>
      </c>
      <c r="I47" s="6">
        <f>TRUNC(F47*H47,2)</f>
        <v>2868.08</v>
      </c>
      <c r="J47" s="560">
        <f>I47/$H$57</f>
        <v>1.0732591941722484E-3</v>
      </c>
    </row>
    <row r="48" spans="1:12" ht="38.25">
      <c r="A48" s="492" t="s">
        <v>600</v>
      </c>
      <c r="B48" s="3" t="s">
        <v>56</v>
      </c>
      <c r="C48" s="27" t="s">
        <v>24</v>
      </c>
      <c r="D48" s="27" t="s">
        <v>653</v>
      </c>
      <c r="E48" s="4" t="s">
        <v>36</v>
      </c>
      <c r="F48" s="6">
        <f>VLOOKUP(A48,'OBRA 03 - MEMÓRIA'!$A:$O,15,0)</f>
        <v>9110.3353451999992</v>
      </c>
      <c r="G48" s="214">
        <f>'OBRA 03 - ANALÍTICA'!J447</f>
        <v>2.4911820000000002</v>
      </c>
      <c r="H48" s="46">
        <f t="shared" si="15"/>
        <v>3.0135828654000001</v>
      </c>
      <c r="I48" s="6">
        <f>TRUNC(F48*H48,2)</f>
        <v>27454.75</v>
      </c>
      <c r="J48" s="560">
        <f>I48/$H$57</f>
        <v>1.0273793918300932E-2</v>
      </c>
    </row>
    <row r="49" spans="1:10">
      <c r="A49" s="518">
        <v>6</v>
      </c>
      <c r="B49" s="25"/>
      <c r="C49" s="25"/>
      <c r="D49" s="25" t="s">
        <v>476</v>
      </c>
      <c r="E49" s="25"/>
      <c r="F49" s="220"/>
      <c r="G49" s="216"/>
      <c r="H49" s="216"/>
      <c r="I49" s="221">
        <f>SUM(I50:I51)</f>
        <v>4713.5300000000007</v>
      </c>
      <c r="J49" s="567">
        <f>SUM(J50:J51)</f>
        <v>1.7638418068905743E-3</v>
      </c>
    </row>
    <row r="50" spans="1:10" ht="25.5">
      <c r="A50" s="492" t="s">
        <v>85</v>
      </c>
      <c r="B50" s="3" t="s">
        <v>477</v>
      </c>
      <c r="C50" s="27" t="s">
        <v>24</v>
      </c>
      <c r="D50" s="27" t="s">
        <v>478</v>
      </c>
      <c r="E50" s="4" t="s">
        <v>21</v>
      </c>
      <c r="F50" s="6">
        <f>VLOOKUP(A50,'OBRA 03 - MEMÓRIA'!$A:$O,15,0)</f>
        <v>81.48</v>
      </c>
      <c r="G50" s="181">
        <f>'OBRA 03 - ANALÍTICA'!J458</f>
        <v>26.613711000000002</v>
      </c>
      <c r="H50" s="46">
        <f t="shared" ref="H50" si="17">G50*(1+$G$2)</f>
        <v>32.194606196700001</v>
      </c>
      <c r="I50" s="6">
        <f>TRUNC(F50*H50,2)</f>
        <v>2623.21</v>
      </c>
      <c r="J50" s="560">
        <f>I50/$H$57</f>
        <v>9.8162682029252443E-4</v>
      </c>
    </row>
    <row r="51" spans="1:10" ht="25.5">
      <c r="A51" s="565" t="s">
        <v>479</v>
      </c>
      <c r="B51" s="71" t="s">
        <v>480</v>
      </c>
      <c r="C51" s="70" t="s">
        <v>24</v>
      </c>
      <c r="D51" s="70" t="s">
        <v>481</v>
      </c>
      <c r="E51" s="72" t="s">
        <v>21</v>
      </c>
      <c r="F51" s="73">
        <f>VLOOKUP(A51,'OBRA 03 - MEMÓRIA'!$A:$O,15,0)</f>
        <v>81.48</v>
      </c>
      <c r="G51" s="73">
        <f>'OBRA 03 - ANALÍTICA'!J467</f>
        <v>22.5</v>
      </c>
      <c r="H51" s="58">
        <f t="shared" ref="H51" si="18">G51*(1+$H$2)</f>
        <v>25.654500000000002</v>
      </c>
      <c r="I51" s="73">
        <f>TRUNC(F51*H51,2)</f>
        <v>2090.3200000000002</v>
      </c>
      <c r="J51" s="566">
        <f>I51/$H$57</f>
        <v>7.8221498659804972E-4</v>
      </c>
    </row>
    <row r="52" spans="1:10">
      <c r="A52" s="518" t="s">
        <v>482</v>
      </c>
      <c r="B52" s="25"/>
      <c r="C52" s="25"/>
      <c r="D52" s="25" t="s">
        <v>329</v>
      </c>
      <c r="E52" s="25"/>
      <c r="F52" s="1"/>
      <c r="G52" s="25"/>
      <c r="H52" s="25"/>
      <c r="I52" s="221">
        <f>SUM(I53:I53)</f>
        <v>15995.28</v>
      </c>
      <c r="J52" s="567">
        <f>SUM(J53:J53)</f>
        <v>5.9855657176088118E-3</v>
      </c>
    </row>
    <row r="53" spans="1:10" ht="51">
      <c r="A53" s="492" t="s">
        <v>86</v>
      </c>
      <c r="B53" s="3" t="s">
        <v>330</v>
      </c>
      <c r="C53" s="27" t="s">
        <v>24</v>
      </c>
      <c r="D53" s="27" t="s">
        <v>331</v>
      </c>
      <c r="E53" s="4" t="s">
        <v>76</v>
      </c>
      <c r="F53" s="6">
        <f>VLOOKUP(A53,'OBRA 03 - MEMÓRIA'!$A:$O,15,0)</f>
        <v>2070</v>
      </c>
      <c r="G53" s="6">
        <f>'OBRA 03 - ANALÍTICA'!J474</f>
        <v>6.3876930000000005</v>
      </c>
      <c r="H53" s="46">
        <f t="shared" ref="H53" si="19">G53*(1+$G$2)</f>
        <v>7.7271922221000002</v>
      </c>
      <c r="I53" s="6">
        <f>TRUNC(F53*H53,2)</f>
        <v>15995.28</v>
      </c>
      <c r="J53" s="560">
        <f>I53/$H$57</f>
        <v>5.9855657176088118E-3</v>
      </c>
    </row>
    <row r="54" spans="1:10">
      <c r="A54" s="518">
        <v>8</v>
      </c>
      <c r="B54" s="25"/>
      <c r="C54" s="25"/>
      <c r="D54" s="25" t="s">
        <v>87</v>
      </c>
      <c r="E54" s="25"/>
      <c r="F54" s="555"/>
      <c r="G54" s="555"/>
      <c r="H54" s="555"/>
      <c r="I54" s="221">
        <f>SUM(I55:I55)</f>
        <v>195957.95</v>
      </c>
      <c r="J54" s="567">
        <f>SUM(J55:J55)</f>
        <v>7.3329081304791266E-2</v>
      </c>
    </row>
    <row r="55" spans="1:10">
      <c r="A55" s="492" t="s">
        <v>483</v>
      </c>
      <c r="B55" s="3" t="s">
        <v>88</v>
      </c>
      <c r="C55" s="27" t="s">
        <v>19</v>
      </c>
      <c r="D55" s="27" t="s">
        <v>89</v>
      </c>
      <c r="E55" s="4" t="s">
        <v>90</v>
      </c>
      <c r="F55" s="6">
        <f>VLOOKUP(A55,'OBRA 03 - MEMÓRIA'!$A:$O,15,0)</f>
        <v>3.18</v>
      </c>
      <c r="G55" s="556">
        <f>'OBRA 03 - ANALÍTICA'!J489</f>
        <v>50939.899999999994</v>
      </c>
      <c r="H55" s="46">
        <f t="shared" ref="H55" si="20">G55*(1+$G$2)</f>
        <v>61621.997029999991</v>
      </c>
      <c r="I55" s="6">
        <f>TRUNC(F55*H55,2)</f>
        <v>195957.95</v>
      </c>
      <c r="J55" s="560">
        <f>I55/$H$57</f>
        <v>7.3329081304791266E-2</v>
      </c>
    </row>
    <row r="56" spans="1:10">
      <c r="A56" s="527"/>
      <c r="B56" s="20"/>
      <c r="C56" s="20"/>
      <c r="D56" s="20"/>
      <c r="E56" s="20"/>
      <c r="F56" s="1183"/>
      <c r="G56" s="1084"/>
      <c r="H56" s="1184"/>
      <c r="I56" s="1084"/>
      <c r="J56" s="1185"/>
    </row>
    <row r="57" spans="1:10">
      <c r="A57" s="1186"/>
      <c r="B57" s="1187"/>
      <c r="C57" s="1187"/>
      <c r="D57" s="569"/>
      <c r="E57" s="568"/>
      <c r="F57" s="1187" t="s">
        <v>328</v>
      </c>
      <c r="G57" s="1187"/>
      <c r="H57" s="1188">
        <f>I7+I15+I19+I41+I44+I49+I52+I54</f>
        <v>2672308.81</v>
      </c>
      <c r="I57" s="1187"/>
      <c r="J57" s="1189"/>
    </row>
    <row r="58" spans="1:10">
      <c r="A58" s="1084"/>
      <c r="B58" s="1084"/>
      <c r="C58" s="1084"/>
      <c r="D58" s="21"/>
      <c r="E58" s="14"/>
    </row>
    <row r="59" spans="1:10">
      <c r="A59" s="1084"/>
      <c r="B59" s="1084"/>
      <c r="C59" s="1084"/>
      <c r="D59" s="21"/>
      <c r="E59" s="14"/>
    </row>
  </sheetData>
  <mergeCells count="17">
    <mergeCell ref="A58:C58"/>
    <mergeCell ref="F56:G56"/>
    <mergeCell ref="H56:J56"/>
    <mergeCell ref="A59:C59"/>
    <mergeCell ref="A57:C57"/>
    <mergeCell ref="F57:G57"/>
    <mergeCell ref="H57:J57"/>
    <mergeCell ref="D1:F1"/>
    <mergeCell ref="A5:J5"/>
    <mergeCell ref="A1:C2"/>
    <mergeCell ref="G1:H1"/>
    <mergeCell ref="I1:J2"/>
    <mergeCell ref="A3:D3"/>
    <mergeCell ref="E3:J3"/>
    <mergeCell ref="A4:D4"/>
    <mergeCell ref="E4:J4"/>
    <mergeCell ref="D2:F2"/>
  </mergeCells>
  <conditionalFormatting sqref="D13">
    <cfRule type="duplicateValues" dxfId="31" priority="1"/>
  </conditionalFormatting>
  <pageMargins left="0.511811024" right="0.511811024" top="0.78740157499999996" bottom="0.78740157499999996" header="0.31496062000000002" footer="0.31496062000000002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06"/>
  <sheetViews>
    <sheetView zoomScale="80" zoomScaleNormal="80" workbookViewId="0">
      <pane ySplit="2" topLeftCell="A98" activePane="bottomLeft" state="frozen"/>
      <selection pane="bottomLeft" activeCell="E4" sqref="A1:O4"/>
    </sheetView>
  </sheetViews>
  <sheetFormatPr defaultColWidth="9" defaultRowHeight="14.25"/>
  <cols>
    <col min="1" max="1" width="6" bestFit="1" customWidth="1"/>
    <col min="2" max="2" width="8.625" bestFit="1" customWidth="1"/>
    <col min="3" max="3" width="6.875" bestFit="1" customWidth="1"/>
    <col min="4" max="4" width="60" customWidth="1"/>
    <col min="5" max="5" width="8.625" customWidth="1"/>
    <col min="6" max="14" width="10.75" customWidth="1"/>
    <col min="15" max="15" width="13" customWidth="1"/>
  </cols>
  <sheetData>
    <row r="1" spans="1:15" ht="15" customHeight="1">
      <c r="A1" s="1005"/>
      <c r="B1" s="1006"/>
      <c r="C1" s="1006"/>
      <c r="D1" s="1005" t="s">
        <v>0</v>
      </c>
      <c r="E1" s="1006"/>
      <c r="F1" s="1006"/>
      <c r="G1" s="1007" t="s">
        <v>1</v>
      </c>
      <c r="H1" s="1007"/>
      <c r="I1" s="1011"/>
      <c r="J1" s="1012"/>
      <c r="K1" s="1012"/>
      <c r="L1" s="1012"/>
      <c r="M1" s="1012"/>
      <c r="N1" s="1012"/>
      <c r="O1" s="1013"/>
    </row>
    <row r="2" spans="1:15" ht="54.6" customHeight="1">
      <c r="A2" s="1006"/>
      <c r="B2" s="1006"/>
      <c r="C2" s="1006"/>
      <c r="D2" s="1009" t="s">
        <v>3</v>
      </c>
      <c r="E2" s="1010"/>
      <c r="F2" s="1010"/>
      <c r="G2" s="580">
        <v>0.2097</v>
      </c>
      <c r="H2" s="580">
        <v>0.14019999999999999</v>
      </c>
      <c r="I2" s="1014"/>
      <c r="J2" s="1015"/>
      <c r="K2" s="1015"/>
      <c r="L2" s="1015"/>
      <c r="M2" s="1015"/>
      <c r="N2" s="1015"/>
      <c r="O2" s="1016"/>
    </row>
    <row r="3" spans="1:15" ht="15.6" customHeight="1">
      <c r="A3" s="979" t="s">
        <v>732</v>
      </c>
      <c r="B3" s="1018"/>
      <c r="C3" s="1018"/>
      <c r="D3" s="1018"/>
      <c r="E3" s="1019" t="s">
        <v>738</v>
      </c>
      <c r="F3" s="991"/>
      <c r="G3" s="991"/>
      <c r="H3" s="991"/>
      <c r="I3" s="991"/>
      <c r="J3" s="991"/>
      <c r="K3" s="991"/>
      <c r="L3" s="991"/>
      <c r="M3" s="991"/>
      <c r="N3" s="991"/>
      <c r="O3" s="991"/>
    </row>
    <row r="4" spans="1:15" ht="15" customHeight="1">
      <c r="A4" s="977" t="s">
        <v>737</v>
      </c>
      <c r="B4" s="978"/>
      <c r="C4" s="978"/>
      <c r="D4" s="978"/>
      <c r="E4" s="1017" t="s">
        <v>5</v>
      </c>
      <c r="F4" s="991"/>
      <c r="G4" s="991"/>
      <c r="H4" s="991"/>
      <c r="I4" s="991"/>
      <c r="J4" s="991"/>
      <c r="K4" s="991"/>
      <c r="L4" s="991"/>
      <c r="M4" s="991"/>
      <c r="N4" s="991"/>
      <c r="O4" s="991"/>
    </row>
    <row r="5" spans="1:15" ht="20.45" customHeight="1">
      <c r="A5" s="1004" t="s">
        <v>345</v>
      </c>
      <c r="B5" s="1004"/>
      <c r="C5" s="1004"/>
      <c r="D5" s="1004"/>
      <c r="E5" s="1004"/>
      <c r="F5" s="1004"/>
      <c r="G5" s="1004"/>
      <c r="H5" s="1004"/>
      <c r="I5" s="1004"/>
      <c r="J5" s="1004"/>
      <c r="K5" s="1004"/>
      <c r="L5" s="1004"/>
      <c r="M5" s="1004"/>
      <c r="N5" s="1004"/>
      <c r="O5" s="1004"/>
    </row>
    <row r="6" spans="1:15" ht="26.1" customHeight="1">
      <c r="A6" s="557" t="s">
        <v>6</v>
      </c>
      <c r="B6" s="66" t="s">
        <v>7</v>
      </c>
      <c r="C6" s="66" t="s">
        <v>8</v>
      </c>
      <c r="D6" s="66" t="s">
        <v>9</v>
      </c>
      <c r="E6" s="66" t="s">
        <v>10</v>
      </c>
      <c r="F6" s="66" t="s">
        <v>312</v>
      </c>
      <c r="G6" s="66" t="s">
        <v>313</v>
      </c>
      <c r="H6" s="66" t="s">
        <v>314</v>
      </c>
      <c r="I6" s="66" t="s">
        <v>315</v>
      </c>
      <c r="J6" s="66" t="s">
        <v>316</v>
      </c>
      <c r="K6" s="66" t="s">
        <v>484</v>
      </c>
      <c r="L6" s="66" t="s">
        <v>426</v>
      </c>
      <c r="M6" s="66" t="s">
        <v>427</v>
      </c>
      <c r="N6" s="66" t="s">
        <v>428</v>
      </c>
      <c r="O6" s="558" t="s">
        <v>14</v>
      </c>
    </row>
    <row r="7" spans="1:15">
      <c r="A7" s="518" t="s">
        <v>16</v>
      </c>
      <c r="B7" s="25"/>
      <c r="C7" s="25"/>
      <c r="D7" s="25" t="s">
        <v>17</v>
      </c>
      <c r="E7" s="25"/>
      <c r="F7" s="1"/>
      <c r="G7" s="25"/>
      <c r="H7" s="25"/>
      <c r="I7" s="2"/>
      <c r="J7" s="2"/>
      <c r="K7" s="2"/>
      <c r="L7" s="2"/>
      <c r="M7" s="2"/>
      <c r="N7" s="2"/>
      <c r="O7" s="519"/>
    </row>
    <row r="8" spans="1:15" ht="14.45" customHeight="1">
      <c r="A8" s="492" t="s">
        <v>570</v>
      </c>
      <c r="B8" s="3" t="s">
        <v>302</v>
      </c>
      <c r="C8" s="27" t="s">
        <v>19</v>
      </c>
      <c r="D8" s="27" t="s">
        <v>20</v>
      </c>
      <c r="E8" s="4" t="s">
        <v>21</v>
      </c>
      <c r="F8" s="3"/>
      <c r="G8" s="6"/>
      <c r="H8" s="6"/>
      <c r="I8" s="6"/>
      <c r="J8" s="6"/>
      <c r="K8" s="6"/>
      <c r="L8" s="6"/>
      <c r="M8" s="6"/>
      <c r="N8" s="6"/>
      <c r="O8" s="615">
        <f>O9</f>
        <v>6</v>
      </c>
    </row>
    <row r="9" spans="1:15" ht="15" customHeight="1">
      <c r="A9" s="616"/>
      <c r="B9" s="33"/>
      <c r="C9" s="32"/>
      <c r="D9" s="32"/>
      <c r="E9" s="37"/>
      <c r="F9" s="33"/>
      <c r="G9" s="38"/>
      <c r="H9" s="38"/>
      <c r="I9" s="38">
        <v>6</v>
      </c>
      <c r="J9" s="38"/>
      <c r="K9" s="38"/>
      <c r="L9" s="38"/>
      <c r="M9" s="38"/>
      <c r="N9" s="38"/>
      <c r="O9" s="617">
        <f>I9</f>
        <v>6</v>
      </c>
    </row>
    <row r="10" spans="1:15" ht="30" customHeight="1">
      <c r="A10" s="492" t="s">
        <v>571</v>
      </c>
      <c r="B10" s="3" t="s">
        <v>23</v>
      </c>
      <c r="C10" s="27" t="s">
        <v>24</v>
      </c>
      <c r="D10" s="631" t="s">
        <v>25</v>
      </c>
      <c r="E10" s="4" t="s">
        <v>21</v>
      </c>
      <c r="F10" s="3"/>
      <c r="G10" s="6"/>
      <c r="H10" s="6"/>
      <c r="I10" s="6"/>
      <c r="J10" s="6"/>
      <c r="K10" s="6"/>
      <c r="L10" s="6"/>
      <c r="M10" s="6"/>
      <c r="N10" s="6"/>
      <c r="O10" s="615">
        <f>O11</f>
        <v>113.0973</v>
      </c>
    </row>
    <row r="11" spans="1:15">
      <c r="A11" s="616"/>
      <c r="B11" s="33"/>
      <c r="C11" s="32"/>
      <c r="D11" s="32"/>
      <c r="E11" s="37"/>
      <c r="F11" s="33"/>
      <c r="G11" s="38"/>
      <c r="H11" s="38"/>
      <c r="I11" s="38">
        <v>113.0973</v>
      </c>
      <c r="J11" s="38"/>
      <c r="K11" s="38"/>
      <c r="L11" s="38"/>
      <c r="M11" s="38"/>
      <c r="N11" s="38"/>
      <c r="O11" s="617">
        <f>I11</f>
        <v>113.0973</v>
      </c>
    </row>
    <row r="12" spans="1:15" ht="15" customHeight="1">
      <c r="A12" s="561" t="s">
        <v>572</v>
      </c>
      <c r="B12" s="3" t="s">
        <v>361</v>
      </c>
      <c r="C12" s="27" t="s">
        <v>27</v>
      </c>
      <c r="D12" s="27" t="s">
        <v>636</v>
      </c>
      <c r="E12" s="4" t="s">
        <v>21</v>
      </c>
      <c r="F12" s="632"/>
      <c r="G12" s="22"/>
      <c r="H12" s="22"/>
      <c r="I12" s="22"/>
      <c r="J12" s="22"/>
      <c r="K12" s="22"/>
      <c r="L12" s="22"/>
      <c r="M12" s="22"/>
      <c r="N12" s="22"/>
      <c r="O12" s="633">
        <f>O13</f>
        <v>880.57569999999998</v>
      </c>
    </row>
    <row r="13" spans="1:15" ht="15" customHeight="1">
      <c r="A13" s="616"/>
      <c r="B13" s="35"/>
      <c r="C13" s="32"/>
      <c r="D13" s="32"/>
      <c r="E13" s="34"/>
      <c r="F13" s="39"/>
      <c r="G13" s="36"/>
      <c r="H13" s="36"/>
      <c r="I13" s="36">
        <v>880.57569999999998</v>
      </c>
      <c r="J13" s="36"/>
      <c r="K13" s="36"/>
      <c r="L13" s="36"/>
      <c r="M13" s="36"/>
      <c r="N13" s="36"/>
      <c r="O13" s="634">
        <f>I13</f>
        <v>880.57569999999998</v>
      </c>
    </row>
    <row r="14" spans="1:15">
      <c r="A14" s="492" t="s">
        <v>573</v>
      </c>
      <c r="B14" s="3" t="s">
        <v>29</v>
      </c>
      <c r="C14" s="27" t="s">
        <v>30</v>
      </c>
      <c r="D14" s="43" t="s">
        <v>560</v>
      </c>
      <c r="E14" s="4" t="s">
        <v>31</v>
      </c>
      <c r="F14" s="3"/>
      <c r="G14" s="6"/>
      <c r="H14" s="6"/>
      <c r="I14" s="6"/>
      <c r="J14" s="6"/>
      <c r="K14" s="6"/>
      <c r="L14" s="6"/>
      <c r="M14" s="6"/>
      <c r="N14" s="6"/>
      <c r="O14" s="615">
        <f>O15</f>
        <v>1391.37</v>
      </c>
    </row>
    <row r="15" spans="1:15" ht="15" customHeight="1">
      <c r="A15" s="616"/>
      <c r="B15" s="33"/>
      <c r="C15" s="32"/>
      <c r="D15" s="32"/>
      <c r="E15" s="37"/>
      <c r="F15" s="38">
        <v>1391.37</v>
      </c>
      <c r="G15" s="38"/>
      <c r="H15" s="38"/>
      <c r="I15" s="38"/>
      <c r="J15" s="38"/>
      <c r="K15" s="38"/>
      <c r="L15" s="38"/>
      <c r="M15" s="38"/>
      <c r="N15" s="38"/>
      <c r="O15" s="617">
        <f>F15</f>
        <v>1391.37</v>
      </c>
    </row>
    <row r="16" spans="1:15">
      <c r="A16" s="492" t="s">
        <v>574</v>
      </c>
      <c r="B16" s="3" t="s">
        <v>362</v>
      </c>
      <c r="C16" s="27" t="s">
        <v>27</v>
      </c>
      <c r="D16" s="554" t="s">
        <v>561</v>
      </c>
      <c r="E16" s="4" t="s">
        <v>28</v>
      </c>
      <c r="F16" s="3"/>
      <c r="G16" s="6"/>
      <c r="H16" s="6"/>
      <c r="I16" s="6"/>
      <c r="J16" s="6"/>
      <c r="K16" s="6"/>
      <c r="L16" s="6"/>
      <c r="M16" s="6"/>
      <c r="N16" s="6"/>
      <c r="O16" s="615">
        <f>SUM(O17:O17)</f>
        <v>428.72299999999996</v>
      </c>
    </row>
    <row r="17" spans="1:15" ht="15" customHeight="1">
      <c r="A17" s="616"/>
      <c r="B17" s="33"/>
      <c r="C17" s="32"/>
      <c r="D17" s="33" t="s">
        <v>635</v>
      </c>
      <c r="E17" s="37"/>
      <c r="F17" s="38"/>
      <c r="G17" s="38"/>
      <c r="H17" s="38">
        <v>0.05</v>
      </c>
      <c r="I17" s="38">
        <v>8574.4599999999991</v>
      </c>
      <c r="J17" s="38"/>
      <c r="K17" s="38"/>
      <c r="L17" s="38"/>
      <c r="M17" s="38"/>
      <c r="N17" s="38"/>
      <c r="O17" s="617">
        <f>H17*I17</f>
        <v>428.72299999999996</v>
      </c>
    </row>
    <row r="18" spans="1:15" ht="54.6" customHeight="1">
      <c r="A18" s="492" t="s">
        <v>575</v>
      </c>
      <c r="B18" s="235" t="s">
        <v>42</v>
      </c>
      <c r="C18" s="235" t="s">
        <v>24</v>
      </c>
      <c r="D18" s="234" t="s">
        <v>669</v>
      </c>
      <c r="E18" s="4" t="s">
        <v>28</v>
      </c>
      <c r="F18" s="3"/>
      <c r="G18" s="6"/>
      <c r="H18" s="6"/>
      <c r="I18" s="6"/>
      <c r="J18" s="6"/>
      <c r="K18" s="6"/>
      <c r="L18" s="6"/>
      <c r="M18" s="6"/>
      <c r="N18" s="6"/>
      <c r="O18" s="615">
        <f>SUM(O19:O22)</f>
        <v>496.98951499999993</v>
      </c>
    </row>
    <row r="19" spans="1:15" ht="15" customHeight="1">
      <c r="A19" s="616"/>
      <c r="B19" s="33"/>
      <c r="C19" s="32"/>
      <c r="D19" s="33" t="s">
        <v>647</v>
      </c>
      <c r="E19" s="37"/>
      <c r="F19" s="33"/>
      <c r="G19" s="38"/>
      <c r="H19" s="38">
        <v>0.2</v>
      </c>
      <c r="I19" s="38">
        <f>I13</f>
        <v>880.57569999999998</v>
      </c>
      <c r="J19" s="38"/>
      <c r="K19" s="38"/>
      <c r="L19" s="38"/>
      <c r="M19" s="38"/>
      <c r="N19" s="38"/>
      <c r="O19" s="635"/>
    </row>
    <row r="20" spans="1:15" ht="15" customHeight="1">
      <c r="A20" s="616"/>
      <c r="B20" s="33"/>
      <c r="C20" s="32"/>
      <c r="D20" s="33" t="s">
        <v>323</v>
      </c>
      <c r="E20" s="37"/>
      <c r="F20" s="33"/>
      <c r="G20" s="38"/>
      <c r="H20" s="38">
        <v>0.05</v>
      </c>
      <c r="I20" s="38">
        <f>I11</f>
        <v>113.0973</v>
      </c>
      <c r="J20" s="38"/>
      <c r="K20" s="38"/>
      <c r="L20" s="38"/>
      <c r="M20" s="38"/>
      <c r="N20" s="38"/>
      <c r="O20" s="617">
        <f>H20*I20</f>
        <v>5.6548650000000009</v>
      </c>
    </row>
    <row r="21" spans="1:15" ht="14.45" customHeight="1">
      <c r="A21" s="616"/>
      <c r="B21" s="33"/>
      <c r="C21" s="32"/>
      <c r="D21" s="33" t="s">
        <v>635</v>
      </c>
      <c r="E21" s="37"/>
      <c r="F21" s="38"/>
      <c r="G21" s="38"/>
      <c r="H21" s="38">
        <v>0.05</v>
      </c>
      <c r="I21" s="38">
        <v>8574.4599999999991</v>
      </c>
      <c r="J21" s="38"/>
      <c r="K21" s="38"/>
      <c r="L21" s="38"/>
      <c r="M21" s="38"/>
      <c r="N21" s="38"/>
      <c r="O21" s="617">
        <f>H21*I21</f>
        <v>428.72299999999996</v>
      </c>
    </row>
    <row r="22" spans="1:15" ht="15" customHeight="1">
      <c r="A22" s="616"/>
      <c r="B22" s="33"/>
      <c r="C22" s="32"/>
      <c r="D22" s="33" t="s">
        <v>324</v>
      </c>
      <c r="E22" s="37"/>
      <c r="F22" s="38">
        <f>F15</f>
        <v>1391.37</v>
      </c>
      <c r="G22" s="38">
        <v>0.15</v>
      </c>
      <c r="H22" s="38">
        <v>0.3</v>
      </c>
      <c r="I22" s="38"/>
      <c r="J22" s="38"/>
      <c r="K22" s="38"/>
      <c r="L22" s="38"/>
      <c r="M22" s="38"/>
      <c r="N22" s="38"/>
      <c r="O22" s="617">
        <f>F22*G22*H22</f>
        <v>62.61164999999999</v>
      </c>
    </row>
    <row r="23" spans="1:15" ht="30" customHeight="1">
      <c r="A23" s="492" t="s">
        <v>576</v>
      </c>
      <c r="B23" s="3" t="s">
        <v>34</v>
      </c>
      <c r="C23" s="27" t="s">
        <v>24</v>
      </c>
      <c r="D23" s="27" t="s">
        <v>656</v>
      </c>
      <c r="E23" s="4" t="s">
        <v>36</v>
      </c>
      <c r="F23" s="3"/>
      <c r="G23" s="6"/>
      <c r="H23" s="6"/>
      <c r="I23" s="6"/>
      <c r="J23" s="6"/>
      <c r="K23" s="6"/>
      <c r="L23" s="6"/>
      <c r="M23" s="6"/>
      <c r="N23" s="6"/>
      <c r="O23" s="615">
        <f>O24</f>
        <v>14909.685449999997</v>
      </c>
    </row>
    <row r="24" spans="1:15" ht="15.6" customHeight="1">
      <c r="A24" s="616"/>
      <c r="B24" s="33"/>
      <c r="C24" s="32"/>
      <c r="D24" s="32"/>
      <c r="E24" s="37"/>
      <c r="F24" s="33"/>
      <c r="G24" s="38"/>
      <c r="H24" s="38"/>
      <c r="I24" s="38"/>
      <c r="J24" s="38">
        <f>O18</f>
        <v>496.98951499999993</v>
      </c>
      <c r="K24" s="38"/>
      <c r="L24" s="38"/>
      <c r="M24" s="38"/>
      <c r="N24" s="38">
        <v>30</v>
      </c>
      <c r="O24" s="617">
        <f>J24*N24</f>
        <v>14909.685449999997</v>
      </c>
    </row>
    <row r="25" spans="1:15" ht="15.6" customHeight="1">
      <c r="A25" s="518" t="s">
        <v>37</v>
      </c>
      <c r="B25" s="25"/>
      <c r="C25" s="25"/>
      <c r="D25" s="25" t="s">
        <v>38</v>
      </c>
      <c r="E25" s="25"/>
      <c r="F25" s="1"/>
      <c r="G25" s="25"/>
      <c r="H25" s="25"/>
      <c r="I25" s="2"/>
      <c r="J25" s="2"/>
      <c r="K25" s="2"/>
      <c r="L25" s="2"/>
      <c r="M25" s="2"/>
      <c r="N25" s="2"/>
      <c r="O25" s="519"/>
    </row>
    <row r="26" spans="1:15" ht="30" customHeight="1">
      <c r="A26" s="492" t="s">
        <v>39</v>
      </c>
      <c r="B26" s="3">
        <v>101124</v>
      </c>
      <c r="C26" s="27" t="s">
        <v>24</v>
      </c>
      <c r="D26" s="27" t="s">
        <v>397</v>
      </c>
      <c r="E26" s="4" t="s">
        <v>28</v>
      </c>
      <c r="F26" s="3"/>
      <c r="G26" s="6"/>
      <c r="H26" s="6"/>
      <c r="I26" s="6"/>
      <c r="J26" s="6"/>
      <c r="K26" s="6"/>
      <c r="L26" s="6"/>
      <c r="M26" s="6"/>
      <c r="N26" s="6"/>
      <c r="O26" s="615">
        <f>O27</f>
        <v>1437.6918400000002</v>
      </c>
    </row>
    <row r="27" spans="1:15" ht="15" customHeight="1">
      <c r="A27" s="616"/>
      <c r="B27" s="33"/>
      <c r="C27" s="32"/>
      <c r="D27" s="32"/>
      <c r="E27" s="37"/>
      <c r="F27" s="33"/>
      <c r="G27" s="38"/>
      <c r="H27" s="38">
        <v>0.4</v>
      </c>
      <c r="I27" s="38">
        <v>3594.2296000000001</v>
      </c>
      <c r="J27" s="38"/>
      <c r="K27" s="38"/>
      <c r="L27" s="38">
        <v>1</v>
      </c>
      <c r="M27" s="38"/>
      <c r="N27" s="38"/>
      <c r="O27" s="617">
        <f>H27*I27*L27</f>
        <v>1437.6918400000002</v>
      </c>
    </row>
    <row r="28" spans="1:15" ht="15" customHeight="1">
      <c r="A28" s="492" t="s">
        <v>40</v>
      </c>
      <c r="B28" s="3" t="s">
        <v>41</v>
      </c>
      <c r="C28" s="27" t="s">
        <v>27</v>
      </c>
      <c r="D28" s="43" t="s">
        <v>562</v>
      </c>
      <c r="E28" s="4" t="s">
        <v>28</v>
      </c>
      <c r="F28" s="3"/>
      <c r="G28" s="6"/>
      <c r="H28" s="6"/>
      <c r="I28" s="6"/>
      <c r="J28" s="6"/>
      <c r="K28" s="6"/>
      <c r="L28" s="6"/>
      <c r="M28" s="6"/>
      <c r="N28" s="6"/>
      <c r="O28" s="615">
        <f>O29</f>
        <v>1437.6918400000002</v>
      </c>
    </row>
    <row r="29" spans="1:15" ht="15" customHeight="1">
      <c r="A29" s="616"/>
      <c r="B29" s="33"/>
      <c r="C29" s="32"/>
      <c r="D29" s="32"/>
      <c r="E29" s="37"/>
      <c r="F29" s="33"/>
      <c r="G29" s="38"/>
      <c r="H29" s="38"/>
      <c r="I29" s="38"/>
      <c r="J29" s="38">
        <f>O27</f>
        <v>1437.6918400000002</v>
      </c>
      <c r="K29" s="38"/>
      <c r="L29" s="38"/>
      <c r="M29" s="38"/>
      <c r="N29" s="38"/>
      <c r="O29" s="617">
        <f>J29</f>
        <v>1437.6918400000002</v>
      </c>
    </row>
    <row r="30" spans="1:15" ht="30" customHeight="1">
      <c r="A30" s="492" t="s">
        <v>396</v>
      </c>
      <c r="B30" s="3" t="s">
        <v>34</v>
      </c>
      <c r="C30" s="27" t="s">
        <v>24</v>
      </c>
      <c r="D30" s="27" t="s">
        <v>654</v>
      </c>
      <c r="E30" s="4" t="s">
        <v>36</v>
      </c>
      <c r="F30" s="3"/>
      <c r="G30" s="6"/>
      <c r="H30" s="6"/>
      <c r="I30" s="6"/>
      <c r="J30" s="6"/>
      <c r="K30" s="6"/>
      <c r="L30" s="6"/>
      <c r="M30" s="6"/>
      <c r="N30" s="6"/>
      <c r="O30" s="615">
        <f>O31</f>
        <v>53913.44400000001</v>
      </c>
    </row>
    <row r="31" spans="1:15" ht="15" customHeight="1">
      <c r="A31" s="616"/>
      <c r="B31" s="33"/>
      <c r="C31" s="32"/>
      <c r="D31" s="32"/>
      <c r="E31" s="37"/>
      <c r="F31" s="33"/>
      <c r="G31" s="38"/>
      <c r="H31" s="38"/>
      <c r="I31" s="38"/>
      <c r="J31" s="38">
        <f>J29</f>
        <v>1437.6918400000002</v>
      </c>
      <c r="K31" s="38"/>
      <c r="L31" s="38">
        <v>1.25</v>
      </c>
      <c r="M31" s="38"/>
      <c r="N31" s="38">
        <v>30</v>
      </c>
      <c r="O31" s="617">
        <f>J31*L31*N31</f>
        <v>53913.44400000001</v>
      </c>
    </row>
    <row r="32" spans="1:15" ht="15" customHeight="1">
      <c r="A32" s="518" t="s">
        <v>44</v>
      </c>
      <c r="B32" s="25"/>
      <c r="C32" s="25"/>
      <c r="D32" s="25" t="s">
        <v>45</v>
      </c>
      <c r="E32" s="25"/>
      <c r="F32" s="1"/>
      <c r="G32" s="25"/>
      <c r="H32" s="25"/>
      <c r="I32" s="2"/>
      <c r="J32" s="2"/>
      <c r="K32" s="2"/>
      <c r="L32" s="2"/>
      <c r="M32" s="2"/>
      <c r="N32" s="2"/>
      <c r="O32" s="519"/>
    </row>
    <row r="33" spans="1:15" ht="15" customHeight="1">
      <c r="A33" s="518" t="s">
        <v>46</v>
      </c>
      <c r="B33" s="25"/>
      <c r="C33" s="25"/>
      <c r="D33" s="25" t="s">
        <v>47</v>
      </c>
      <c r="E33" s="25"/>
      <c r="F33" s="1"/>
      <c r="G33" s="25"/>
      <c r="H33" s="25"/>
      <c r="I33" s="2"/>
      <c r="J33" s="2"/>
      <c r="K33" s="2"/>
      <c r="L33" s="2"/>
      <c r="M33" s="2"/>
      <c r="N33" s="2"/>
      <c r="O33" s="519"/>
    </row>
    <row r="34" spans="1:15" ht="30" customHeight="1">
      <c r="A34" s="492" t="s">
        <v>48</v>
      </c>
      <c r="B34" s="3" t="s">
        <v>49</v>
      </c>
      <c r="C34" s="27" t="s">
        <v>24</v>
      </c>
      <c r="D34" s="27" t="s">
        <v>50</v>
      </c>
      <c r="E34" s="4" t="s">
        <v>21</v>
      </c>
      <c r="F34" s="3"/>
      <c r="G34" s="6"/>
      <c r="H34" s="6"/>
      <c r="I34" s="6"/>
      <c r="J34" s="6"/>
      <c r="K34" s="6"/>
      <c r="L34" s="6"/>
      <c r="M34" s="6"/>
      <c r="N34" s="6"/>
      <c r="O34" s="615">
        <f>SUM(O35:O35)</f>
        <v>3594.2296000000001</v>
      </c>
    </row>
    <row r="35" spans="1:15" ht="15" customHeight="1">
      <c r="A35" s="616"/>
      <c r="B35" s="33"/>
      <c r="C35" s="32"/>
      <c r="D35" s="33"/>
      <c r="E35" s="37"/>
      <c r="F35" s="33"/>
      <c r="G35" s="38"/>
      <c r="H35" s="38"/>
      <c r="I35" s="38">
        <f>I27</f>
        <v>3594.2296000000001</v>
      </c>
      <c r="J35" s="38"/>
      <c r="K35" s="38"/>
      <c r="L35" s="38"/>
      <c r="M35" s="38"/>
      <c r="N35" s="38"/>
      <c r="O35" s="617">
        <f>I35</f>
        <v>3594.2296000000001</v>
      </c>
    </row>
    <row r="36" spans="1:15" ht="54.6" customHeight="1">
      <c r="A36" s="492" t="s">
        <v>51</v>
      </c>
      <c r="B36" s="3" t="s">
        <v>52</v>
      </c>
      <c r="C36" s="27" t="s">
        <v>24</v>
      </c>
      <c r="D36" s="27" t="s">
        <v>53</v>
      </c>
      <c r="E36" s="4" t="s">
        <v>28</v>
      </c>
      <c r="F36" s="3"/>
      <c r="G36" s="6"/>
      <c r="H36" s="6"/>
      <c r="I36" s="6"/>
      <c r="J36" s="6"/>
      <c r="K36" s="6"/>
      <c r="L36" s="6"/>
      <c r="M36" s="6"/>
      <c r="N36" s="6"/>
      <c r="O36" s="615">
        <f>SUM(O37:O37)</f>
        <v>718.84592000000009</v>
      </c>
    </row>
    <row r="37" spans="1:15" ht="15" customHeight="1">
      <c r="A37" s="616"/>
      <c r="B37" s="33"/>
      <c r="C37" s="32"/>
      <c r="D37" s="33" t="s">
        <v>648</v>
      </c>
      <c r="E37" s="37"/>
      <c r="F37" s="33"/>
      <c r="G37" s="38"/>
      <c r="H37" s="38">
        <v>0.2</v>
      </c>
      <c r="I37" s="38">
        <f>I35</f>
        <v>3594.2296000000001</v>
      </c>
      <c r="J37" s="38"/>
      <c r="K37" s="38"/>
      <c r="L37" s="38"/>
      <c r="M37" s="38"/>
      <c r="N37" s="38"/>
      <c r="O37" s="617">
        <f t="shared" ref="O37" si="0">I37*H37</f>
        <v>718.84592000000009</v>
      </c>
    </row>
    <row r="38" spans="1:15" ht="15" customHeight="1">
      <c r="A38" s="565" t="s">
        <v>368</v>
      </c>
      <c r="B38" s="16" t="s">
        <v>307</v>
      </c>
      <c r="C38" s="28" t="s">
        <v>24</v>
      </c>
      <c r="D38" s="28" t="s">
        <v>308</v>
      </c>
      <c r="E38" s="17" t="s">
        <v>28</v>
      </c>
      <c r="F38" s="16"/>
      <c r="G38" s="19"/>
      <c r="H38" s="19"/>
      <c r="I38" s="19"/>
      <c r="J38" s="19"/>
      <c r="K38" s="19"/>
      <c r="L38" s="19"/>
      <c r="M38" s="19"/>
      <c r="N38" s="19"/>
      <c r="O38" s="618">
        <f>O39</f>
        <v>449.27870000000007</v>
      </c>
    </row>
    <row r="39" spans="1:15" ht="15" customHeight="1">
      <c r="A39" s="616"/>
      <c r="B39" s="33"/>
      <c r="C39" s="32"/>
      <c r="D39" s="32"/>
      <c r="E39" s="37"/>
      <c r="F39" s="33"/>
      <c r="G39" s="38"/>
      <c r="H39" s="38"/>
      <c r="I39" s="38">
        <f>O36*0.5</f>
        <v>359.42296000000005</v>
      </c>
      <c r="J39" s="38"/>
      <c r="K39" s="38"/>
      <c r="L39" s="38">
        <v>1.25</v>
      </c>
      <c r="M39" s="38"/>
      <c r="N39" s="38"/>
      <c r="O39" s="617">
        <f>I39*L39</f>
        <v>449.27870000000007</v>
      </c>
    </row>
    <row r="40" spans="1:15" ht="15" customHeight="1">
      <c r="A40" s="492" t="s">
        <v>309</v>
      </c>
      <c r="B40" s="3" t="s">
        <v>54</v>
      </c>
      <c r="C40" s="27" t="s">
        <v>24</v>
      </c>
      <c r="D40" s="27" t="s">
        <v>55</v>
      </c>
      <c r="E40" s="4" t="s">
        <v>28</v>
      </c>
      <c r="F40" s="3"/>
      <c r="G40" s="6"/>
      <c r="H40" s="6"/>
      <c r="I40" s="6"/>
      <c r="J40" s="6"/>
      <c r="K40" s="6"/>
      <c r="L40" s="6"/>
      <c r="M40" s="6"/>
      <c r="N40" s="6"/>
      <c r="O40" s="615">
        <f>SUM(O41:O41)</f>
        <v>718.84592000000009</v>
      </c>
    </row>
    <row r="41" spans="1:15" ht="15" customHeight="1">
      <c r="A41" s="616"/>
      <c r="B41" s="33"/>
      <c r="C41" s="32"/>
      <c r="D41" s="33" t="s">
        <v>648</v>
      </c>
      <c r="E41" s="37"/>
      <c r="F41" s="33"/>
      <c r="G41" s="38"/>
      <c r="H41" s="38">
        <v>0.2</v>
      </c>
      <c r="I41" s="38">
        <f>I35</f>
        <v>3594.2296000000001</v>
      </c>
      <c r="J41" s="38"/>
      <c r="K41" s="38"/>
      <c r="L41" s="38"/>
      <c r="M41" s="38"/>
      <c r="N41" s="38"/>
      <c r="O41" s="617">
        <f>I41*H41</f>
        <v>718.84592000000009</v>
      </c>
    </row>
    <row r="42" spans="1:15" ht="15" customHeight="1">
      <c r="A42" s="492" t="s">
        <v>326</v>
      </c>
      <c r="B42" s="3" t="s">
        <v>42</v>
      </c>
      <c r="C42" s="27" t="s">
        <v>24</v>
      </c>
      <c r="D42" s="27" t="s">
        <v>659</v>
      </c>
      <c r="E42" s="4" t="s">
        <v>28</v>
      </c>
      <c r="F42" s="3"/>
      <c r="G42" s="6"/>
      <c r="H42" s="6"/>
      <c r="I42" s="6"/>
      <c r="J42" s="6"/>
      <c r="K42" s="6"/>
      <c r="L42" s="6"/>
      <c r="M42" s="6"/>
      <c r="N42" s="6"/>
      <c r="O42" s="636">
        <f>SUM(O43:O44)</f>
        <v>1797.1148000000003</v>
      </c>
    </row>
    <row r="43" spans="1:15" ht="15" customHeight="1">
      <c r="A43" s="616"/>
      <c r="B43" s="33"/>
      <c r="C43" s="32"/>
      <c r="D43" s="33" t="s">
        <v>432</v>
      </c>
      <c r="E43" s="37"/>
      <c r="F43" s="33"/>
      <c r="G43" s="38"/>
      <c r="H43" s="38"/>
      <c r="I43" s="38"/>
      <c r="J43" s="38">
        <f>O38</f>
        <v>449.27870000000007</v>
      </c>
      <c r="K43" s="38"/>
      <c r="L43" s="38"/>
      <c r="M43" s="38"/>
      <c r="N43" s="38"/>
      <c r="O43" s="617">
        <f>J43</f>
        <v>449.27870000000007</v>
      </c>
    </row>
    <row r="44" spans="1:15" ht="15" customHeight="1">
      <c r="A44" s="616"/>
      <c r="B44" s="33"/>
      <c r="C44" s="32"/>
      <c r="D44" s="33" t="s">
        <v>433</v>
      </c>
      <c r="E44" s="37"/>
      <c r="F44" s="33"/>
      <c r="G44" s="38"/>
      <c r="H44" s="38"/>
      <c r="I44" s="38"/>
      <c r="J44" s="38">
        <f>((O36/2)*1.25)+(O40*1.25)</f>
        <v>1347.8361000000002</v>
      </c>
      <c r="K44" s="38"/>
      <c r="L44" s="38"/>
      <c r="M44" s="38"/>
      <c r="N44" s="38"/>
      <c r="O44" s="617">
        <f>J44</f>
        <v>1347.8361000000002</v>
      </c>
    </row>
    <row r="45" spans="1:15" ht="30" customHeight="1">
      <c r="A45" s="492" t="s">
        <v>327</v>
      </c>
      <c r="B45" s="3" t="s">
        <v>56</v>
      </c>
      <c r="C45" s="27" t="s">
        <v>24</v>
      </c>
      <c r="D45" s="27" t="s">
        <v>658</v>
      </c>
      <c r="E45" s="4" t="s">
        <v>36</v>
      </c>
      <c r="F45" s="3"/>
      <c r="G45" s="6"/>
      <c r="H45" s="6"/>
      <c r="I45" s="6"/>
      <c r="J45" s="6"/>
      <c r="K45" s="6"/>
      <c r="L45" s="6"/>
      <c r="M45" s="6"/>
      <c r="N45" s="6"/>
      <c r="O45" s="615">
        <f>O46</f>
        <v>53913.44400000001</v>
      </c>
    </row>
    <row r="46" spans="1:15" ht="15" customHeight="1">
      <c r="A46" s="616"/>
      <c r="B46" s="33"/>
      <c r="C46" s="32"/>
      <c r="D46" s="32"/>
      <c r="E46" s="37"/>
      <c r="F46" s="33"/>
      <c r="G46" s="38"/>
      <c r="H46" s="38"/>
      <c r="I46" s="38"/>
      <c r="J46" s="38">
        <f>O42</f>
        <v>1797.1148000000003</v>
      </c>
      <c r="K46" s="38"/>
      <c r="L46" s="38"/>
      <c r="M46" s="38"/>
      <c r="N46" s="38">
        <v>30</v>
      </c>
      <c r="O46" s="617">
        <f>J46*N46</f>
        <v>53913.44400000001</v>
      </c>
    </row>
    <row r="47" spans="1:15" ht="15" customHeight="1">
      <c r="A47" s="518" t="s">
        <v>58</v>
      </c>
      <c r="B47" s="25"/>
      <c r="C47" s="25"/>
      <c r="D47" s="25" t="s">
        <v>59</v>
      </c>
      <c r="E47" s="25"/>
      <c r="F47" s="1"/>
      <c r="G47" s="25"/>
      <c r="H47" s="25"/>
      <c r="I47" s="2"/>
      <c r="J47" s="2"/>
      <c r="K47" s="2"/>
      <c r="L47" s="2"/>
      <c r="M47" s="2"/>
      <c r="N47" s="2"/>
      <c r="O47" s="519"/>
    </row>
    <row r="48" spans="1:15" ht="42" customHeight="1">
      <c r="A48" s="492" t="s">
        <v>457</v>
      </c>
      <c r="B48" s="3" t="s">
        <v>458</v>
      </c>
      <c r="C48" s="27" t="s">
        <v>24</v>
      </c>
      <c r="D48" s="27" t="s">
        <v>459</v>
      </c>
      <c r="E48" s="4" t="s">
        <v>21</v>
      </c>
      <c r="F48" s="3"/>
      <c r="G48" s="6"/>
      <c r="H48" s="6"/>
      <c r="I48" s="6"/>
      <c r="J48" s="6"/>
      <c r="K48" s="6"/>
      <c r="L48" s="6"/>
      <c r="M48" s="6"/>
      <c r="N48" s="6"/>
      <c r="O48" s="615">
        <f>O49</f>
        <v>2911.8492000000001</v>
      </c>
    </row>
    <row r="49" spans="1:15" ht="15" customHeight="1">
      <c r="A49" s="616"/>
      <c r="B49" s="33"/>
      <c r="C49" s="32"/>
      <c r="D49" s="33" t="s">
        <v>485</v>
      </c>
      <c r="E49" s="37"/>
      <c r="F49" s="33"/>
      <c r="G49" s="38"/>
      <c r="H49" s="38"/>
      <c r="I49" s="38">
        <v>2911.8492000000001</v>
      </c>
      <c r="J49" s="38"/>
      <c r="K49" s="38"/>
      <c r="L49" s="38"/>
      <c r="M49" s="38"/>
      <c r="N49" s="38"/>
      <c r="O49" s="617">
        <f>I49</f>
        <v>2911.8492000000001</v>
      </c>
    </row>
    <row r="50" spans="1:15" ht="15" customHeight="1">
      <c r="A50" s="492" t="s">
        <v>414</v>
      </c>
      <c r="B50" s="3" t="s">
        <v>62</v>
      </c>
      <c r="C50" s="27" t="s">
        <v>27</v>
      </c>
      <c r="D50" s="43" t="s">
        <v>563</v>
      </c>
      <c r="E50" s="4" t="s">
        <v>21</v>
      </c>
      <c r="F50" s="3"/>
      <c r="G50" s="6"/>
      <c r="H50" s="6"/>
      <c r="I50" s="6"/>
      <c r="J50" s="6"/>
      <c r="K50" s="6"/>
      <c r="L50" s="6"/>
      <c r="M50" s="6"/>
      <c r="N50" s="6"/>
      <c r="O50" s="615">
        <f>O51</f>
        <v>3594.2296000000001</v>
      </c>
    </row>
    <row r="51" spans="1:15" ht="15" customHeight="1">
      <c r="A51" s="616"/>
      <c r="B51" s="33"/>
      <c r="C51" s="32"/>
      <c r="D51" s="33" t="s">
        <v>649</v>
      </c>
      <c r="E51" s="37"/>
      <c r="F51" s="76"/>
      <c r="G51" s="38"/>
      <c r="H51" s="38"/>
      <c r="I51" s="38">
        <f>I27</f>
        <v>3594.2296000000001</v>
      </c>
      <c r="J51" s="38"/>
      <c r="K51" s="38"/>
      <c r="L51" s="38"/>
      <c r="M51" s="38"/>
      <c r="N51" s="38"/>
      <c r="O51" s="617">
        <f>I51</f>
        <v>3594.2296000000001</v>
      </c>
    </row>
    <row r="52" spans="1:15" ht="15" customHeight="1">
      <c r="A52" s="492" t="s">
        <v>415</v>
      </c>
      <c r="B52" s="3" t="s">
        <v>63</v>
      </c>
      <c r="C52" s="27" t="s">
        <v>27</v>
      </c>
      <c r="D52" s="43" t="s">
        <v>564</v>
      </c>
      <c r="E52" s="4" t="s">
        <v>21</v>
      </c>
      <c r="F52" s="75"/>
      <c r="G52" s="6"/>
      <c r="H52" s="6"/>
      <c r="I52" s="6"/>
      <c r="J52" s="6"/>
      <c r="K52" s="6"/>
      <c r="L52" s="6"/>
      <c r="M52" s="6"/>
      <c r="N52" s="6"/>
      <c r="O52" s="615">
        <f>O53</f>
        <v>3594.2296000000001</v>
      </c>
    </row>
    <row r="53" spans="1:15" ht="15" customHeight="1">
      <c r="A53" s="616"/>
      <c r="B53" s="33"/>
      <c r="C53" s="32"/>
      <c r="D53" s="33" t="s">
        <v>649</v>
      </c>
      <c r="E53" s="37"/>
      <c r="F53" s="76"/>
      <c r="G53" s="38"/>
      <c r="H53" s="38"/>
      <c r="I53" s="38">
        <f>I51</f>
        <v>3594.2296000000001</v>
      </c>
      <c r="J53" s="38"/>
      <c r="K53" s="38"/>
      <c r="L53" s="38"/>
      <c r="M53" s="38"/>
      <c r="N53" s="38"/>
      <c r="O53" s="617">
        <f>I53</f>
        <v>3594.2296000000001</v>
      </c>
    </row>
    <row r="54" spans="1:15" ht="15" customHeight="1">
      <c r="A54" s="492" t="s">
        <v>416</v>
      </c>
      <c r="B54" s="3" t="s">
        <v>60</v>
      </c>
      <c r="C54" s="27" t="s">
        <v>27</v>
      </c>
      <c r="D54" s="43" t="s">
        <v>565</v>
      </c>
      <c r="E54" s="4" t="s">
        <v>61</v>
      </c>
      <c r="F54" s="75"/>
      <c r="G54" s="6"/>
      <c r="H54" s="6"/>
      <c r="I54" s="6"/>
      <c r="J54" s="6"/>
      <c r="K54" s="6"/>
      <c r="L54" s="6"/>
      <c r="M54" s="6"/>
      <c r="N54" s="6"/>
      <c r="O54" s="615">
        <f>O55</f>
        <v>431.30755200000004</v>
      </c>
    </row>
    <row r="55" spans="1:15" ht="15" customHeight="1">
      <c r="A55" s="616"/>
      <c r="B55" s="33"/>
      <c r="C55" s="32"/>
      <c r="D55" s="33" t="s">
        <v>649</v>
      </c>
      <c r="E55" s="37"/>
      <c r="F55" s="76"/>
      <c r="G55" s="38"/>
      <c r="H55" s="38">
        <v>0.05</v>
      </c>
      <c r="I55" s="38">
        <f>I53</f>
        <v>3594.2296000000001</v>
      </c>
      <c r="J55" s="38"/>
      <c r="K55" s="38"/>
      <c r="L55" s="38">
        <v>2.4</v>
      </c>
      <c r="M55" s="38"/>
      <c r="N55" s="38"/>
      <c r="O55" s="617">
        <f>H55*I55*L55</f>
        <v>431.30755200000004</v>
      </c>
    </row>
    <row r="56" spans="1:15" ht="42" customHeight="1">
      <c r="A56" s="492" t="s">
        <v>417</v>
      </c>
      <c r="B56" s="3" t="s">
        <v>56</v>
      </c>
      <c r="C56" s="27" t="s">
        <v>24</v>
      </c>
      <c r="D56" s="27" t="s">
        <v>668</v>
      </c>
      <c r="E56" s="4" t="s">
        <v>36</v>
      </c>
      <c r="F56" s="75"/>
      <c r="G56" s="6"/>
      <c r="H56" s="6"/>
      <c r="I56" s="6"/>
      <c r="J56" s="6"/>
      <c r="K56" s="6"/>
      <c r="L56" s="6"/>
      <c r="M56" s="6"/>
      <c r="N56" s="6"/>
      <c r="O56" s="615">
        <f>O57</f>
        <v>5391.3444000000009</v>
      </c>
    </row>
    <row r="57" spans="1:15" ht="15" customHeight="1">
      <c r="A57" s="616"/>
      <c r="B57" s="33"/>
      <c r="C57" s="32"/>
      <c r="D57" s="33" t="s">
        <v>649</v>
      </c>
      <c r="E57" s="37"/>
      <c r="F57" s="76"/>
      <c r="G57" s="38"/>
      <c r="H57" s="38">
        <f>H55</f>
        <v>0.05</v>
      </c>
      <c r="I57" s="38">
        <f>I55</f>
        <v>3594.2296000000001</v>
      </c>
      <c r="J57" s="38"/>
      <c r="K57" s="38"/>
      <c r="L57" s="38"/>
      <c r="M57" s="38"/>
      <c r="N57" s="38">
        <v>30</v>
      </c>
      <c r="O57" s="617">
        <f>H57*I57*N57</f>
        <v>5391.3444000000009</v>
      </c>
    </row>
    <row r="58" spans="1:15" ht="55.15" customHeight="1">
      <c r="A58" s="492" t="s">
        <v>460</v>
      </c>
      <c r="B58" s="3" t="s">
        <v>42</v>
      </c>
      <c r="C58" s="27" t="s">
        <v>24</v>
      </c>
      <c r="D58" s="27" t="s">
        <v>43</v>
      </c>
      <c r="E58" s="4" t="s">
        <v>28</v>
      </c>
      <c r="F58" s="3"/>
      <c r="G58" s="6"/>
      <c r="H58" s="6"/>
      <c r="I58" s="6"/>
      <c r="J58" s="6"/>
      <c r="K58" s="6"/>
      <c r="L58" s="6"/>
      <c r="M58" s="6"/>
      <c r="N58" s="6"/>
      <c r="O58" s="615">
        <f>SUM(O59:O60)</f>
        <v>193.92915672000001</v>
      </c>
    </row>
    <row r="59" spans="1:15" ht="15" customHeight="1">
      <c r="A59" s="616"/>
      <c r="B59" s="33"/>
      <c r="C59" s="32"/>
      <c r="D59" s="33" t="s">
        <v>321</v>
      </c>
      <c r="E59" s="37"/>
      <c r="F59" s="33"/>
      <c r="G59" s="38"/>
      <c r="H59" s="38"/>
      <c r="I59" s="38">
        <f>I49</f>
        <v>2911.8492000000001</v>
      </c>
      <c r="J59" s="38"/>
      <c r="K59" s="38"/>
      <c r="L59" s="38"/>
      <c r="M59" s="68">
        <v>5.6800000000000003E-2</v>
      </c>
      <c r="N59" s="38"/>
      <c r="O59" s="617">
        <f>I59*M59</f>
        <v>165.39303456000002</v>
      </c>
    </row>
    <row r="60" spans="1:15" ht="15.6" customHeight="1">
      <c r="A60" s="616"/>
      <c r="B60" s="33"/>
      <c r="C60" s="32"/>
      <c r="D60" s="33" t="s">
        <v>322</v>
      </c>
      <c r="E60" s="37"/>
      <c r="F60" s="33"/>
      <c r="G60" s="38"/>
      <c r="H60" s="38"/>
      <c r="I60" s="38">
        <f>I59</f>
        <v>2911.8492000000001</v>
      </c>
      <c r="J60" s="38"/>
      <c r="K60" s="38"/>
      <c r="L60" s="38"/>
      <c r="M60" s="68">
        <v>9.7999999999999997E-3</v>
      </c>
      <c r="N60" s="38"/>
      <c r="O60" s="617">
        <f>I60*M60</f>
        <v>28.536122160000001</v>
      </c>
    </row>
    <row r="61" spans="1:15" ht="30" customHeight="1">
      <c r="A61" s="492" t="s">
        <v>461</v>
      </c>
      <c r="B61" s="3" t="s">
        <v>56</v>
      </c>
      <c r="C61" s="27" t="s">
        <v>24</v>
      </c>
      <c r="D61" s="27" t="s">
        <v>57</v>
      </c>
      <c r="E61" s="4" t="s">
        <v>36</v>
      </c>
      <c r="F61" s="3"/>
      <c r="G61" s="6"/>
      <c r="H61" s="6"/>
      <c r="I61" s="6"/>
      <c r="J61" s="6"/>
      <c r="K61" s="6"/>
      <c r="L61" s="6"/>
      <c r="M61" s="6"/>
      <c r="N61" s="6"/>
      <c r="O61" s="615">
        <f>O62</f>
        <v>5817.8747016000007</v>
      </c>
    </row>
    <row r="62" spans="1:15" ht="15.6" customHeight="1">
      <c r="A62" s="616"/>
      <c r="B62" s="33"/>
      <c r="C62" s="32"/>
      <c r="D62" s="32"/>
      <c r="E62" s="37"/>
      <c r="F62" s="33"/>
      <c r="G62" s="38"/>
      <c r="H62" s="38"/>
      <c r="I62" s="38"/>
      <c r="J62" s="38">
        <f>O58</f>
        <v>193.92915672000001</v>
      </c>
      <c r="K62" s="38"/>
      <c r="L62" s="38"/>
      <c r="M62" s="38"/>
      <c r="N62" s="38">
        <v>30</v>
      </c>
      <c r="O62" s="617">
        <f>J62*N62</f>
        <v>5817.8747016000007</v>
      </c>
    </row>
    <row r="63" spans="1:15" ht="30" customHeight="1">
      <c r="A63" s="492" t="s">
        <v>462</v>
      </c>
      <c r="B63" s="3" t="s">
        <v>64</v>
      </c>
      <c r="C63" s="27" t="s">
        <v>24</v>
      </c>
      <c r="D63" s="27" t="s">
        <v>65</v>
      </c>
      <c r="E63" s="4" t="s">
        <v>66</v>
      </c>
      <c r="F63" s="3"/>
      <c r="G63" s="6"/>
      <c r="H63" s="6"/>
      <c r="I63" s="6"/>
      <c r="J63" s="6"/>
      <c r="K63" s="6"/>
      <c r="L63" s="6"/>
      <c r="M63" s="6"/>
      <c r="N63" s="6"/>
      <c r="O63" s="615">
        <f>O64</f>
        <v>1023.1477748544002</v>
      </c>
    </row>
    <row r="64" spans="1:15">
      <c r="A64" s="616"/>
      <c r="B64" s="33"/>
      <c r="C64" s="32"/>
      <c r="D64" s="32"/>
      <c r="E64" s="37"/>
      <c r="F64" s="33"/>
      <c r="G64" s="38"/>
      <c r="H64" s="38"/>
      <c r="I64" s="38"/>
      <c r="J64" s="38"/>
      <c r="K64" s="38">
        <f>O70+O72+O74</f>
        <v>34.104925828480006</v>
      </c>
      <c r="L64" s="38"/>
      <c r="M64" s="38"/>
      <c r="N64" s="38">
        <v>30</v>
      </c>
      <c r="O64" s="617">
        <f>K64*N64</f>
        <v>1023.1477748544002</v>
      </c>
    </row>
    <row r="65" spans="1:15" ht="42" customHeight="1">
      <c r="A65" s="492" t="s">
        <v>463</v>
      </c>
      <c r="B65" s="3" t="s">
        <v>67</v>
      </c>
      <c r="C65" s="27" t="s">
        <v>24</v>
      </c>
      <c r="D65" s="27" t="s">
        <v>68</v>
      </c>
      <c r="E65" s="4" t="s">
        <v>66</v>
      </c>
      <c r="F65" s="3"/>
      <c r="G65" s="6"/>
      <c r="H65" s="6"/>
      <c r="I65" s="6"/>
      <c r="J65" s="6"/>
      <c r="K65" s="6"/>
      <c r="L65" s="6"/>
      <c r="M65" s="6"/>
      <c r="N65" s="6"/>
      <c r="O65" s="615">
        <f>O66</f>
        <v>16029.315139385602</v>
      </c>
    </row>
    <row r="66" spans="1:15" ht="15" customHeight="1">
      <c r="A66" s="616"/>
      <c r="B66" s="33"/>
      <c r="C66" s="32"/>
      <c r="D66" s="32"/>
      <c r="E66" s="37"/>
      <c r="F66" s="33"/>
      <c r="G66" s="38"/>
      <c r="H66" s="38"/>
      <c r="I66" s="38"/>
      <c r="J66" s="38"/>
      <c r="K66" s="38">
        <f>K64</f>
        <v>34.104925828480006</v>
      </c>
      <c r="L66" s="38"/>
      <c r="M66" s="38"/>
      <c r="N66" s="38">
        <f>500-N64</f>
        <v>470</v>
      </c>
      <c r="O66" s="617">
        <f>K66*N66</f>
        <v>16029.315139385602</v>
      </c>
    </row>
    <row r="67" spans="1:15" ht="13.15" customHeight="1">
      <c r="A67" s="492" t="s">
        <v>464</v>
      </c>
      <c r="B67" s="3" t="s">
        <v>69</v>
      </c>
      <c r="C67" s="27" t="s">
        <v>19</v>
      </c>
      <c r="D67" s="27" t="s">
        <v>70</v>
      </c>
      <c r="E67" s="4" t="s">
        <v>21</v>
      </c>
      <c r="F67" s="3"/>
      <c r="G67" s="6"/>
      <c r="H67" s="6"/>
      <c r="I67" s="6"/>
      <c r="J67" s="6"/>
      <c r="K67" s="6"/>
      <c r="L67" s="6"/>
      <c r="M67" s="6"/>
      <c r="N67" s="6"/>
      <c r="O67" s="615">
        <f>O68</f>
        <v>3594.2296000000001</v>
      </c>
    </row>
    <row r="68" spans="1:15" ht="15" customHeight="1">
      <c r="A68" s="616"/>
      <c r="B68" s="33"/>
      <c r="C68" s="32"/>
      <c r="D68" s="32"/>
      <c r="E68" s="37"/>
      <c r="F68" s="33"/>
      <c r="G68" s="38"/>
      <c r="H68" s="38"/>
      <c r="I68" s="38">
        <f>O53</f>
        <v>3594.2296000000001</v>
      </c>
      <c r="J68" s="38"/>
      <c r="K68" s="38"/>
      <c r="L68" s="38"/>
      <c r="M68" s="38"/>
      <c r="N68" s="38"/>
      <c r="O68" s="617">
        <f>I68</f>
        <v>3594.2296000000001</v>
      </c>
    </row>
    <row r="69" spans="1:15" ht="15.6" customHeight="1">
      <c r="A69" s="492" t="s">
        <v>420</v>
      </c>
      <c r="B69" s="3" t="s">
        <v>303</v>
      </c>
      <c r="C69" s="3" t="s">
        <v>303</v>
      </c>
      <c r="D69" s="27" t="s">
        <v>304</v>
      </c>
      <c r="E69" s="4" t="s">
        <v>306</v>
      </c>
      <c r="F69" s="3"/>
      <c r="G69" s="6"/>
      <c r="H69" s="6"/>
      <c r="I69" s="6"/>
      <c r="J69" s="6"/>
      <c r="K69" s="6"/>
      <c r="L69" s="6"/>
      <c r="M69" s="6"/>
      <c r="N69" s="6"/>
      <c r="O69" s="615">
        <f>O70</f>
        <v>1.61740332</v>
      </c>
    </row>
    <row r="70" spans="1:15" ht="15.6" customHeight="1">
      <c r="A70" s="616"/>
      <c r="B70" s="33"/>
      <c r="C70" s="33"/>
      <c r="D70" s="32"/>
      <c r="E70" s="37"/>
      <c r="F70" s="33"/>
      <c r="G70" s="38"/>
      <c r="H70" s="38"/>
      <c r="I70" s="38">
        <f>O53</f>
        <v>3594.2296000000001</v>
      </c>
      <c r="J70" s="38"/>
      <c r="K70" s="38"/>
      <c r="L70" s="67">
        <v>4.4999999999999999E-4</v>
      </c>
      <c r="M70" s="38"/>
      <c r="N70" s="38"/>
      <c r="O70" s="617">
        <f>I70*L70</f>
        <v>1.61740332</v>
      </c>
    </row>
    <row r="71" spans="1:15" ht="15.6" customHeight="1">
      <c r="A71" s="492" t="s">
        <v>421</v>
      </c>
      <c r="B71" s="3" t="s">
        <v>303</v>
      </c>
      <c r="C71" s="3" t="s">
        <v>303</v>
      </c>
      <c r="D71" s="27" t="s">
        <v>305</v>
      </c>
      <c r="E71" s="4" t="s">
        <v>306</v>
      </c>
      <c r="F71" s="3"/>
      <c r="G71" s="6"/>
      <c r="H71" s="6"/>
      <c r="I71" s="6"/>
      <c r="J71" s="6"/>
      <c r="K71" s="6"/>
      <c r="L71" s="6"/>
      <c r="M71" s="6"/>
      <c r="N71" s="6"/>
      <c r="O71" s="615">
        <f>O72</f>
        <v>4.6724984799999998</v>
      </c>
    </row>
    <row r="72" spans="1:15" ht="15" customHeight="1">
      <c r="A72" s="616"/>
      <c r="B72" s="33"/>
      <c r="C72" s="33"/>
      <c r="D72" s="32"/>
      <c r="E72" s="37"/>
      <c r="F72" s="33"/>
      <c r="G72" s="38"/>
      <c r="H72" s="38"/>
      <c r="I72" s="38">
        <f>O51</f>
        <v>3594.2296000000001</v>
      </c>
      <c r="J72" s="38"/>
      <c r="K72" s="38"/>
      <c r="L72" s="68">
        <v>1.2999999999999999E-3</v>
      </c>
      <c r="M72" s="38"/>
      <c r="N72" s="38"/>
      <c r="O72" s="617">
        <f>I72*L72</f>
        <v>4.6724984799999998</v>
      </c>
    </row>
    <row r="73" spans="1:15" ht="15" customHeight="1">
      <c r="A73" s="492" t="s">
        <v>465</v>
      </c>
      <c r="B73" s="3" t="s">
        <v>303</v>
      </c>
      <c r="C73" s="3" t="s">
        <v>303</v>
      </c>
      <c r="D73" s="27" t="s">
        <v>310</v>
      </c>
      <c r="E73" s="4" t="s">
        <v>306</v>
      </c>
      <c r="F73" s="3"/>
      <c r="G73" s="6"/>
      <c r="H73" s="6"/>
      <c r="I73" s="6"/>
      <c r="J73" s="6"/>
      <c r="K73" s="6"/>
      <c r="L73" s="6"/>
      <c r="M73" s="6"/>
      <c r="N73" s="6"/>
      <c r="O73" s="615">
        <f>O74</f>
        <v>27.815024028480007</v>
      </c>
    </row>
    <row r="74" spans="1:15" ht="15.6" customHeight="1">
      <c r="A74" s="616"/>
      <c r="B74" s="33"/>
      <c r="C74" s="33"/>
      <c r="D74" s="32"/>
      <c r="E74" s="37"/>
      <c r="F74" s="33"/>
      <c r="G74" s="38"/>
      <c r="H74" s="38"/>
      <c r="I74" s="38">
        <f>O55</f>
        <v>431.30755200000004</v>
      </c>
      <c r="J74" s="38"/>
      <c r="K74" s="38"/>
      <c r="L74" s="68">
        <v>6.4490000000000006E-2</v>
      </c>
      <c r="M74" s="38"/>
      <c r="N74" s="38"/>
      <c r="O74" s="617">
        <f>I74*L74</f>
        <v>27.815024028480007</v>
      </c>
    </row>
    <row r="75" spans="1:15" ht="15.6" customHeight="1">
      <c r="A75" s="518" t="s">
        <v>71</v>
      </c>
      <c r="B75" s="25"/>
      <c r="C75" s="25"/>
      <c r="D75" s="25" t="s">
        <v>72</v>
      </c>
      <c r="E75" s="25"/>
      <c r="F75" s="1"/>
      <c r="G75" s="25"/>
      <c r="H75" s="25"/>
      <c r="I75" s="2"/>
      <c r="J75" s="2"/>
      <c r="K75" s="2"/>
      <c r="L75" s="2"/>
      <c r="M75" s="2"/>
      <c r="N75" s="2"/>
      <c r="O75" s="519"/>
    </row>
    <row r="76" spans="1:15" ht="41.45" customHeight="1">
      <c r="A76" s="492" t="s">
        <v>73</v>
      </c>
      <c r="B76" s="3" t="s">
        <v>74</v>
      </c>
      <c r="C76" s="27" t="s">
        <v>24</v>
      </c>
      <c r="D76" s="27" t="s">
        <v>75</v>
      </c>
      <c r="E76" s="4" t="s">
        <v>76</v>
      </c>
      <c r="F76" s="3"/>
      <c r="G76" s="6"/>
      <c r="H76" s="6"/>
      <c r="I76" s="6"/>
      <c r="J76" s="6"/>
      <c r="K76" s="6"/>
      <c r="L76" s="6"/>
      <c r="M76" s="6"/>
      <c r="N76" s="6"/>
      <c r="O76" s="615">
        <f>SUM(O77:O80)</f>
        <v>3595.0539999999996</v>
      </c>
    </row>
    <row r="77" spans="1:15" ht="15" customHeight="1">
      <c r="A77" s="616"/>
      <c r="B77" s="33"/>
      <c r="C77" s="32"/>
      <c r="D77" s="33" t="s">
        <v>81</v>
      </c>
      <c r="E77" s="37"/>
      <c r="F77" s="38">
        <v>2097.3964000000001</v>
      </c>
      <c r="G77" s="38"/>
      <c r="H77" s="38"/>
      <c r="I77" s="38"/>
      <c r="J77" s="38"/>
      <c r="K77" s="38"/>
      <c r="L77" s="38"/>
      <c r="M77" s="38"/>
      <c r="N77" s="38"/>
      <c r="O77" s="637">
        <f>F77</f>
        <v>2097.3964000000001</v>
      </c>
    </row>
    <row r="78" spans="1:15" ht="15" customHeight="1">
      <c r="A78" s="616"/>
      <c r="B78" s="33"/>
      <c r="C78" s="32"/>
      <c r="D78" s="33" t="s">
        <v>486</v>
      </c>
      <c r="E78" s="37"/>
      <c r="F78" s="38">
        <v>1372.0075999999999</v>
      </c>
      <c r="G78" s="38"/>
      <c r="H78" s="38"/>
      <c r="I78" s="38"/>
      <c r="J78" s="38"/>
      <c r="K78" s="38"/>
      <c r="L78" s="38"/>
      <c r="M78" s="38"/>
      <c r="N78" s="38"/>
      <c r="O78" s="617">
        <f>F78</f>
        <v>1372.0075999999999</v>
      </c>
    </row>
    <row r="79" spans="1:15" ht="15" customHeight="1">
      <c r="A79" s="616"/>
      <c r="B79" s="33"/>
      <c r="C79" s="32"/>
      <c r="D79" s="33" t="s">
        <v>320</v>
      </c>
      <c r="E79" s="37"/>
      <c r="F79" s="38">
        <v>37.700000000000003</v>
      </c>
      <c r="G79" s="38"/>
      <c r="H79" s="38"/>
      <c r="I79" s="38"/>
      <c r="J79" s="38"/>
      <c r="K79" s="38"/>
      <c r="L79" s="38"/>
      <c r="M79" s="38"/>
      <c r="N79" s="38"/>
      <c r="O79" s="617">
        <f t="shared" ref="O79:O80" si="1">F79</f>
        <v>37.700000000000003</v>
      </c>
    </row>
    <row r="80" spans="1:15" ht="15.6" customHeight="1">
      <c r="A80" s="616"/>
      <c r="B80" s="33"/>
      <c r="C80" s="32"/>
      <c r="D80" s="33" t="s">
        <v>311</v>
      </c>
      <c r="E80" s="37"/>
      <c r="F80" s="38">
        <v>87.95</v>
      </c>
      <c r="G80" s="38"/>
      <c r="H80" s="38"/>
      <c r="I80" s="38"/>
      <c r="J80" s="38"/>
      <c r="K80" s="38"/>
      <c r="L80" s="38"/>
      <c r="M80" s="38"/>
      <c r="N80" s="38"/>
      <c r="O80" s="617">
        <f t="shared" si="1"/>
        <v>87.95</v>
      </c>
    </row>
    <row r="81" spans="1:15" ht="15" customHeight="1">
      <c r="A81" s="492" t="s">
        <v>77</v>
      </c>
      <c r="B81" s="3" t="s">
        <v>78</v>
      </c>
      <c r="C81" s="27" t="s">
        <v>24</v>
      </c>
      <c r="D81" s="27" t="s">
        <v>79</v>
      </c>
      <c r="E81" s="4" t="s">
        <v>76</v>
      </c>
      <c r="F81" s="6"/>
      <c r="G81" s="6"/>
      <c r="H81" s="6"/>
      <c r="I81" s="6"/>
      <c r="J81" s="6"/>
      <c r="K81" s="6"/>
      <c r="L81" s="6"/>
      <c r="M81" s="6"/>
      <c r="N81" s="6"/>
      <c r="O81" s="615">
        <f>SUM(O82:O85)</f>
        <v>3595.0539999999996</v>
      </c>
    </row>
    <row r="82" spans="1:15" ht="15.6" customHeight="1">
      <c r="A82" s="616"/>
      <c r="B82" s="33"/>
      <c r="C82" s="32"/>
      <c r="D82" s="33" t="s">
        <v>81</v>
      </c>
      <c r="E82" s="37"/>
      <c r="F82" s="38">
        <v>2097.3964000000001</v>
      </c>
      <c r="G82" s="38"/>
      <c r="H82" s="38"/>
      <c r="I82" s="38"/>
      <c r="J82" s="38"/>
      <c r="K82" s="38"/>
      <c r="L82" s="38"/>
      <c r="M82" s="38"/>
      <c r="N82" s="38"/>
      <c r="O82" s="637">
        <f>F82</f>
        <v>2097.3964000000001</v>
      </c>
    </row>
    <row r="83" spans="1:15" ht="15" customHeight="1">
      <c r="A83" s="616"/>
      <c r="B83" s="33"/>
      <c r="C83" s="32"/>
      <c r="D83" s="33" t="s">
        <v>486</v>
      </c>
      <c r="E83" s="37"/>
      <c r="F83" s="38">
        <v>1372.0075999999999</v>
      </c>
      <c r="G83" s="38"/>
      <c r="H83" s="38"/>
      <c r="I83" s="38"/>
      <c r="J83" s="38"/>
      <c r="K83" s="38"/>
      <c r="L83" s="38"/>
      <c r="M83" s="38"/>
      <c r="N83" s="38"/>
      <c r="O83" s="617">
        <f>F83</f>
        <v>1372.0075999999999</v>
      </c>
    </row>
    <row r="84" spans="1:15" ht="15.6" customHeight="1">
      <c r="A84" s="616"/>
      <c r="B84" s="33"/>
      <c r="C84" s="32"/>
      <c r="D84" s="33" t="s">
        <v>320</v>
      </c>
      <c r="E84" s="37"/>
      <c r="F84" s="38">
        <v>37.700000000000003</v>
      </c>
      <c r="G84" s="38"/>
      <c r="H84" s="38"/>
      <c r="I84" s="38"/>
      <c r="J84" s="38"/>
      <c r="K84" s="38"/>
      <c r="L84" s="38"/>
      <c r="M84" s="38"/>
      <c r="N84" s="38"/>
      <c r="O84" s="617">
        <f t="shared" ref="O84:O85" si="2">F84</f>
        <v>37.700000000000003</v>
      </c>
    </row>
    <row r="85" spans="1:15" ht="15" customHeight="1">
      <c r="A85" s="616"/>
      <c r="B85" s="33"/>
      <c r="C85" s="32"/>
      <c r="D85" s="33" t="s">
        <v>311</v>
      </c>
      <c r="E85" s="37"/>
      <c r="F85" s="38">
        <v>87.95</v>
      </c>
      <c r="G85" s="38"/>
      <c r="H85" s="38"/>
      <c r="I85" s="38"/>
      <c r="J85" s="38"/>
      <c r="K85" s="38"/>
      <c r="L85" s="38"/>
      <c r="M85" s="38"/>
      <c r="N85" s="38"/>
      <c r="O85" s="617">
        <f t="shared" si="2"/>
        <v>87.95</v>
      </c>
    </row>
    <row r="86" spans="1:15" ht="15" customHeight="1">
      <c r="A86" s="518" t="s">
        <v>80</v>
      </c>
      <c r="B86" s="25"/>
      <c r="C86" s="25"/>
      <c r="D86" s="25" t="s">
        <v>81</v>
      </c>
      <c r="E86" s="25"/>
      <c r="F86" s="1"/>
      <c r="G86" s="25"/>
      <c r="H86" s="25"/>
      <c r="I86" s="2"/>
      <c r="J86" s="2"/>
      <c r="K86" s="2"/>
      <c r="L86" s="2"/>
      <c r="M86" s="2"/>
      <c r="N86" s="2"/>
      <c r="O86" s="519"/>
    </row>
    <row r="87" spans="1:15" ht="30" customHeight="1">
      <c r="A87" s="492" t="s">
        <v>529</v>
      </c>
      <c r="B87" s="3" t="s">
        <v>82</v>
      </c>
      <c r="C87" s="27" t="s">
        <v>24</v>
      </c>
      <c r="D87" s="27" t="s">
        <v>83</v>
      </c>
      <c r="E87" s="4" t="s">
        <v>21</v>
      </c>
      <c r="F87" s="3"/>
      <c r="G87" s="6"/>
      <c r="H87" s="6"/>
      <c r="I87" s="6"/>
      <c r="J87" s="6"/>
      <c r="K87" s="6"/>
      <c r="L87" s="6"/>
      <c r="M87" s="6"/>
      <c r="N87" s="6"/>
      <c r="O87" s="615">
        <f>O88</f>
        <v>4559.7273999999998</v>
      </c>
    </row>
    <row r="88" spans="1:15" ht="15.6" customHeight="1">
      <c r="A88" s="616"/>
      <c r="B88" s="33"/>
      <c r="C88" s="32"/>
      <c r="D88" s="33" t="s">
        <v>81</v>
      </c>
      <c r="E88" s="37"/>
      <c r="F88" s="33"/>
      <c r="G88" s="38"/>
      <c r="H88" s="38"/>
      <c r="I88" s="38">
        <v>4559.7273999999998</v>
      </c>
      <c r="J88" s="38"/>
      <c r="K88" s="38"/>
      <c r="L88" s="38"/>
      <c r="M88" s="38"/>
      <c r="N88" s="38"/>
      <c r="O88" s="617">
        <f>I88</f>
        <v>4559.7273999999998</v>
      </c>
    </row>
    <row r="89" spans="1:15" ht="42.6" customHeight="1">
      <c r="A89" s="492" t="s">
        <v>598</v>
      </c>
      <c r="B89" s="3" t="s">
        <v>472</v>
      </c>
      <c r="C89" s="27" t="s">
        <v>30</v>
      </c>
      <c r="D89" s="27" t="s">
        <v>644</v>
      </c>
      <c r="E89" s="4" t="s">
        <v>84</v>
      </c>
      <c r="F89" s="3"/>
      <c r="G89" s="6"/>
      <c r="H89" s="6"/>
      <c r="I89" s="6"/>
      <c r="J89" s="6"/>
      <c r="K89" s="6"/>
      <c r="L89" s="6"/>
      <c r="M89" s="6"/>
      <c r="N89" s="6"/>
      <c r="O89" s="615">
        <f>O90</f>
        <v>43</v>
      </c>
    </row>
    <row r="90" spans="1:15" ht="15" customHeight="1">
      <c r="A90" s="616"/>
      <c r="B90" s="33"/>
      <c r="C90" s="32"/>
      <c r="D90" s="33" t="s">
        <v>81</v>
      </c>
      <c r="E90" s="37"/>
      <c r="F90" s="33"/>
      <c r="G90" s="38"/>
      <c r="H90" s="38"/>
      <c r="I90" s="38"/>
      <c r="J90" s="38"/>
      <c r="K90" s="38"/>
      <c r="L90" s="38"/>
      <c r="M90" s="38">
        <v>43</v>
      </c>
      <c r="N90" s="38"/>
      <c r="O90" s="617">
        <f>M90</f>
        <v>43</v>
      </c>
    </row>
    <row r="91" spans="1:15" ht="15" customHeight="1">
      <c r="A91" s="492" t="s">
        <v>599</v>
      </c>
      <c r="B91" s="3" t="s">
        <v>42</v>
      </c>
      <c r="C91" s="27" t="s">
        <v>24</v>
      </c>
      <c r="D91" s="27" t="s">
        <v>667</v>
      </c>
      <c r="E91" s="4" t="s">
        <v>28</v>
      </c>
      <c r="F91" s="3"/>
      <c r="G91" s="6"/>
      <c r="H91" s="6"/>
      <c r="I91" s="6"/>
      <c r="J91" s="6"/>
      <c r="K91" s="6"/>
      <c r="L91" s="6"/>
      <c r="M91" s="6"/>
      <c r="N91" s="6"/>
      <c r="O91" s="615">
        <f>SUM(O92:O93)</f>
        <v>303.67784483999998</v>
      </c>
    </row>
    <row r="92" spans="1:15" ht="15.6" customHeight="1">
      <c r="A92" s="616"/>
      <c r="B92" s="33"/>
      <c r="C92" s="32"/>
      <c r="D92" s="33" t="s">
        <v>321</v>
      </c>
      <c r="E92" s="37"/>
      <c r="F92" s="33"/>
      <c r="G92" s="38"/>
      <c r="H92" s="38"/>
      <c r="I92" s="38">
        <f>I88</f>
        <v>4559.7273999999998</v>
      </c>
      <c r="J92" s="38"/>
      <c r="K92" s="38"/>
      <c r="L92" s="68">
        <v>5.6800000000000003E-2</v>
      </c>
      <c r="M92" s="38"/>
      <c r="N92" s="38"/>
      <c r="O92" s="617">
        <f>I92*L92</f>
        <v>258.99251631999999</v>
      </c>
    </row>
    <row r="93" spans="1:15" ht="15" customHeight="1">
      <c r="A93" s="616"/>
      <c r="B93" s="33"/>
      <c r="C93" s="32"/>
      <c r="D93" s="33" t="s">
        <v>322</v>
      </c>
      <c r="E93" s="37"/>
      <c r="F93" s="33"/>
      <c r="G93" s="38"/>
      <c r="H93" s="38"/>
      <c r="I93" s="38">
        <f>I92</f>
        <v>4559.7273999999998</v>
      </c>
      <c r="J93" s="38"/>
      <c r="K93" s="38"/>
      <c r="L93" s="68">
        <v>9.7999999999999997E-3</v>
      </c>
      <c r="M93" s="38"/>
      <c r="N93" s="38"/>
      <c r="O93" s="617">
        <f>I93*L93</f>
        <v>44.685328519999999</v>
      </c>
    </row>
    <row r="94" spans="1:15" ht="30" customHeight="1">
      <c r="A94" s="492" t="s">
        <v>600</v>
      </c>
      <c r="B94" s="3" t="s">
        <v>56</v>
      </c>
      <c r="C94" s="27" t="s">
        <v>24</v>
      </c>
      <c r="D94" s="27" t="s">
        <v>57</v>
      </c>
      <c r="E94" s="4" t="s">
        <v>36</v>
      </c>
      <c r="F94" s="3"/>
      <c r="G94" s="6"/>
      <c r="H94" s="6"/>
      <c r="I94" s="6"/>
      <c r="J94" s="6"/>
      <c r="K94" s="6"/>
      <c r="L94" s="6"/>
      <c r="M94" s="6"/>
      <c r="N94" s="6"/>
      <c r="O94" s="615">
        <f>O95</f>
        <v>9110.3353451999992</v>
      </c>
    </row>
    <row r="95" spans="1:15" ht="15" customHeight="1">
      <c r="A95" s="616"/>
      <c r="B95" s="33"/>
      <c r="C95" s="32"/>
      <c r="D95" s="32"/>
      <c r="E95" s="37"/>
      <c r="F95" s="33"/>
      <c r="G95" s="38"/>
      <c r="H95" s="38"/>
      <c r="I95" s="38"/>
      <c r="J95" s="38">
        <f>O91</f>
        <v>303.67784483999998</v>
      </c>
      <c r="K95" s="38"/>
      <c r="L95" s="38"/>
      <c r="M95" s="38"/>
      <c r="N95" s="38">
        <v>30</v>
      </c>
      <c r="O95" s="617">
        <f>J95*N95</f>
        <v>9110.3353451999992</v>
      </c>
    </row>
    <row r="96" spans="1:15" ht="15.6" customHeight="1">
      <c r="A96" s="518">
        <v>6</v>
      </c>
      <c r="B96" s="25"/>
      <c r="C96" s="25"/>
      <c r="D96" s="25" t="s">
        <v>476</v>
      </c>
      <c r="E96" s="25"/>
      <c r="F96" s="1"/>
      <c r="G96" s="25"/>
      <c r="H96" s="25"/>
      <c r="I96" s="2"/>
      <c r="J96" s="2"/>
      <c r="K96" s="2"/>
      <c r="L96" s="2"/>
      <c r="M96" s="2"/>
      <c r="N96" s="2"/>
      <c r="O96" s="519"/>
    </row>
    <row r="97" spans="1:15" ht="30" customHeight="1">
      <c r="A97" s="492" t="s">
        <v>85</v>
      </c>
      <c r="B97" s="3" t="s">
        <v>477</v>
      </c>
      <c r="C97" s="27" t="s">
        <v>24</v>
      </c>
      <c r="D97" s="27" t="s">
        <v>478</v>
      </c>
      <c r="E97" s="4" t="s">
        <v>21</v>
      </c>
      <c r="F97" s="3"/>
      <c r="G97" s="6"/>
      <c r="H97" s="6"/>
      <c r="I97" s="6"/>
      <c r="J97" s="6"/>
      <c r="K97" s="6"/>
      <c r="L97" s="6"/>
      <c r="M97" s="6"/>
      <c r="N97" s="6"/>
      <c r="O97" s="615">
        <f>O98</f>
        <v>81.48</v>
      </c>
    </row>
    <row r="98" spans="1:15" ht="15" customHeight="1">
      <c r="A98" s="616"/>
      <c r="B98" s="33"/>
      <c r="C98" s="32"/>
      <c r="D98" s="33" t="s">
        <v>311</v>
      </c>
      <c r="E98" s="37"/>
      <c r="F98" s="33"/>
      <c r="G98" s="38"/>
      <c r="H98" s="38"/>
      <c r="I98" s="38">
        <v>81.48</v>
      </c>
      <c r="J98" s="38"/>
      <c r="K98" s="38"/>
      <c r="L98" s="38"/>
      <c r="M98" s="38"/>
      <c r="N98" s="38"/>
      <c r="O98" s="617">
        <f>I98</f>
        <v>81.48</v>
      </c>
    </row>
    <row r="99" spans="1:15" ht="30.6" customHeight="1">
      <c r="A99" s="522" t="s">
        <v>479</v>
      </c>
      <c r="B99" s="16" t="s">
        <v>480</v>
      </c>
      <c r="C99" s="28" t="s">
        <v>24</v>
      </c>
      <c r="D99" s="28" t="s">
        <v>481</v>
      </c>
      <c r="E99" s="17" t="s">
        <v>21</v>
      </c>
      <c r="F99" s="16"/>
      <c r="G99" s="19"/>
      <c r="H99" s="19"/>
      <c r="I99" s="19"/>
      <c r="J99" s="19"/>
      <c r="K99" s="19"/>
      <c r="L99" s="19"/>
      <c r="M99" s="19"/>
      <c r="N99" s="19"/>
      <c r="O99" s="618">
        <f>O100</f>
        <v>81.48</v>
      </c>
    </row>
    <row r="100" spans="1:15" ht="15.6" customHeight="1">
      <c r="A100" s="616"/>
      <c r="B100" s="33"/>
      <c r="C100" s="32"/>
      <c r="D100" s="33" t="s">
        <v>311</v>
      </c>
      <c r="E100" s="37"/>
      <c r="F100" s="33"/>
      <c r="G100" s="38"/>
      <c r="H100" s="38"/>
      <c r="I100" s="38">
        <f>I98</f>
        <v>81.48</v>
      </c>
      <c r="J100" s="38"/>
      <c r="K100" s="38"/>
      <c r="L100" s="38"/>
      <c r="M100" s="38"/>
      <c r="N100" s="38"/>
      <c r="O100" s="617">
        <f>I100</f>
        <v>81.48</v>
      </c>
    </row>
    <row r="101" spans="1:15" ht="15.6" customHeight="1">
      <c r="A101" s="518">
        <v>7</v>
      </c>
      <c r="B101" s="25"/>
      <c r="C101" s="25"/>
      <c r="D101" s="25" t="s">
        <v>329</v>
      </c>
      <c r="E101" s="25"/>
      <c r="F101" s="1"/>
      <c r="G101" s="25"/>
      <c r="H101" s="25"/>
      <c r="I101" s="2"/>
      <c r="J101" s="2"/>
      <c r="K101" s="2"/>
      <c r="L101" s="2"/>
      <c r="M101" s="2"/>
      <c r="N101" s="2"/>
      <c r="O101" s="519"/>
    </row>
    <row r="102" spans="1:15" ht="42" customHeight="1">
      <c r="A102" s="492" t="s">
        <v>86</v>
      </c>
      <c r="B102" s="3" t="s">
        <v>330</v>
      </c>
      <c r="C102" s="27" t="s">
        <v>24</v>
      </c>
      <c r="D102" s="27" t="s">
        <v>331</v>
      </c>
      <c r="E102" s="4" t="s">
        <v>76</v>
      </c>
      <c r="F102" s="3"/>
      <c r="G102" s="6"/>
      <c r="H102" s="6"/>
      <c r="I102" s="6"/>
      <c r="J102" s="6"/>
      <c r="K102" s="6"/>
      <c r="L102" s="6"/>
      <c r="M102" s="6"/>
      <c r="N102" s="6"/>
      <c r="O102" s="615">
        <f>O103</f>
        <v>2070</v>
      </c>
    </row>
    <row r="103" spans="1:15">
      <c r="A103" s="616"/>
      <c r="B103" s="33"/>
      <c r="C103" s="32"/>
      <c r="D103" s="33"/>
      <c r="E103" s="37"/>
      <c r="F103" s="38">
        <v>2070</v>
      </c>
      <c r="G103" s="38"/>
      <c r="H103" s="38"/>
      <c r="I103" s="38"/>
      <c r="J103" s="38"/>
      <c r="K103" s="38"/>
      <c r="L103" s="38"/>
      <c r="M103" s="38"/>
      <c r="N103" s="38"/>
      <c r="O103" s="617">
        <f>F103</f>
        <v>2070</v>
      </c>
    </row>
    <row r="104" spans="1:15">
      <c r="A104" s="518">
        <v>8</v>
      </c>
      <c r="B104" s="25"/>
      <c r="C104" s="25"/>
      <c r="D104" s="25" t="s">
        <v>87</v>
      </c>
      <c r="E104" s="25"/>
      <c r="F104" s="1"/>
      <c r="G104" s="25"/>
      <c r="H104" s="25"/>
      <c r="I104" s="2"/>
      <c r="J104" s="2"/>
      <c r="K104" s="2"/>
      <c r="L104" s="2"/>
      <c r="M104" s="2"/>
      <c r="N104" s="2"/>
      <c r="O104" s="519">
        <f>O105</f>
        <v>3.18</v>
      </c>
    </row>
    <row r="105" spans="1:15">
      <c r="A105" s="621" t="s">
        <v>483</v>
      </c>
      <c r="B105" s="622" t="s">
        <v>88</v>
      </c>
      <c r="C105" s="623" t="s">
        <v>19</v>
      </c>
      <c r="D105" s="623" t="s">
        <v>89</v>
      </c>
      <c r="E105" s="624" t="s">
        <v>90</v>
      </c>
      <c r="F105" s="622"/>
      <c r="G105" s="625"/>
      <c r="H105" s="625"/>
      <c r="I105" s="625"/>
      <c r="J105" s="625"/>
      <c r="K105" s="625"/>
      <c r="L105" s="625"/>
      <c r="M105" s="625">
        <v>3.18</v>
      </c>
      <c r="N105" s="625"/>
      <c r="O105" s="638">
        <f>M105</f>
        <v>3.18</v>
      </c>
    </row>
    <row r="106" spans="1:1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</row>
  </sheetData>
  <mergeCells count="10">
    <mergeCell ref="A5:O5"/>
    <mergeCell ref="A3:D3"/>
    <mergeCell ref="E3:O3"/>
    <mergeCell ref="A4:D4"/>
    <mergeCell ref="E4:O4"/>
    <mergeCell ref="A1:C2"/>
    <mergeCell ref="D1:F1"/>
    <mergeCell ref="G1:H1"/>
    <mergeCell ref="I1:O2"/>
    <mergeCell ref="D2:F2"/>
  </mergeCells>
  <conditionalFormatting sqref="D18">
    <cfRule type="duplicateValues" dxfId="30" priority="1"/>
  </conditionalFormatting>
  <pageMargins left="0.511811024" right="0.511811024" top="0.78740157499999996" bottom="0.78740157499999996" header="0.31496062000000002" footer="0.31496062000000002"/>
  <ignoredErrors>
    <ignoredError sqref="B12" numberStoredAsText="1"/>
    <ignoredError sqref="O13" formula="1"/>
  </ignoredError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01"/>
  <sheetViews>
    <sheetView topLeftCell="A490" zoomScaleNormal="100" workbookViewId="0">
      <selection activeCell="J470" sqref="J470"/>
    </sheetView>
  </sheetViews>
  <sheetFormatPr defaultRowHeight="14.25"/>
  <cols>
    <col min="1" max="1" width="10" bestFit="1" customWidth="1"/>
    <col min="2" max="2" width="13.875" style="84" customWidth="1"/>
    <col min="3" max="3" width="7.375" bestFit="1" customWidth="1"/>
    <col min="4" max="4" width="60" bestFit="1" customWidth="1"/>
    <col min="5" max="5" width="15" bestFit="1" customWidth="1"/>
    <col min="6" max="7" width="12" bestFit="1" customWidth="1"/>
    <col min="8" max="8" width="14.625" bestFit="1" customWidth="1"/>
    <col min="9" max="9" width="13" bestFit="1" customWidth="1"/>
    <col min="10" max="10" width="14" bestFit="1" customWidth="1"/>
    <col min="11" max="11" width="19" customWidth="1"/>
  </cols>
  <sheetData>
    <row r="1" spans="1:10" ht="15" customHeight="1">
      <c r="A1" s="982"/>
      <c r="B1" s="983"/>
      <c r="C1" s="983"/>
      <c r="D1" s="1113" t="s">
        <v>735</v>
      </c>
      <c r="E1" s="1114"/>
      <c r="F1" s="1115"/>
      <c r="G1" s="1182" t="s">
        <v>1</v>
      </c>
      <c r="H1" s="1010"/>
      <c r="I1" s="1072"/>
      <c r="J1" s="1073"/>
    </row>
    <row r="2" spans="1:10" ht="54.6" customHeight="1">
      <c r="A2" s="983"/>
      <c r="B2" s="983"/>
      <c r="C2" s="983"/>
      <c r="D2" s="984" t="s">
        <v>631</v>
      </c>
      <c r="E2" s="985"/>
      <c r="F2" s="986"/>
      <c r="G2" s="485">
        <v>0.2097</v>
      </c>
      <c r="H2" s="485">
        <v>0.14019999999999999</v>
      </c>
      <c r="I2" s="1074"/>
      <c r="J2" s="1075"/>
    </row>
    <row r="3" spans="1:10" ht="15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0" ht="30" customHeight="1">
      <c r="A4" s="977" t="s">
        <v>737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0" ht="18">
      <c r="A5" s="1093" t="s">
        <v>91</v>
      </c>
      <c r="B5" s="1094"/>
      <c r="C5" s="1094"/>
      <c r="D5" s="1094"/>
      <c r="E5" s="1094"/>
      <c r="F5" s="1094"/>
      <c r="G5" s="1094"/>
      <c r="H5" s="1094"/>
      <c r="I5" s="1094"/>
      <c r="J5" s="1095"/>
    </row>
    <row r="6" spans="1:10">
      <c r="A6" s="518" t="s">
        <v>16</v>
      </c>
      <c r="B6" s="229"/>
      <c r="C6" s="25"/>
      <c r="D6" s="25" t="s">
        <v>17</v>
      </c>
      <c r="E6" s="25"/>
      <c r="F6" s="1090"/>
      <c r="G6" s="1090"/>
      <c r="H6" s="1"/>
      <c r="I6" s="25"/>
      <c r="J6" s="519">
        <f>J18+J29+J48+J58+J89+J99+J107</f>
        <v>287800.69</v>
      </c>
    </row>
    <row r="7" spans="1:10" ht="15">
      <c r="A7" s="490" t="s">
        <v>18</v>
      </c>
      <c r="B7" s="31" t="s">
        <v>7</v>
      </c>
      <c r="C7" s="31" t="s">
        <v>8</v>
      </c>
      <c r="D7" s="31" t="s">
        <v>9</v>
      </c>
      <c r="E7" s="1089" t="s">
        <v>92</v>
      </c>
      <c r="F7" s="1089"/>
      <c r="G7" s="31" t="s">
        <v>10</v>
      </c>
      <c r="H7" s="31" t="s">
        <v>11</v>
      </c>
      <c r="I7" s="31" t="s">
        <v>12</v>
      </c>
      <c r="J7" s="516" t="s">
        <v>14</v>
      </c>
    </row>
    <row r="8" spans="1:10">
      <c r="A8" s="492" t="s">
        <v>93</v>
      </c>
      <c r="B8" s="4" t="s">
        <v>302</v>
      </c>
      <c r="C8" s="27" t="s">
        <v>19</v>
      </c>
      <c r="D8" s="27" t="s">
        <v>20</v>
      </c>
      <c r="E8" s="1079" t="s">
        <v>94</v>
      </c>
      <c r="F8" s="1079"/>
      <c r="G8" s="4" t="s">
        <v>21</v>
      </c>
      <c r="H8" s="5">
        <v>1</v>
      </c>
      <c r="I8" s="6">
        <v>371.36</v>
      </c>
      <c r="J8" s="493">
        <f>SUM(J9:J15)</f>
        <v>374.03189999999995</v>
      </c>
    </row>
    <row r="9" spans="1:10" ht="38.25">
      <c r="A9" s="494" t="s">
        <v>95</v>
      </c>
      <c r="B9" s="8" t="s">
        <v>96</v>
      </c>
      <c r="C9" s="23" t="s">
        <v>24</v>
      </c>
      <c r="D9" s="23" t="s">
        <v>97</v>
      </c>
      <c r="E9" s="1080" t="s">
        <v>98</v>
      </c>
      <c r="F9" s="1080"/>
      <c r="G9" s="8" t="s">
        <v>28</v>
      </c>
      <c r="H9" s="9">
        <v>0.01</v>
      </c>
      <c r="I9" s="10">
        <v>406.72</v>
      </c>
      <c r="J9" s="495">
        <f>I9*H9</f>
        <v>4.0672000000000006</v>
      </c>
    </row>
    <row r="10" spans="1:10" ht="25.5">
      <c r="A10" s="494" t="s">
        <v>95</v>
      </c>
      <c r="B10" s="8" t="s">
        <v>99</v>
      </c>
      <c r="C10" s="23" t="s">
        <v>24</v>
      </c>
      <c r="D10" s="23" t="s">
        <v>100</v>
      </c>
      <c r="E10" s="1080" t="s">
        <v>101</v>
      </c>
      <c r="F10" s="1080"/>
      <c r="G10" s="8" t="s">
        <v>102</v>
      </c>
      <c r="H10" s="9">
        <v>1</v>
      </c>
      <c r="I10" s="10">
        <v>26.12</v>
      </c>
      <c r="J10" s="495">
        <f t="shared" ref="J10:J11" si="0">I10*H10</f>
        <v>26.12</v>
      </c>
    </row>
    <row r="11" spans="1:10" ht="25.5">
      <c r="A11" s="494" t="s">
        <v>95</v>
      </c>
      <c r="B11" s="8" t="s">
        <v>103</v>
      </c>
      <c r="C11" s="23" t="s">
        <v>24</v>
      </c>
      <c r="D11" s="23" t="s">
        <v>104</v>
      </c>
      <c r="E11" s="1080" t="s">
        <v>101</v>
      </c>
      <c r="F11" s="1080"/>
      <c r="G11" s="8" t="s">
        <v>102</v>
      </c>
      <c r="H11" s="9">
        <v>2</v>
      </c>
      <c r="I11" s="10">
        <v>21.05</v>
      </c>
      <c r="J11" s="495">
        <f t="shared" si="0"/>
        <v>42.1</v>
      </c>
    </row>
    <row r="12" spans="1:10" ht="25.5">
      <c r="A12" s="496" t="s">
        <v>105</v>
      </c>
      <c r="B12" s="11" t="s">
        <v>106</v>
      </c>
      <c r="C12" s="24" t="s">
        <v>24</v>
      </c>
      <c r="D12" s="24" t="s">
        <v>107</v>
      </c>
      <c r="E12" s="1087" t="s">
        <v>108</v>
      </c>
      <c r="F12" s="1087"/>
      <c r="G12" s="11" t="s">
        <v>76</v>
      </c>
      <c r="H12" s="12">
        <v>4</v>
      </c>
      <c r="I12" s="13">
        <v>10.66</v>
      </c>
      <c r="J12" s="612">
        <f>I12*H12</f>
        <v>42.64</v>
      </c>
    </row>
    <row r="13" spans="1:10" ht="25.5">
      <c r="A13" s="496" t="s">
        <v>105</v>
      </c>
      <c r="B13" s="11" t="s">
        <v>109</v>
      </c>
      <c r="C13" s="24" t="s">
        <v>24</v>
      </c>
      <c r="D13" s="24" t="s">
        <v>110</v>
      </c>
      <c r="E13" s="1087" t="s">
        <v>108</v>
      </c>
      <c r="F13" s="1087"/>
      <c r="G13" s="11" t="s">
        <v>21</v>
      </c>
      <c r="H13" s="12">
        <v>1</v>
      </c>
      <c r="I13" s="13">
        <v>250</v>
      </c>
      <c r="J13" s="612">
        <f t="shared" ref="J13:J15" si="1">I13*H13</f>
        <v>250</v>
      </c>
    </row>
    <row r="14" spans="1:10">
      <c r="A14" s="496" t="s">
        <v>105</v>
      </c>
      <c r="B14" s="11" t="s">
        <v>111</v>
      </c>
      <c r="C14" s="24" t="s">
        <v>24</v>
      </c>
      <c r="D14" s="24" t="s">
        <v>112</v>
      </c>
      <c r="E14" s="1087" t="s">
        <v>108</v>
      </c>
      <c r="F14" s="1087"/>
      <c r="G14" s="11" t="s">
        <v>113</v>
      </c>
      <c r="H14" s="12">
        <v>0.11</v>
      </c>
      <c r="I14" s="13">
        <v>15.77</v>
      </c>
      <c r="J14" s="612">
        <f t="shared" si="1"/>
        <v>1.7346999999999999</v>
      </c>
    </row>
    <row r="15" spans="1:10" ht="38.25">
      <c r="A15" s="496" t="s">
        <v>105</v>
      </c>
      <c r="B15" s="11" t="s">
        <v>114</v>
      </c>
      <c r="C15" s="24" t="s">
        <v>24</v>
      </c>
      <c r="D15" s="24" t="s">
        <v>115</v>
      </c>
      <c r="E15" s="1087" t="s">
        <v>108</v>
      </c>
      <c r="F15" s="1087"/>
      <c r="G15" s="11" t="s">
        <v>76</v>
      </c>
      <c r="H15" s="12">
        <v>1</v>
      </c>
      <c r="I15" s="13">
        <v>7.37</v>
      </c>
      <c r="J15" s="612">
        <f t="shared" si="1"/>
        <v>7.37</v>
      </c>
    </row>
    <row r="16" spans="1:10">
      <c r="A16" s="498"/>
      <c r="B16" s="20"/>
      <c r="C16" s="499"/>
      <c r="D16" s="499"/>
      <c r="E16" s="499" t="s">
        <v>116</v>
      </c>
      <c r="F16" s="500">
        <v>52.77</v>
      </c>
      <c r="G16" s="499" t="s">
        <v>117</v>
      </c>
      <c r="H16" s="500">
        <v>0</v>
      </c>
      <c r="I16" s="499" t="s">
        <v>118</v>
      </c>
      <c r="J16" s="501">
        <v>52.77</v>
      </c>
    </row>
    <row r="17" spans="1:10">
      <c r="A17" s="498"/>
      <c r="B17" s="20"/>
      <c r="C17" s="499"/>
      <c r="D17" s="499"/>
      <c r="E17" s="499" t="s">
        <v>119</v>
      </c>
      <c r="F17" s="500">
        <f>J17-J8</f>
        <v>78.434489429999985</v>
      </c>
      <c r="G17" s="499"/>
      <c r="H17" s="1082" t="s">
        <v>120</v>
      </c>
      <c r="I17" s="1082"/>
      <c r="J17" s="501">
        <f>J8*(1+G2)</f>
        <v>452.46638942999994</v>
      </c>
    </row>
    <row r="18" spans="1:10" ht="15" thickBot="1">
      <c r="A18" s="503"/>
      <c r="B18" s="666"/>
      <c r="C18" s="14"/>
      <c r="D18" s="14"/>
      <c r="E18" s="14"/>
      <c r="F18" s="14"/>
      <c r="G18" s="14" t="s">
        <v>121</v>
      </c>
      <c r="H18" s="504">
        <f>'OBRA 03 - MEMÓRIA'!O8</f>
        <v>6</v>
      </c>
      <c r="I18" s="14" t="s">
        <v>122</v>
      </c>
      <c r="J18" s="505">
        <f>TRUNC(H18*J17,2)</f>
        <v>2714.79</v>
      </c>
    </row>
    <row r="19" spans="1:10" ht="15" thickTop="1">
      <c r="A19" s="506"/>
      <c r="B19" s="230"/>
      <c r="C19" s="15"/>
      <c r="D19" s="15"/>
      <c r="E19" s="15"/>
      <c r="F19" s="15"/>
      <c r="G19" s="15"/>
      <c r="H19" s="15"/>
      <c r="I19" s="15"/>
      <c r="J19" s="507"/>
    </row>
    <row r="20" spans="1:10" ht="15">
      <c r="A20" s="490" t="s">
        <v>22</v>
      </c>
      <c r="B20" s="31" t="s">
        <v>7</v>
      </c>
      <c r="C20" s="26" t="s">
        <v>8</v>
      </c>
      <c r="D20" s="26" t="s">
        <v>9</v>
      </c>
      <c r="E20" s="1092" t="s">
        <v>92</v>
      </c>
      <c r="F20" s="1092"/>
      <c r="G20" s="31" t="s">
        <v>10</v>
      </c>
      <c r="H20" s="29" t="s">
        <v>11</v>
      </c>
      <c r="I20" s="29" t="s">
        <v>12</v>
      </c>
      <c r="J20" s="491" t="s">
        <v>14</v>
      </c>
    </row>
    <row r="21" spans="1:10" ht="25.5">
      <c r="A21" s="492" t="s">
        <v>93</v>
      </c>
      <c r="B21" s="4" t="s">
        <v>23</v>
      </c>
      <c r="C21" s="27" t="s">
        <v>24</v>
      </c>
      <c r="D21" s="27" t="s">
        <v>25</v>
      </c>
      <c r="E21" s="1079" t="s">
        <v>94</v>
      </c>
      <c r="F21" s="1079"/>
      <c r="G21" s="4" t="s">
        <v>21</v>
      </c>
      <c r="H21" s="5">
        <v>1</v>
      </c>
      <c r="I21" s="6">
        <v>22.63</v>
      </c>
      <c r="J21" s="493">
        <f>SUM(J22:J26)</f>
        <v>22.650455999999998</v>
      </c>
    </row>
    <row r="22" spans="1:10" ht="25.5">
      <c r="A22" s="494" t="s">
        <v>95</v>
      </c>
      <c r="B22" s="8" t="s">
        <v>123</v>
      </c>
      <c r="C22" s="23" t="s">
        <v>24</v>
      </c>
      <c r="D22" s="23" t="s">
        <v>124</v>
      </c>
      <c r="E22" s="1080" t="s">
        <v>125</v>
      </c>
      <c r="F22" s="1080"/>
      <c r="G22" s="8" t="s">
        <v>126</v>
      </c>
      <c r="H22" s="9">
        <v>3.2599999999999997E-2</v>
      </c>
      <c r="I22" s="10">
        <v>216.97</v>
      </c>
      <c r="J22" s="495">
        <f>I22*H22</f>
        <v>7.0732219999999995</v>
      </c>
    </row>
    <row r="23" spans="1:10" ht="25.5">
      <c r="A23" s="494" t="s">
        <v>95</v>
      </c>
      <c r="B23" s="8" t="s">
        <v>127</v>
      </c>
      <c r="C23" s="23" t="s">
        <v>24</v>
      </c>
      <c r="D23" s="23" t="s">
        <v>128</v>
      </c>
      <c r="E23" s="1080" t="s">
        <v>125</v>
      </c>
      <c r="F23" s="1080"/>
      <c r="G23" s="8" t="s">
        <v>129</v>
      </c>
      <c r="H23" s="9">
        <v>8.9599999999999999E-2</v>
      </c>
      <c r="I23" s="10">
        <v>94.82</v>
      </c>
      <c r="J23" s="495">
        <f t="shared" ref="J23:J26" si="2">I23*H23</f>
        <v>8.4958719999999985</v>
      </c>
    </row>
    <row r="24" spans="1:10" ht="25.5">
      <c r="A24" s="494" t="s">
        <v>95</v>
      </c>
      <c r="B24" s="8" t="s">
        <v>130</v>
      </c>
      <c r="C24" s="23" t="s">
        <v>24</v>
      </c>
      <c r="D24" s="23" t="s">
        <v>131</v>
      </c>
      <c r="E24" s="1080" t="s">
        <v>101</v>
      </c>
      <c r="F24" s="1080"/>
      <c r="G24" s="8" t="s">
        <v>102</v>
      </c>
      <c r="H24" s="9">
        <v>0.24329999999999999</v>
      </c>
      <c r="I24" s="10">
        <v>26.5</v>
      </c>
      <c r="J24" s="495">
        <f t="shared" si="2"/>
        <v>6.4474499999999999</v>
      </c>
    </row>
    <row r="25" spans="1:10" ht="51">
      <c r="A25" s="494" t="s">
        <v>95</v>
      </c>
      <c r="B25" s="8" t="s">
        <v>132</v>
      </c>
      <c r="C25" s="23" t="s">
        <v>24</v>
      </c>
      <c r="D25" s="23" t="s">
        <v>133</v>
      </c>
      <c r="E25" s="1080" t="s">
        <v>125</v>
      </c>
      <c r="F25" s="1080"/>
      <c r="G25" s="8" t="s">
        <v>126</v>
      </c>
      <c r="H25" s="9">
        <v>5.2400000000000002E-2</v>
      </c>
      <c r="I25" s="10">
        <v>10.55</v>
      </c>
      <c r="J25" s="495">
        <f t="shared" si="2"/>
        <v>0.55282000000000009</v>
      </c>
    </row>
    <row r="26" spans="1:10" ht="51">
      <c r="A26" s="494" t="s">
        <v>95</v>
      </c>
      <c r="B26" s="8" t="s">
        <v>134</v>
      </c>
      <c r="C26" s="23" t="s">
        <v>24</v>
      </c>
      <c r="D26" s="23" t="s">
        <v>135</v>
      </c>
      <c r="E26" s="1080" t="s">
        <v>125</v>
      </c>
      <c r="F26" s="1080"/>
      <c r="G26" s="8" t="s">
        <v>129</v>
      </c>
      <c r="H26" s="9">
        <v>8.3599999999999994E-2</v>
      </c>
      <c r="I26" s="10">
        <v>0.97</v>
      </c>
      <c r="J26" s="495">
        <f t="shared" si="2"/>
        <v>8.1091999999999997E-2</v>
      </c>
    </row>
    <row r="27" spans="1:10">
      <c r="A27" s="498"/>
      <c r="B27" s="20"/>
      <c r="C27" s="499"/>
      <c r="D27" s="499"/>
      <c r="E27" s="499" t="s">
        <v>116</v>
      </c>
      <c r="F27" s="500">
        <v>9.2100000000000009</v>
      </c>
      <c r="G27" s="499" t="s">
        <v>117</v>
      </c>
      <c r="H27" s="500">
        <v>0</v>
      </c>
      <c r="I27" s="499" t="s">
        <v>118</v>
      </c>
      <c r="J27" s="501">
        <v>9.2100000000000009</v>
      </c>
    </row>
    <row r="28" spans="1:10">
      <c r="A28" s="498"/>
      <c r="B28" s="20"/>
      <c r="C28" s="499"/>
      <c r="D28" s="499"/>
      <c r="E28" s="499" t="s">
        <v>119</v>
      </c>
      <c r="F28" s="500">
        <f>J28-J21</f>
        <v>4.7498006231999987</v>
      </c>
      <c r="G28" s="499"/>
      <c r="H28" s="1082" t="s">
        <v>120</v>
      </c>
      <c r="I28" s="1082"/>
      <c r="J28" s="501">
        <f>J21*(1+G2)</f>
        <v>27.400256623199997</v>
      </c>
    </row>
    <row r="29" spans="1:10" ht="15" thickBot="1">
      <c r="A29" s="503"/>
      <c r="B29" s="666"/>
      <c r="C29" s="14"/>
      <c r="D29" s="14"/>
      <c r="E29" s="14"/>
      <c r="F29" s="14"/>
      <c r="G29" s="14" t="s">
        <v>121</v>
      </c>
      <c r="H29" s="504">
        <f>'OBRA 03 - MEMÓRIA'!O10</f>
        <v>113.0973</v>
      </c>
      <c r="I29" s="14" t="s">
        <v>122</v>
      </c>
      <c r="J29" s="505">
        <f>TRUNC(H29*J28,2)</f>
        <v>3098.89</v>
      </c>
    </row>
    <row r="30" spans="1:10" ht="15" thickTop="1">
      <c r="A30" s="506"/>
      <c r="B30" s="230"/>
      <c r="C30" s="15"/>
      <c r="D30" s="15"/>
      <c r="E30" s="15"/>
      <c r="F30" s="15"/>
      <c r="G30" s="15"/>
      <c r="H30" s="15"/>
      <c r="I30" s="15"/>
      <c r="J30" s="507"/>
    </row>
    <row r="31" spans="1:10" ht="15">
      <c r="A31" s="490" t="s">
        <v>26</v>
      </c>
      <c r="B31" s="31" t="s">
        <v>7</v>
      </c>
      <c r="C31" s="26" t="s">
        <v>8</v>
      </c>
      <c r="D31" s="26" t="s">
        <v>9</v>
      </c>
      <c r="E31" s="1092" t="s">
        <v>92</v>
      </c>
      <c r="F31" s="1092"/>
      <c r="G31" s="31" t="s">
        <v>10</v>
      </c>
      <c r="H31" s="29" t="s">
        <v>11</v>
      </c>
      <c r="I31" s="29" t="s">
        <v>12</v>
      </c>
      <c r="J31" s="491" t="s">
        <v>14</v>
      </c>
    </row>
    <row r="32" spans="1:10">
      <c r="A32" s="492" t="s">
        <v>93</v>
      </c>
      <c r="B32" s="4" t="s">
        <v>361</v>
      </c>
      <c r="C32" s="27" t="s">
        <v>27</v>
      </c>
      <c r="D32" s="27" t="s">
        <v>559</v>
      </c>
      <c r="E32" s="1079" t="s">
        <v>136</v>
      </c>
      <c r="F32" s="1079"/>
      <c r="G32" s="4" t="s">
        <v>21</v>
      </c>
      <c r="H32" s="5">
        <v>1</v>
      </c>
      <c r="I32" s="6">
        <v>3.98</v>
      </c>
      <c r="J32" s="509">
        <f>J45</f>
        <v>3.9131663089420776</v>
      </c>
    </row>
    <row r="33" spans="1:12" ht="15">
      <c r="A33" s="1096" t="s">
        <v>137</v>
      </c>
      <c r="B33" s="1089" t="s">
        <v>7</v>
      </c>
      <c r="C33" s="1092" t="s">
        <v>8</v>
      </c>
      <c r="D33" s="1092" t="s">
        <v>138</v>
      </c>
      <c r="E33" s="1085" t="s">
        <v>139</v>
      </c>
      <c r="F33" s="1089" t="s">
        <v>140</v>
      </c>
      <c r="G33" s="1085"/>
      <c r="H33" s="1089" t="s">
        <v>141</v>
      </c>
      <c r="I33" s="1085"/>
      <c r="J33" s="1103" t="s">
        <v>142</v>
      </c>
    </row>
    <row r="34" spans="1:12" ht="15">
      <c r="A34" s="1097"/>
      <c r="B34" s="1089"/>
      <c r="C34" s="1085"/>
      <c r="D34" s="1085"/>
      <c r="E34" s="1085"/>
      <c r="F34" s="29" t="s">
        <v>143</v>
      </c>
      <c r="G34" s="29" t="s">
        <v>144</v>
      </c>
      <c r="H34" s="29" t="s">
        <v>143</v>
      </c>
      <c r="I34" s="29" t="s">
        <v>144</v>
      </c>
      <c r="J34" s="1103"/>
    </row>
    <row r="35" spans="1:12">
      <c r="A35" s="496" t="s">
        <v>105</v>
      </c>
      <c r="B35" s="11" t="s">
        <v>377</v>
      </c>
      <c r="C35" s="24" t="s">
        <v>27</v>
      </c>
      <c r="D35" s="24" t="s">
        <v>378</v>
      </c>
      <c r="E35" s="12">
        <v>0.28891</v>
      </c>
      <c r="F35" s="13">
        <v>1</v>
      </c>
      <c r="G35" s="13">
        <v>0</v>
      </c>
      <c r="H35" s="30">
        <v>0.7087</v>
      </c>
      <c r="I35" s="30">
        <v>0.48180000000000001</v>
      </c>
      <c r="J35" s="510">
        <f>E35*((F35*H35)+(G35*I35))</f>
        <v>0.20475051699999999</v>
      </c>
    </row>
    <row r="36" spans="1:12">
      <c r="A36" s="1083"/>
      <c r="B36" s="1084"/>
      <c r="C36" s="1084"/>
      <c r="D36" s="1084"/>
      <c r="E36" s="1084"/>
      <c r="F36" s="1084" t="s">
        <v>145</v>
      </c>
      <c r="G36" s="1084"/>
      <c r="H36" s="1084"/>
      <c r="I36" s="1084"/>
      <c r="J36" s="511">
        <f>J35</f>
        <v>0.20475051699999999</v>
      </c>
    </row>
    <row r="37" spans="1:12" ht="15">
      <c r="A37" s="490" t="s">
        <v>146</v>
      </c>
      <c r="B37" s="31" t="s">
        <v>7</v>
      </c>
      <c r="C37" s="26" t="s">
        <v>8</v>
      </c>
      <c r="D37" s="26" t="s">
        <v>147</v>
      </c>
      <c r="E37" s="29" t="s">
        <v>139</v>
      </c>
      <c r="F37" s="1085" t="s">
        <v>148</v>
      </c>
      <c r="G37" s="1085"/>
      <c r="H37" s="1085"/>
      <c r="I37" s="1085"/>
      <c r="J37" s="491" t="s">
        <v>142</v>
      </c>
    </row>
    <row r="38" spans="1:12">
      <c r="A38" s="496" t="s">
        <v>105</v>
      </c>
      <c r="B38" s="11">
        <v>88316</v>
      </c>
      <c r="C38" s="24" t="s">
        <v>24</v>
      </c>
      <c r="D38" s="24" t="s">
        <v>149</v>
      </c>
      <c r="E38" s="12">
        <v>0.28891</v>
      </c>
      <c r="F38" s="24"/>
      <c r="G38" s="24"/>
      <c r="H38" s="24"/>
      <c r="I38" s="30">
        <v>21.05</v>
      </c>
      <c r="J38" s="510">
        <f>E38*I38</f>
        <v>6.0815555000000003</v>
      </c>
    </row>
    <row r="39" spans="1:12">
      <c r="A39" s="1083"/>
      <c r="B39" s="1084"/>
      <c r="C39" s="1084"/>
      <c r="D39" s="1084"/>
      <c r="E39" s="1084"/>
      <c r="F39" s="1084" t="s">
        <v>150</v>
      </c>
      <c r="G39" s="1084"/>
      <c r="H39" s="1084"/>
      <c r="I39" s="1084"/>
      <c r="J39" s="511">
        <f>J38</f>
        <v>6.0815555000000003</v>
      </c>
    </row>
    <row r="40" spans="1:12">
      <c r="A40" s="1083"/>
      <c r="B40" s="1084"/>
      <c r="C40" s="1084"/>
      <c r="D40" s="1084"/>
      <c r="E40" s="1084"/>
      <c r="F40" s="1084" t="s">
        <v>151</v>
      </c>
      <c r="G40" s="1084"/>
      <c r="H40" s="1084"/>
      <c r="I40" s="1084"/>
      <c r="J40" s="511">
        <v>0</v>
      </c>
    </row>
    <row r="41" spans="1:12">
      <c r="A41" s="1083"/>
      <c r="B41" s="1084"/>
      <c r="C41" s="1084"/>
      <c r="D41" s="1084"/>
      <c r="E41" s="1084"/>
      <c r="F41" s="1084" t="s">
        <v>152</v>
      </c>
      <c r="G41" s="1084"/>
      <c r="H41" s="1084"/>
      <c r="I41" s="1084"/>
      <c r="J41" s="511">
        <f>J39+J36</f>
        <v>6.2863060170000002</v>
      </c>
      <c r="L41" t="s">
        <v>634</v>
      </c>
    </row>
    <row r="42" spans="1:12">
      <c r="A42" s="1083"/>
      <c r="B42" s="1084"/>
      <c r="C42" s="1084"/>
      <c r="D42" s="1084"/>
      <c r="E42" s="1084"/>
      <c r="F42" s="1084" t="s">
        <v>153</v>
      </c>
      <c r="G42" s="1084"/>
      <c r="H42" s="1084"/>
      <c r="I42" s="1084"/>
      <c r="J42" s="511">
        <v>0</v>
      </c>
    </row>
    <row r="43" spans="1:12">
      <c r="A43" s="1083"/>
      <c r="B43" s="1084"/>
      <c r="C43" s="1084"/>
      <c r="D43" s="1084"/>
      <c r="E43" s="1084"/>
      <c r="F43" s="1084" t="s">
        <v>154</v>
      </c>
      <c r="G43" s="1084"/>
      <c r="H43" s="1084"/>
      <c r="I43" s="1084"/>
      <c r="J43" s="511">
        <v>0</v>
      </c>
    </row>
    <row r="44" spans="1:12">
      <c r="A44" s="1083"/>
      <c r="B44" s="1084"/>
      <c r="C44" s="1084"/>
      <c r="D44" s="1084"/>
      <c r="E44" s="1084"/>
      <c r="F44" s="1084" t="s">
        <v>155</v>
      </c>
      <c r="G44" s="1084"/>
      <c r="H44" s="1084"/>
      <c r="I44" s="1084"/>
      <c r="J44" s="511">
        <v>1.6064499999999999</v>
      </c>
    </row>
    <row r="45" spans="1:12">
      <c r="A45" s="1083"/>
      <c r="B45" s="1084"/>
      <c r="C45" s="1084"/>
      <c r="D45" s="1084"/>
      <c r="E45" s="1084"/>
      <c r="F45" s="1084" t="s">
        <v>156</v>
      </c>
      <c r="G45" s="1084"/>
      <c r="H45" s="1084"/>
      <c r="I45" s="1084"/>
      <c r="J45" s="511">
        <f>J41/J44</f>
        <v>3.9131663089420776</v>
      </c>
    </row>
    <row r="46" spans="1:12">
      <c r="A46" s="498"/>
      <c r="B46" s="20"/>
      <c r="C46" s="499"/>
      <c r="D46" s="499"/>
      <c r="E46" s="499" t="s">
        <v>116</v>
      </c>
      <c r="F46" s="500">
        <v>3.8460845883781007</v>
      </c>
      <c r="G46" s="499" t="s">
        <v>117</v>
      </c>
      <c r="H46" s="500">
        <v>0</v>
      </c>
      <c r="I46" s="499" t="s">
        <v>118</v>
      </c>
      <c r="J46" s="501">
        <v>3.8460845883781007</v>
      </c>
    </row>
    <row r="47" spans="1:12">
      <c r="A47" s="498"/>
      <c r="B47" s="20"/>
      <c r="C47" s="499"/>
      <c r="D47" s="499"/>
      <c r="E47" s="499" t="s">
        <v>119</v>
      </c>
      <c r="F47" s="500">
        <f>J47-J32</f>
        <v>0.8205909749851541</v>
      </c>
      <c r="G47" s="499"/>
      <c r="H47" s="1082" t="s">
        <v>120</v>
      </c>
      <c r="I47" s="1082"/>
      <c r="J47" s="501">
        <f>J32*(1+G2)</f>
        <v>4.7337572839272317</v>
      </c>
    </row>
    <row r="48" spans="1:12" ht="15" thickBot="1">
      <c r="A48" s="503"/>
      <c r="B48" s="666"/>
      <c r="C48" s="14"/>
      <c r="D48" s="14"/>
      <c r="E48" s="14"/>
      <c r="F48" s="14"/>
      <c r="G48" s="14" t="s">
        <v>121</v>
      </c>
      <c r="H48" s="504">
        <f>'OBRA 03 - MEMÓRIA'!O12</f>
        <v>880.57569999999998</v>
      </c>
      <c r="I48" s="14" t="s">
        <v>122</v>
      </c>
      <c r="J48" s="505">
        <f>TRUNC(H48*J47,2)</f>
        <v>4168.43</v>
      </c>
    </row>
    <row r="49" spans="1:10" ht="15" thickTop="1">
      <c r="A49" s="506"/>
      <c r="B49" s="230"/>
      <c r="C49" s="15"/>
      <c r="D49" s="15"/>
      <c r="E49" s="15"/>
      <c r="F49" s="15"/>
      <c r="G49" s="15"/>
      <c r="H49" s="15"/>
      <c r="I49" s="15"/>
      <c r="J49" s="507"/>
    </row>
    <row r="50" spans="1:10" ht="15">
      <c r="A50" s="490" t="s">
        <v>333</v>
      </c>
      <c r="B50" s="31" t="s">
        <v>7</v>
      </c>
      <c r="C50" s="26" t="s">
        <v>8</v>
      </c>
      <c r="D50" s="26" t="s">
        <v>9</v>
      </c>
      <c r="E50" s="1092" t="s">
        <v>92</v>
      </c>
      <c r="F50" s="1092"/>
      <c r="G50" s="31" t="s">
        <v>10</v>
      </c>
      <c r="H50" s="29" t="s">
        <v>11</v>
      </c>
      <c r="I50" s="29" t="s">
        <v>12</v>
      </c>
      <c r="J50" s="491" t="s">
        <v>14</v>
      </c>
    </row>
    <row r="51" spans="1:10">
      <c r="A51" s="492" t="s">
        <v>93</v>
      </c>
      <c r="B51" s="4" t="s">
        <v>29</v>
      </c>
      <c r="C51" s="27" t="s">
        <v>30</v>
      </c>
      <c r="D51" s="27" t="s">
        <v>560</v>
      </c>
      <c r="E51" s="1079" t="s">
        <v>173</v>
      </c>
      <c r="F51" s="1079"/>
      <c r="G51" s="4" t="s">
        <v>31</v>
      </c>
      <c r="H51" s="5">
        <v>1</v>
      </c>
      <c r="I51" s="6">
        <v>9.8000000000000007</v>
      </c>
      <c r="J51" s="493">
        <f>SUM(J52:J55)</f>
        <v>9.8135000000000012</v>
      </c>
    </row>
    <row r="52" spans="1:10" ht="25.5">
      <c r="A52" s="494" t="s">
        <v>95</v>
      </c>
      <c r="B52" s="8" t="s">
        <v>174</v>
      </c>
      <c r="C52" s="23" t="s">
        <v>30</v>
      </c>
      <c r="D52" s="23" t="s">
        <v>175</v>
      </c>
      <c r="E52" s="1080" t="s">
        <v>176</v>
      </c>
      <c r="F52" s="1080"/>
      <c r="G52" s="8" t="s">
        <v>177</v>
      </c>
      <c r="H52" s="9">
        <v>0.5</v>
      </c>
      <c r="I52" s="10">
        <v>3.79</v>
      </c>
      <c r="J52" s="495">
        <f>I52*H52</f>
        <v>1.895</v>
      </c>
    </row>
    <row r="53" spans="1:10" ht="25.5">
      <c r="A53" s="494" t="s">
        <v>95</v>
      </c>
      <c r="B53" s="8" t="s">
        <v>178</v>
      </c>
      <c r="C53" s="23" t="s">
        <v>30</v>
      </c>
      <c r="D53" s="23" t="s">
        <v>179</v>
      </c>
      <c r="E53" s="1080" t="s">
        <v>176</v>
      </c>
      <c r="F53" s="1080"/>
      <c r="G53" s="8" t="s">
        <v>177</v>
      </c>
      <c r="H53" s="9">
        <v>0.05</v>
      </c>
      <c r="I53" s="10">
        <v>3.66</v>
      </c>
      <c r="J53" s="495">
        <f t="shared" ref="J53:J55" si="3">I53*H53</f>
        <v>0.18300000000000002</v>
      </c>
    </row>
    <row r="54" spans="1:10" ht="25.5">
      <c r="A54" s="496" t="s">
        <v>105</v>
      </c>
      <c r="B54" s="11" t="s">
        <v>180</v>
      </c>
      <c r="C54" s="24" t="s">
        <v>30</v>
      </c>
      <c r="D54" s="24" t="s">
        <v>181</v>
      </c>
      <c r="E54" s="1087" t="s">
        <v>147</v>
      </c>
      <c r="F54" s="1087"/>
      <c r="G54" s="11" t="s">
        <v>177</v>
      </c>
      <c r="H54" s="12">
        <v>0.05</v>
      </c>
      <c r="I54" s="13">
        <v>18.21</v>
      </c>
      <c r="J54" s="497">
        <f t="shared" si="3"/>
        <v>0.91050000000000009</v>
      </c>
    </row>
    <row r="55" spans="1:10" ht="25.5">
      <c r="A55" s="496" t="s">
        <v>105</v>
      </c>
      <c r="B55" s="11" t="s">
        <v>182</v>
      </c>
      <c r="C55" s="24" t="s">
        <v>30</v>
      </c>
      <c r="D55" s="24" t="s">
        <v>183</v>
      </c>
      <c r="E55" s="1087" t="s">
        <v>147</v>
      </c>
      <c r="F55" s="1087"/>
      <c r="G55" s="11" t="s">
        <v>177</v>
      </c>
      <c r="H55" s="12">
        <v>0.5</v>
      </c>
      <c r="I55" s="13">
        <v>13.65</v>
      </c>
      <c r="J55" s="497">
        <f t="shared" si="3"/>
        <v>6.8250000000000002</v>
      </c>
    </row>
    <row r="56" spans="1:10">
      <c r="A56" s="498"/>
      <c r="B56" s="20"/>
      <c r="C56" s="499"/>
      <c r="D56" s="499"/>
      <c r="E56" s="499" t="s">
        <v>116</v>
      </c>
      <c r="F56" s="500">
        <v>7.73</v>
      </c>
      <c r="G56" s="499" t="s">
        <v>117</v>
      </c>
      <c r="H56" s="500">
        <v>0</v>
      </c>
      <c r="I56" s="499" t="s">
        <v>118</v>
      </c>
      <c r="J56" s="501">
        <v>7.73</v>
      </c>
    </row>
    <row r="57" spans="1:10">
      <c r="A57" s="498"/>
      <c r="B57" s="20"/>
      <c r="C57" s="499"/>
      <c r="D57" s="499"/>
      <c r="E57" s="499" t="s">
        <v>119</v>
      </c>
      <c r="F57" s="500">
        <f>J57-J51</f>
        <v>2.0578909500000009</v>
      </c>
      <c r="G57" s="499"/>
      <c r="H57" s="1082" t="s">
        <v>120</v>
      </c>
      <c r="I57" s="1082"/>
      <c r="J57" s="501">
        <f>J51*(1+G2)</f>
        <v>11.871390950000002</v>
      </c>
    </row>
    <row r="58" spans="1:10" ht="15" thickBot="1">
      <c r="A58" s="503"/>
      <c r="B58" s="666"/>
      <c r="C58" s="14"/>
      <c r="D58" s="14"/>
      <c r="E58" s="14"/>
      <c r="F58" s="14"/>
      <c r="G58" s="14" t="s">
        <v>121</v>
      </c>
      <c r="H58" s="504">
        <f>'OBRA 03 - MEMÓRIA'!O14</f>
        <v>1391.37</v>
      </c>
      <c r="I58" s="14" t="s">
        <v>122</v>
      </c>
      <c r="J58" s="505">
        <f>TRUNC(H58*J57,2)</f>
        <v>16517.490000000002</v>
      </c>
    </row>
    <row r="59" spans="1:10" ht="15" thickTop="1">
      <c r="A59" s="506"/>
      <c r="B59" s="230"/>
      <c r="C59" s="15"/>
      <c r="D59" s="15"/>
      <c r="E59" s="15"/>
      <c r="F59" s="15"/>
      <c r="G59" s="15"/>
      <c r="H59" s="15"/>
      <c r="I59" s="15"/>
      <c r="J59" s="507"/>
    </row>
    <row r="60" spans="1:10" ht="15">
      <c r="A60" s="490" t="s">
        <v>334</v>
      </c>
      <c r="B60" s="31" t="s">
        <v>7</v>
      </c>
      <c r="C60" s="26" t="s">
        <v>8</v>
      </c>
      <c r="D60" s="26" t="s">
        <v>9</v>
      </c>
      <c r="E60" s="1092" t="s">
        <v>92</v>
      </c>
      <c r="F60" s="1092"/>
      <c r="G60" s="31" t="s">
        <v>10</v>
      </c>
      <c r="H60" s="29" t="s">
        <v>11</v>
      </c>
      <c r="I60" s="29" t="s">
        <v>12</v>
      </c>
      <c r="J60" s="491" t="s">
        <v>14</v>
      </c>
    </row>
    <row r="61" spans="1:10">
      <c r="A61" s="492" t="s">
        <v>93</v>
      </c>
      <c r="B61" s="4" t="s">
        <v>362</v>
      </c>
      <c r="C61" s="27" t="s">
        <v>27</v>
      </c>
      <c r="D61" s="27" t="s">
        <v>561</v>
      </c>
      <c r="E61" s="1079" t="s">
        <v>136</v>
      </c>
      <c r="F61" s="1079"/>
      <c r="G61" s="4" t="s">
        <v>28</v>
      </c>
      <c r="H61" s="5">
        <v>1</v>
      </c>
      <c r="I61" s="6">
        <v>395.45</v>
      </c>
      <c r="J61" s="659">
        <f>SUM(J76+J79+J82)</f>
        <v>391.38085807040079</v>
      </c>
    </row>
    <row r="62" spans="1:10" ht="15">
      <c r="A62" s="1096" t="s">
        <v>137</v>
      </c>
      <c r="B62" s="1089" t="s">
        <v>7</v>
      </c>
      <c r="C62" s="1092" t="s">
        <v>8</v>
      </c>
      <c r="D62" s="1092" t="s">
        <v>138</v>
      </c>
      <c r="E62" s="1085" t="s">
        <v>139</v>
      </c>
      <c r="F62" s="1089" t="s">
        <v>140</v>
      </c>
      <c r="G62" s="1085"/>
      <c r="H62" s="1089" t="s">
        <v>141</v>
      </c>
      <c r="I62" s="1085"/>
      <c r="J62" s="1103" t="s">
        <v>142</v>
      </c>
    </row>
    <row r="63" spans="1:10" ht="15">
      <c r="A63" s="1097"/>
      <c r="B63" s="1089"/>
      <c r="C63" s="1085"/>
      <c r="D63" s="1085"/>
      <c r="E63" s="1085"/>
      <c r="F63" s="29" t="s">
        <v>143</v>
      </c>
      <c r="G63" s="29" t="s">
        <v>144</v>
      </c>
      <c r="H63" s="29" t="s">
        <v>143</v>
      </c>
      <c r="I63" s="29" t="s">
        <v>144</v>
      </c>
      <c r="J63" s="1103"/>
    </row>
    <row r="64" spans="1:10">
      <c r="A64" s="496" t="s">
        <v>105</v>
      </c>
      <c r="B64" s="11" t="s">
        <v>379</v>
      </c>
      <c r="C64" s="24" t="s">
        <v>27</v>
      </c>
      <c r="D64" s="24" t="s">
        <v>380</v>
      </c>
      <c r="E64" s="12">
        <v>1</v>
      </c>
      <c r="F64" s="13">
        <v>1</v>
      </c>
      <c r="G64" s="13">
        <v>0</v>
      </c>
      <c r="H64" s="30">
        <v>42.369300000000003</v>
      </c>
      <c r="I64" s="30">
        <v>10.2737</v>
      </c>
      <c r="J64" s="510">
        <f>(E64*((F64*H64)+(G64*I64)))</f>
        <v>42.369300000000003</v>
      </c>
    </row>
    <row r="65" spans="1:10" ht="25.5">
      <c r="A65" s="496" t="s">
        <v>105</v>
      </c>
      <c r="B65" s="11" t="s">
        <v>381</v>
      </c>
      <c r="C65" s="24" t="s">
        <v>27</v>
      </c>
      <c r="D65" s="24" t="s">
        <v>382</v>
      </c>
      <c r="E65" s="12">
        <v>1</v>
      </c>
      <c r="F65" s="13">
        <v>1</v>
      </c>
      <c r="G65" s="13">
        <v>0</v>
      </c>
      <c r="H65" s="30">
        <v>30.914100000000001</v>
      </c>
      <c r="I65" s="30">
        <v>28.729399999999998</v>
      </c>
      <c r="J65" s="510">
        <f t="shared" ref="J65:J66" si="4">(E65*((F65*H65)+(G65*I65)))</f>
        <v>30.914100000000001</v>
      </c>
    </row>
    <row r="66" spans="1:10">
      <c r="A66" s="496" t="s">
        <v>105</v>
      </c>
      <c r="B66" s="11" t="s">
        <v>377</v>
      </c>
      <c r="C66" s="24" t="s">
        <v>27</v>
      </c>
      <c r="D66" s="24" t="s">
        <v>378</v>
      </c>
      <c r="E66" s="12">
        <v>0.59458</v>
      </c>
      <c r="F66" s="13">
        <v>1</v>
      </c>
      <c r="G66" s="13">
        <v>0</v>
      </c>
      <c r="H66" s="30">
        <v>0.7087</v>
      </c>
      <c r="I66" s="30">
        <v>0.48180000000000001</v>
      </c>
      <c r="J66" s="510">
        <f t="shared" si="4"/>
        <v>0.42137884599999997</v>
      </c>
    </row>
    <row r="67" spans="1:10">
      <c r="A67" s="1083"/>
      <c r="B67" s="1084"/>
      <c r="C67" s="1084"/>
      <c r="D67" s="1084"/>
      <c r="E67" s="1084"/>
      <c r="F67" s="1084" t="s">
        <v>145</v>
      </c>
      <c r="G67" s="1084"/>
      <c r="H67" s="1084"/>
      <c r="I67" s="1084"/>
      <c r="J67" s="660">
        <f>SUM(J64:J66)</f>
        <v>73.704778845999996</v>
      </c>
    </row>
    <row r="68" spans="1:10" ht="15">
      <c r="A68" s="490" t="s">
        <v>146</v>
      </c>
      <c r="B68" s="31" t="s">
        <v>7</v>
      </c>
      <c r="C68" s="26" t="s">
        <v>8</v>
      </c>
      <c r="D68" s="26" t="s">
        <v>147</v>
      </c>
      <c r="E68" s="29" t="s">
        <v>139</v>
      </c>
      <c r="F68" s="1085" t="s">
        <v>148</v>
      </c>
      <c r="G68" s="1085"/>
      <c r="H68" s="1085"/>
      <c r="I68" s="1085"/>
      <c r="J68" s="491" t="s">
        <v>142</v>
      </c>
    </row>
    <row r="69" spans="1:10">
      <c r="A69" s="496" t="s">
        <v>105</v>
      </c>
      <c r="B69" s="11">
        <v>88316</v>
      </c>
      <c r="C69" s="24" t="s">
        <v>24</v>
      </c>
      <c r="D69" s="24" t="s">
        <v>149</v>
      </c>
      <c r="E69" s="12">
        <v>0.59458</v>
      </c>
      <c r="F69" s="24"/>
      <c r="G69" s="24"/>
      <c r="H69" s="24"/>
      <c r="I69" s="30">
        <v>21.05</v>
      </c>
      <c r="J69" s="510">
        <f>I69*E69</f>
        <v>12.515909000000001</v>
      </c>
    </row>
    <row r="70" spans="1:10">
      <c r="A70" s="1083"/>
      <c r="B70" s="1084"/>
      <c r="C70" s="1084"/>
      <c r="D70" s="1084"/>
      <c r="E70" s="1084"/>
      <c r="F70" s="1084" t="s">
        <v>150</v>
      </c>
      <c r="G70" s="1084"/>
      <c r="H70" s="1084"/>
      <c r="I70" s="1084"/>
      <c r="J70" s="511">
        <f>J69</f>
        <v>12.515909000000001</v>
      </c>
    </row>
    <row r="71" spans="1:10">
      <c r="A71" s="1083"/>
      <c r="B71" s="1084"/>
      <c r="C71" s="1084"/>
      <c r="D71" s="1084"/>
      <c r="E71" s="1084"/>
      <c r="F71" s="1084" t="s">
        <v>151</v>
      </c>
      <c r="G71" s="1084"/>
      <c r="H71" s="1084"/>
      <c r="I71" s="1084"/>
      <c r="J71" s="511">
        <v>0</v>
      </c>
    </row>
    <row r="72" spans="1:10">
      <c r="A72" s="1083"/>
      <c r="B72" s="1084"/>
      <c r="C72" s="1084"/>
      <c r="D72" s="1084"/>
      <c r="E72" s="1084"/>
      <c r="F72" s="1084" t="s">
        <v>152</v>
      </c>
      <c r="G72" s="1084"/>
      <c r="H72" s="1084"/>
      <c r="I72" s="1084"/>
      <c r="J72" s="661">
        <f>J70+J67</f>
        <v>86.220687846000004</v>
      </c>
    </row>
    <row r="73" spans="1:10">
      <c r="A73" s="1083"/>
      <c r="B73" s="1084"/>
      <c r="C73" s="1084"/>
      <c r="D73" s="1084"/>
      <c r="E73" s="1084"/>
      <c r="F73" s="1084" t="s">
        <v>153</v>
      </c>
      <c r="G73" s="1084"/>
      <c r="H73" s="1084"/>
      <c r="I73" s="1084"/>
      <c r="J73" s="511">
        <v>0</v>
      </c>
    </row>
    <row r="74" spans="1:10">
      <c r="A74" s="1083"/>
      <c r="B74" s="1084"/>
      <c r="C74" s="1084"/>
      <c r="D74" s="1084"/>
      <c r="E74" s="1084"/>
      <c r="F74" s="1084" t="s">
        <v>154</v>
      </c>
      <c r="G74" s="1084"/>
      <c r="H74" s="1084"/>
      <c r="I74" s="1084"/>
      <c r="J74" s="511">
        <v>0</v>
      </c>
    </row>
    <row r="75" spans="1:10">
      <c r="A75" s="1083"/>
      <c r="B75" s="1084"/>
      <c r="C75" s="1084"/>
      <c r="D75" s="1084"/>
      <c r="E75" s="1084"/>
      <c r="F75" s="1084" t="s">
        <v>155</v>
      </c>
      <c r="G75" s="1084"/>
      <c r="H75" s="1084"/>
      <c r="I75" s="1084"/>
      <c r="J75" s="511">
        <v>0.46704000000000001</v>
      </c>
    </row>
    <row r="76" spans="1:10">
      <c r="A76" s="1083"/>
      <c r="B76" s="1084"/>
      <c r="C76" s="1084"/>
      <c r="D76" s="1084"/>
      <c r="E76" s="1084"/>
      <c r="F76" s="1084" t="s">
        <v>156</v>
      </c>
      <c r="G76" s="1084"/>
      <c r="H76" s="1084"/>
      <c r="I76" s="1084"/>
      <c r="J76" s="511">
        <f>J72/J75</f>
        <v>184.61092807040083</v>
      </c>
    </row>
    <row r="77" spans="1:10" ht="15">
      <c r="A77" s="490" t="s">
        <v>157</v>
      </c>
      <c r="B77" s="31" t="s">
        <v>8</v>
      </c>
      <c r="C77" s="26" t="s">
        <v>7</v>
      </c>
      <c r="D77" s="26" t="s">
        <v>108</v>
      </c>
      <c r="E77" s="29" t="s">
        <v>139</v>
      </c>
      <c r="F77" s="29" t="s">
        <v>158</v>
      </c>
      <c r="G77" s="1085" t="s">
        <v>159</v>
      </c>
      <c r="H77" s="1085"/>
      <c r="I77" s="1085"/>
      <c r="J77" s="491" t="s">
        <v>142</v>
      </c>
    </row>
    <row r="78" spans="1:10">
      <c r="A78" s="496" t="s">
        <v>105</v>
      </c>
      <c r="B78" s="11" t="s">
        <v>27</v>
      </c>
      <c r="C78" s="24" t="s">
        <v>383</v>
      </c>
      <c r="D78" s="24" t="s">
        <v>384</v>
      </c>
      <c r="E78" s="12">
        <v>0.3</v>
      </c>
      <c r="F78" s="11" t="s">
        <v>84</v>
      </c>
      <c r="G78" s="1086">
        <v>421.55309999999997</v>
      </c>
      <c r="H78" s="1086"/>
      <c r="I78" s="1087"/>
      <c r="J78" s="510">
        <f>G78*E78</f>
        <v>126.46592999999999</v>
      </c>
    </row>
    <row r="79" spans="1:10">
      <c r="A79" s="1083"/>
      <c r="B79" s="1084"/>
      <c r="C79" s="1084"/>
      <c r="D79" s="1084"/>
      <c r="E79" s="1084"/>
      <c r="F79" s="1084" t="s">
        <v>160</v>
      </c>
      <c r="G79" s="1084"/>
      <c r="H79" s="1084"/>
      <c r="I79" s="1084"/>
      <c r="J79" s="511">
        <f>J78</f>
        <v>126.46592999999999</v>
      </c>
    </row>
    <row r="80" spans="1:10" ht="15">
      <c r="A80" s="490" t="s">
        <v>161</v>
      </c>
      <c r="B80" s="31" t="s">
        <v>8</v>
      </c>
      <c r="C80" s="26" t="s">
        <v>105</v>
      </c>
      <c r="D80" s="26" t="s">
        <v>162</v>
      </c>
      <c r="E80" s="29" t="s">
        <v>7</v>
      </c>
      <c r="F80" s="29" t="s">
        <v>139</v>
      </c>
      <c r="G80" s="31" t="s">
        <v>158</v>
      </c>
      <c r="H80" s="1085" t="s">
        <v>159</v>
      </c>
      <c r="I80" s="1085"/>
      <c r="J80" s="491" t="s">
        <v>142</v>
      </c>
    </row>
    <row r="81" spans="1:10" ht="25.5">
      <c r="A81" s="494" t="s">
        <v>163</v>
      </c>
      <c r="B81" s="8" t="s">
        <v>27</v>
      </c>
      <c r="C81" s="23" t="s">
        <v>385</v>
      </c>
      <c r="D81" s="23" t="s">
        <v>386</v>
      </c>
      <c r="E81" s="7">
        <v>5915433</v>
      </c>
      <c r="F81" s="9">
        <v>2.4</v>
      </c>
      <c r="G81" s="8" t="s">
        <v>61</v>
      </c>
      <c r="H81" s="1088">
        <v>33.46</v>
      </c>
      <c r="I81" s="1080"/>
      <c r="J81" s="514">
        <f>H81*F81</f>
        <v>80.304000000000002</v>
      </c>
    </row>
    <row r="82" spans="1:10">
      <c r="A82" s="1083"/>
      <c r="B82" s="1084"/>
      <c r="C82" s="1084"/>
      <c r="D82" s="1084"/>
      <c r="E82" s="1084"/>
      <c r="F82" s="1084" t="s">
        <v>164</v>
      </c>
      <c r="G82" s="1084"/>
      <c r="H82" s="1084"/>
      <c r="I82" s="1084"/>
      <c r="J82" s="511">
        <f>J81</f>
        <v>80.304000000000002</v>
      </c>
    </row>
    <row r="83" spans="1:10" ht="15">
      <c r="A83" s="490" t="s">
        <v>165</v>
      </c>
      <c r="B83" s="31" t="s">
        <v>8</v>
      </c>
      <c r="C83" s="26" t="s">
        <v>105</v>
      </c>
      <c r="D83" s="26" t="s">
        <v>166</v>
      </c>
      <c r="E83" s="29" t="s">
        <v>139</v>
      </c>
      <c r="F83" s="29" t="s">
        <v>158</v>
      </c>
      <c r="G83" s="1089" t="s">
        <v>167</v>
      </c>
      <c r="H83" s="1085"/>
      <c r="I83" s="1085"/>
      <c r="J83" s="491" t="s">
        <v>142</v>
      </c>
    </row>
    <row r="84" spans="1:10" ht="15">
      <c r="A84" s="515"/>
      <c r="B84" s="31"/>
      <c r="C84" s="31"/>
      <c r="D84" s="31"/>
      <c r="E84" s="31"/>
      <c r="F84" s="31"/>
      <c r="G84" s="31" t="s">
        <v>168</v>
      </c>
      <c r="H84" s="31" t="s">
        <v>169</v>
      </c>
      <c r="I84" s="31" t="s">
        <v>170</v>
      </c>
      <c r="J84" s="516"/>
    </row>
    <row r="85" spans="1:10" ht="38.25">
      <c r="A85" s="494" t="s">
        <v>166</v>
      </c>
      <c r="B85" s="8" t="s">
        <v>27</v>
      </c>
      <c r="C85" s="23" t="s">
        <v>385</v>
      </c>
      <c r="D85" s="23" t="s">
        <v>387</v>
      </c>
      <c r="E85" s="9">
        <v>2.4</v>
      </c>
      <c r="F85" s="8" t="s">
        <v>171</v>
      </c>
      <c r="G85" s="7" t="s">
        <v>388</v>
      </c>
      <c r="H85" s="7" t="s">
        <v>389</v>
      </c>
      <c r="I85" s="7" t="s">
        <v>390</v>
      </c>
      <c r="J85" s="514">
        <v>0</v>
      </c>
    </row>
    <row r="86" spans="1:10">
      <c r="A86" s="1083"/>
      <c r="B86" s="1084"/>
      <c r="C86" s="1084"/>
      <c r="D86" s="1084"/>
      <c r="E86" s="1084"/>
      <c r="F86" s="1084" t="s">
        <v>172</v>
      </c>
      <c r="G86" s="1084"/>
      <c r="H86" s="1084"/>
      <c r="I86" s="1084"/>
      <c r="J86" s="511">
        <v>0</v>
      </c>
    </row>
    <row r="87" spans="1:10">
      <c r="A87" s="498"/>
      <c r="B87" s="20"/>
      <c r="C87" s="499"/>
      <c r="D87" s="499"/>
      <c r="E87" s="499" t="s">
        <v>116</v>
      </c>
      <c r="F87" s="500">
        <v>53.39015155187932</v>
      </c>
      <c r="G87" s="499" t="s">
        <v>117</v>
      </c>
      <c r="H87" s="500">
        <v>0</v>
      </c>
      <c r="I87" s="499" t="s">
        <v>118</v>
      </c>
      <c r="J87" s="662">
        <v>53.39015155187932</v>
      </c>
    </row>
    <row r="88" spans="1:10" ht="15" customHeight="1">
      <c r="A88" s="498"/>
      <c r="B88" s="20"/>
      <c r="C88" s="499"/>
      <c r="D88" s="499"/>
      <c r="E88" s="499" t="s">
        <v>119</v>
      </c>
      <c r="F88" s="500">
        <f>J88-J61</f>
        <v>82.072565937363038</v>
      </c>
      <c r="G88" s="499"/>
      <c r="H88" s="1082" t="s">
        <v>120</v>
      </c>
      <c r="I88" s="1082"/>
      <c r="J88" s="501">
        <f>J61*(1+G2)</f>
        <v>473.45342400776383</v>
      </c>
    </row>
    <row r="89" spans="1:10" ht="15" customHeight="1" thickBot="1">
      <c r="A89" s="503"/>
      <c r="B89" s="666"/>
      <c r="C89" s="14"/>
      <c r="D89" s="14"/>
      <c r="E89" s="14"/>
      <c r="F89" s="14"/>
      <c r="G89" s="14" t="s">
        <v>121</v>
      </c>
      <c r="H89" s="504">
        <f>'OBRA 03 - MEMÓRIA'!O16</f>
        <v>428.72299999999996</v>
      </c>
      <c r="I89" s="14" t="s">
        <v>122</v>
      </c>
      <c r="J89" s="505">
        <f>TRUNC(H89*J88,2)</f>
        <v>202980.37</v>
      </c>
    </row>
    <row r="90" spans="1:10" ht="15" thickTop="1">
      <c r="A90" s="506"/>
      <c r="B90" s="230"/>
      <c r="C90" s="15"/>
      <c r="D90" s="15"/>
      <c r="E90" s="15"/>
      <c r="F90" s="15"/>
      <c r="G90" s="15"/>
      <c r="H90" s="15"/>
      <c r="I90" s="15"/>
      <c r="J90" s="507"/>
    </row>
    <row r="91" spans="1:10" ht="15">
      <c r="A91" s="490" t="s">
        <v>599</v>
      </c>
      <c r="B91" s="31" t="s">
        <v>7</v>
      </c>
      <c r="C91" s="26" t="s">
        <v>8</v>
      </c>
      <c r="D91" s="26" t="s">
        <v>9</v>
      </c>
      <c r="E91" s="1092" t="s">
        <v>92</v>
      </c>
      <c r="F91" s="1092"/>
      <c r="G91" s="31" t="s">
        <v>10</v>
      </c>
      <c r="H91" s="29" t="s">
        <v>11</v>
      </c>
      <c r="I91" s="29" t="s">
        <v>12</v>
      </c>
      <c r="J91" s="491" t="s">
        <v>14</v>
      </c>
    </row>
    <row r="92" spans="1:10" ht="51">
      <c r="A92" s="492" t="s">
        <v>93</v>
      </c>
      <c r="B92" s="4" t="s">
        <v>42</v>
      </c>
      <c r="C92" s="27" t="s">
        <v>24</v>
      </c>
      <c r="D92" s="27" t="s">
        <v>667</v>
      </c>
      <c r="E92" s="1079" t="s">
        <v>184</v>
      </c>
      <c r="F92" s="1079"/>
      <c r="G92" s="4" t="s">
        <v>28</v>
      </c>
      <c r="H92" s="5">
        <v>1</v>
      </c>
      <c r="I92" s="6">
        <v>7.67</v>
      </c>
      <c r="J92" s="493">
        <f>SUM(J93:J96)</f>
        <v>7.8073019999999991</v>
      </c>
    </row>
    <row r="93" spans="1:10" ht="51">
      <c r="A93" s="494" t="s">
        <v>95</v>
      </c>
      <c r="B93" s="8" t="s">
        <v>185</v>
      </c>
      <c r="C93" s="23" t="s">
        <v>24</v>
      </c>
      <c r="D93" s="23" t="s">
        <v>186</v>
      </c>
      <c r="E93" s="1080" t="s">
        <v>125</v>
      </c>
      <c r="F93" s="1080"/>
      <c r="G93" s="8" t="s">
        <v>126</v>
      </c>
      <c r="H93" s="9">
        <v>2.2499999999999999E-2</v>
      </c>
      <c r="I93" s="10">
        <v>186.94</v>
      </c>
      <c r="J93" s="495">
        <f>I93*H93</f>
        <v>4.2061500000000001</v>
      </c>
    </row>
    <row r="94" spans="1:10" ht="51">
      <c r="A94" s="494" t="s">
        <v>95</v>
      </c>
      <c r="B94" s="8" t="s">
        <v>187</v>
      </c>
      <c r="C94" s="23" t="s">
        <v>24</v>
      </c>
      <c r="D94" s="23" t="s">
        <v>188</v>
      </c>
      <c r="E94" s="1080" t="s">
        <v>125</v>
      </c>
      <c r="F94" s="1080"/>
      <c r="G94" s="8" t="s">
        <v>129</v>
      </c>
      <c r="H94" s="9">
        <v>1.8499999999999999E-2</v>
      </c>
      <c r="I94" s="10">
        <v>62.47</v>
      </c>
      <c r="J94" s="495">
        <f t="shared" ref="J94:J96" si="5">I94*H94</f>
        <v>1.1556949999999999</v>
      </c>
    </row>
    <row r="95" spans="1:10" ht="25.5">
      <c r="A95" s="494" t="s">
        <v>95</v>
      </c>
      <c r="B95" s="8" t="s">
        <v>200</v>
      </c>
      <c r="C95" s="23" t="s">
        <v>24</v>
      </c>
      <c r="D95" s="23" t="s">
        <v>201</v>
      </c>
      <c r="E95" s="1080" t="s">
        <v>125</v>
      </c>
      <c r="F95" s="1080"/>
      <c r="G95" s="8" t="s">
        <v>126</v>
      </c>
      <c r="H95" s="9">
        <v>4.1999999999999997E-3</v>
      </c>
      <c r="I95" s="10">
        <v>257.7</v>
      </c>
      <c r="J95" s="495">
        <f t="shared" si="5"/>
        <v>1.0823399999999999</v>
      </c>
    </row>
    <row r="96" spans="1:10" ht="25.5">
      <c r="A96" s="494" t="s">
        <v>95</v>
      </c>
      <c r="B96" s="8" t="s">
        <v>202</v>
      </c>
      <c r="C96" s="23" t="s">
        <v>24</v>
      </c>
      <c r="D96" s="23" t="s">
        <v>203</v>
      </c>
      <c r="E96" s="1080" t="s">
        <v>125</v>
      </c>
      <c r="F96" s="1080"/>
      <c r="G96" s="8" t="s">
        <v>129</v>
      </c>
      <c r="H96" s="9">
        <v>1.3299999999999999E-2</v>
      </c>
      <c r="I96" s="10">
        <v>102.49</v>
      </c>
      <c r="J96" s="495">
        <f t="shared" si="5"/>
        <v>1.3631169999999999</v>
      </c>
    </row>
    <row r="97" spans="1:10" ht="15" customHeight="1">
      <c r="A97" s="498"/>
      <c r="B97" s="20"/>
      <c r="C97" s="499"/>
      <c r="D97" s="499"/>
      <c r="E97" s="499" t="s">
        <v>116</v>
      </c>
      <c r="F97" s="500">
        <v>1.4</v>
      </c>
      <c r="G97" s="499" t="s">
        <v>117</v>
      </c>
      <c r="H97" s="500">
        <v>0</v>
      </c>
      <c r="I97" s="499" t="s">
        <v>118</v>
      </c>
      <c r="J97" s="501">
        <v>1.4</v>
      </c>
    </row>
    <row r="98" spans="1:10">
      <c r="A98" s="498"/>
      <c r="B98" s="20"/>
      <c r="C98" s="499"/>
      <c r="D98" s="499"/>
      <c r="E98" s="499" t="s">
        <v>119</v>
      </c>
      <c r="F98" s="500">
        <f>J98-J92</f>
        <v>1.6371912293999999</v>
      </c>
      <c r="G98" s="499"/>
      <c r="H98" s="1082" t="s">
        <v>120</v>
      </c>
      <c r="I98" s="1082"/>
      <c r="J98" s="501">
        <f>J92*(1+G2)</f>
        <v>9.444493229399999</v>
      </c>
    </row>
    <row r="99" spans="1:10" ht="15" thickBot="1">
      <c r="A99" s="503"/>
      <c r="B99" s="666"/>
      <c r="C99" s="14"/>
      <c r="D99" s="14"/>
      <c r="E99" s="14"/>
      <c r="F99" s="14"/>
      <c r="G99" s="14" t="s">
        <v>121</v>
      </c>
      <c r="H99" s="504">
        <f>'OBRA 03 - MEMÓRIA'!O18</f>
        <v>496.98951499999993</v>
      </c>
      <c r="I99" s="14" t="s">
        <v>122</v>
      </c>
      <c r="J99" s="505">
        <f>TRUNC(H99*J98,2)</f>
        <v>4693.8100000000004</v>
      </c>
    </row>
    <row r="100" spans="1:10" ht="15" thickTop="1">
      <c r="A100" s="506"/>
      <c r="B100" s="230"/>
      <c r="C100" s="15"/>
      <c r="D100" s="15"/>
      <c r="E100" s="15"/>
      <c r="F100" s="15"/>
      <c r="G100" s="15"/>
      <c r="H100" s="15"/>
      <c r="I100" s="15"/>
      <c r="J100" s="507"/>
    </row>
    <row r="101" spans="1:10" ht="15">
      <c r="A101" s="490" t="s">
        <v>456</v>
      </c>
      <c r="B101" s="31" t="s">
        <v>7</v>
      </c>
      <c r="C101" s="26" t="s">
        <v>8</v>
      </c>
      <c r="D101" s="26" t="s">
        <v>9</v>
      </c>
      <c r="E101" s="1092" t="s">
        <v>92</v>
      </c>
      <c r="F101" s="1092"/>
      <c r="G101" s="31" t="s">
        <v>10</v>
      </c>
      <c r="H101" s="29" t="s">
        <v>11</v>
      </c>
      <c r="I101" s="29" t="s">
        <v>12</v>
      </c>
      <c r="J101" s="491" t="s">
        <v>14</v>
      </c>
    </row>
    <row r="102" spans="1:10" ht="38.25">
      <c r="A102" s="492" t="s">
        <v>93</v>
      </c>
      <c r="B102" s="4" t="s">
        <v>34</v>
      </c>
      <c r="C102" s="27" t="s">
        <v>24</v>
      </c>
      <c r="D102" s="27" t="s">
        <v>656</v>
      </c>
      <c r="E102" s="1079" t="s">
        <v>184</v>
      </c>
      <c r="F102" s="1079"/>
      <c r="G102" s="4" t="s">
        <v>36</v>
      </c>
      <c r="H102" s="5">
        <v>1</v>
      </c>
      <c r="I102" s="6">
        <v>2.92</v>
      </c>
      <c r="J102" s="493">
        <f>SUM(J103:J104)</f>
        <v>2.9732859999999999</v>
      </c>
    </row>
    <row r="103" spans="1:10" ht="51">
      <c r="A103" s="494" t="s">
        <v>95</v>
      </c>
      <c r="B103" s="8" t="s">
        <v>185</v>
      </c>
      <c r="C103" s="23" t="s">
        <v>24</v>
      </c>
      <c r="D103" s="23" t="s">
        <v>186</v>
      </c>
      <c r="E103" s="1080" t="s">
        <v>125</v>
      </c>
      <c r="F103" s="1080"/>
      <c r="G103" s="8" t="s">
        <v>126</v>
      </c>
      <c r="H103" s="9">
        <v>1.3899999999999999E-2</v>
      </c>
      <c r="I103" s="10">
        <v>186.94</v>
      </c>
      <c r="J103" s="495">
        <f>I103*H103</f>
        <v>2.5984659999999997</v>
      </c>
    </row>
    <row r="104" spans="1:10" ht="51">
      <c r="A104" s="494" t="s">
        <v>95</v>
      </c>
      <c r="B104" s="8" t="s">
        <v>187</v>
      </c>
      <c r="C104" s="23" t="s">
        <v>24</v>
      </c>
      <c r="D104" s="23" t="s">
        <v>188</v>
      </c>
      <c r="E104" s="1080" t="s">
        <v>125</v>
      </c>
      <c r="F104" s="1080"/>
      <c r="G104" s="8" t="s">
        <v>129</v>
      </c>
      <c r="H104" s="9">
        <v>6.0000000000000001E-3</v>
      </c>
      <c r="I104" s="10">
        <v>62.47</v>
      </c>
      <c r="J104" s="495">
        <f>I104*H104</f>
        <v>0.37481999999999999</v>
      </c>
    </row>
    <row r="105" spans="1:10">
      <c r="A105" s="498"/>
      <c r="B105" s="20"/>
      <c r="C105" s="499"/>
      <c r="D105" s="499"/>
      <c r="E105" s="499" t="s">
        <v>116</v>
      </c>
      <c r="F105" s="500">
        <v>0.41</v>
      </c>
      <c r="G105" s="499" t="s">
        <v>117</v>
      </c>
      <c r="H105" s="500">
        <v>0</v>
      </c>
      <c r="I105" s="499" t="s">
        <v>118</v>
      </c>
      <c r="J105" s="501">
        <v>0.41</v>
      </c>
    </row>
    <row r="106" spans="1:10">
      <c r="A106" s="498"/>
      <c r="B106" s="20"/>
      <c r="C106" s="499"/>
      <c r="D106" s="499"/>
      <c r="E106" s="499" t="s">
        <v>119</v>
      </c>
      <c r="F106" s="500">
        <f>J106-J102</f>
        <v>0.62349807420000003</v>
      </c>
      <c r="G106" s="499"/>
      <c r="H106" s="1082" t="s">
        <v>120</v>
      </c>
      <c r="I106" s="1082"/>
      <c r="J106" s="501">
        <f>J102*(1+G2)</f>
        <v>3.5967840741999999</v>
      </c>
    </row>
    <row r="107" spans="1:10" ht="15" thickBot="1">
      <c r="A107" s="503"/>
      <c r="B107" s="666"/>
      <c r="C107" s="14"/>
      <c r="D107" s="14"/>
      <c r="E107" s="14"/>
      <c r="F107" s="14"/>
      <c r="G107" s="14" t="s">
        <v>121</v>
      </c>
      <c r="H107" s="504">
        <f>'OBRA 03 - MEMÓRIA'!O23</f>
        <v>14909.685449999997</v>
      </c>
      <c r="I107" s="14" t="s">
        <v>122</v>
      </c>
      <c r="J107" s="505">
        <f>TRUNC(H107*J106,2)</f>
        <v>53626.91</v>
      </c>
    </row>
    <row r="108" spans="1:10" ht="15" thickTop="1">
      <c r="A108" s="506"/>
      <c r="B108" s="230"/>
      <c r="C108" s="15"/>
      <c r="D108" s="15"/>
      <c r="E108" s="15"/>
      <c r="F108" s="15"/>
      <c r="G108" s="15"/>
      <c r="H108" s="15"/>
      <c r="I108" s="15"/>
      <c r="J108" s="507"/>
    </row>
    <row r="109" spans="1:10">
      <c r="A109" s="518" t="s">
        <v>37</v>
      </c>
      <c r="B109" s="229"/>
      <c r="C109" s="25"/>
      <c r="D109" s="25" t="s">
        <v>38</v>
      </c>
      <c r="E109" s="25"/>
      <c r="F109" s="1090"/>
      <c r="G109" s="1090"/>
      <c r="H109" s="1"/>
      <c r="I109" s="25"/>
      <c r="J109" s="519">
        <f>J118+J141+J149</f>
        <v>229096.46000000002</v>
      </c>
    </row>
    <row r="110" spans="1:10" ht="15">
      <c r="A110" s="490" t="s">
        <v>39</v>
      </c>
      <c r="B110" s="31" t="s">
        <v>7</v>
      </c>
      <c r="C110" s="26" t="s">
        <v>8</v>
      </c>
      <c r="D110" s="26" t="s">
        <v>9</v>
      </c>
      <c r="E110" s="1092" t="s">
        <v>92</v>
      </c>
      <c r="F110" s="1092"/>
      <c r="G110" s="31" t="s">
        <v>10</v>
      </c>
      <c r="H110" s="29" t="s">
        <v>11</v>
      </c>
      <c r="I110" s="29" t="s">
        <v>12</v>
      </c>
      <c r="J110" s="491" t="s">
        <v>14</v>
      </c>
    </row>
    <row r="111" spans="1:10" ht="38.25">
      <c r="A111" s="492" t="s">
        <v>93</v>
      </c>
      <c r="B111" s="4">
        <v>101124</v>
      </c>
      <c r="C111" s="27" t="s">
        <v>24</v>
      </c>
      <c r="D111" s="27" t="s">
        <v>397</v>
      </c>
      <c r="E111" s="1079" t="s">
        <v>189</v>
      </c>
      <c r="F111" s="1079"/>
      <c r="G111" s="4" t="s">
        <v>28</v>
      </c>
      <c r="H111" s="5">
        <v>1</v>
      </c>
      <c r="I111" s="6">
        <v>15.26</v>
      </c>
      <c r="J111" s="493">
        <f>SUM(J112:J115)</f>
        <v>15.327324999999998</v>
      </c>
    </row>
    <row r="112" spans="1:10" ht="25.5">
      <c r="A112" s="494" t="s">
        <v>95</v>
      </c>
      <c r="B112" s="8" t="s">
        <v>398</v>
      </c>
      <c r="C112" s="23" t="s">
        <v>24</v>
      </c>
      <c r="D112" s="23" t="s">
        <v>104</v>
      </c>
      <c r="E112" s="1080" t="s">
        <v>125</v>
      </c>
      <c r="F112" s="1080"/>
      <c r="G112" s="8" t="s">
        <v>102</v>
      </c>
      <c r="H112" s="9" t="s">
        <v>405</v>
      </c>
      <c r="I112" s="10">
        <v>21.05</v>
      </c>
      <c r="J112" s="495">
        <f>I112*H112</f>
        <v>0.65254999999999996</v>
      </c>
    </row>
    <row r="113" spans="1:10" ht="25.5">
      <c r="A113" s="494" t="s">
        <v>95</v>
      </c>
      <c r="B113" s="8" t="s">
        <v>399</v>
      </c>
      <c r="C113" s="23" t="s">
        <v>24</v>
      </c>
      <c r="D113" s="23" t="s">
        <v>401</v>
      </c>
      <c r="E113" s="1080" t="s">
        <v>125</v>
      </c>
      <c r="F113" s="1080"/>
      <c r="G113" s="8" t="s">
        <v>126</v>
      </c>
      <c r="H113" s="9" t="s">
        <v>407</v>
      </c>
      <c r="I113" s="10">
        <v>80.77</v>
      </c>
      <c r="J113" s="495">
        <f t="shared" ref="J113:J115" si="6">I113*H113</f>
        <v>1.5750149999999998</v>
      </c>
    </row>
    <row r="114" spans="1:10" ht="25.5">
      <c r="A114" s="494" t="s">
        <v>95</v>
      </c>
      <c r="B114" s="8" t="s">
        <v>400</v>
      </c>
      <c r="C114" s="23" t="s">
        <v>24</v>
      </c>
      <c r="D114" s="23" t="s">
        <v>402</v>
      </c>
      <c r="E114" s="1080" t="s">
        <v>101</v>
      </c>
      <c r="F114" s="1080"/>
      <c r="G114" s="8" t="s">
        <v>129</v>
      </c>
      <c r="H114" s="9" t="s">
        <v>408</v>
      </c>
      <c r="I114" s="10">
        <v>203.24</v>
      </c>
      <c r="J114" s="495">
        <f t="shared" si="6"/>
        <v>2.3372600000000001</v>
      </c>
    </row>
    <row r="115" spans="1:10" ht="51">
      <c r="A115" s="494" t="s">
        <v>95</v>
      </c>
      <c r="B115" s="8">
        <v>100974</v>
      </c>
      <c r="C115" s="23" t="s">
        <v>24</v>
      </c>
      <c r="D115" s="23" t="s">
        <v>403</v>
      </c>
      <c r="E115" s="1080" t="s">
        <v>184</v>
      </c>
      <c r="F115" s="1080"/>
      <c r="G115" s="8" t="s">
        <v>404</v>
      </c>
      <c r="H115" s="9" t="s">
        <v>409</v>
      </c>
      <c r="I115" s="10">
        <v>8.61</v>
      </c>
      <c r="J115" s="495">
        <f t="shared" si="6"/>
        <v>10.762499999999999</v>
      </c>
    </row>
    <row r="116" spans="1:10">
      <c r="A116" s="498"/>
      <c r="B116" s="20"/>
      <c r="C116" s="499"/>
      <c r="D116" s="499"/>
      <c r="E116" s="499" t="s">
        <v>116</v>
      </c>
      <c r="F116" s="500">
        <v>1.3</v>
      </c>
      <c r="G116" s="499" t="s">
        <v>117</v>
      </c>
      <c r="H116" s="500">
        <v>0</v>
      </c>
      <c r="I116" s="499" t="s">
        <v>118</v>
      </c>
      <c r="J116" s="501">
        <v>1.3</v>
      </c>
    </row>
    <row r="117" spans="1:10">
      <c r="A117" s="498"/>
      <c r="B117" s="20"/>
      <c r="C117" s="499"/>
      <c r="D117" s="499"/>
      <c r="E117" s="499" t="s">
        <v>119</v>
      </c>
      <c r="F117" s="500">
        <f>J117-J111</f>
        <v>3.2141400524999995</v>
      </c>
      <c r="G117" s="499"/>
      <c r="H117" s="1082" t="s">
        <v>120</v>
      </c>
      <c r="I117" s="1082"/>
      <c r="J117" s="501">
        <f>J111*(1+G2)</f>
        <v>18.541465052499998</v>
      </c>
    </row>
    <row r="118" spans="1:10" ht="15" thickBot="1">
      <c r="A118" s="503"/>
      <c r="B118" s="666"/>
      <c r="C118" s="14"/>
      <c r="D118" s="14"/>
      <c r="E118" s="14"/>
      <c r="F118" s="14"/>
      <c r="G118" s="14" t="s">
        <v>121</v>
      </c>
      <c r="H118" s="504">
        <f>'OBRA 03 - MEMÓRIA'!O26</f>
        <v>1437.6918400000002</v>
      </c>
      <c r="I118" s="14" t="s">
        <v>122</v>
      </c>
      <c r="J118" s="505">
        <f>TRUNC(H118*J117,2)</f>
        <v>26656.91</v>
      </c>
    </row>
    <row r="119" spans="1:10" ht="15" thickTop="1">
      <c r="A119" s="506"/>
      <c r="B119" s="230"/>
      <c r="C119" s="15"/>
      <c r="D119" s="15"/>
      <c r="E119" s="15"/>
      <c r="F119" s="15"/>
      <c r="G119" s="15"/>
      <c r="H119" s="15"/>
      <c r="I119" s="15"/>
      <c r="J119" s="507"/>
    </row>
    <row r="120" spans="1:10" ht="15">
      <c r="A120" s="490" t="s">
        <v>40</v>
      </c>
      <c r="B120" s="31" t="s">
        <v>7</v>
      </c>
      <c r="C120" s="26" t="s">
        <v>8</v>
      </c>
      <c r="D120" s="26" t="s">
        <v>9</v>
      </c>
      <c r="E120" s="1092" t="s">
        <v>92</v>
      </c>
      <c r="F120" s="1092"/>
      <c r="G120" s="31" t="s">
        <v>10</v>
      </c>
      <c r="H120" s="29" t="s">
        <v>11</v>
      </c>
      <c r="I120" s="29" t="s">
        <v>12</v>
      </c>
      <c r="J120" s="491" t="s">
        <v>14</v>
      </c>
    </row>
    <row r="121" spans="1:10">
      <c r="A121" s="492" t="s">
        <v>93</v>
      </c>
      <c r="B121" s="4" t="s">
        <v>41</v>
      </c>
      <c r="C121" s="27" t="s">
        <v>27</v>
      </c>
      <c r="D121" s="27" t="s">
        <v>562</v>
      </c>
      <c r="E121" s="1079" t="s">
        <v>136</v>
      </c>
      <c r="F121" s="1079"/>
      <c r="G121" s="4" t="s">
        <v>28</v>
      </c>
      <c r="H121" s="5">
        <v>1</v>
      </c>
      <c r="I121" s="6">
        <v>4.8899999999999997</v>
      </c>
      <c r="J121" s="493">
        <f>SUM(J136+J138)</f>
        <v>4.9014837633769313</v>
      </c>
    </row>
    <row r="122" spans="1:10" ht="15">
      <c r="A122" s="1096" t="s">
        <v>137</v>
      </c>
      <c r="B122" s="1089" t="s">
        <v>7</v>
      </c>
      <c r="C122" s="1092" t="s">
        <v>8</v>
      </c>
      <c r="D122" s="1092" t="s">
        <v>138</v>
      </c>
      <c r="E122" s="1085" t="s">
        <v>139</v>
      </c>
      <c r="F122" s="1089" t="s">
        <v>140</v>
      </c>
      <c r="G122" s="1085"/>
      <c r="H122" s="1089" t="s">
        <v>141</v>
      </c>
      <c r="I122" s="1085"/>
      <c r="J122" s="1103" t="s">
        <v>142</v>
      </c>
    </row>
    <row r="123" spans="1:10" ht="15">
      <c r="A123" s="1097"/>
      <c r="B123" s="1089"/>
      <c r="C123" s="1085"/>
      <c r="D123" s="1085"/>
      <c r="E123" s="1085"/>
      <c r="F123" s="29" t="s">
        <v>143</v>
      </c>
      <c r="G123" s="29" t="s">
        <v>144</v>
      </c>
      <c r="H123" s="29" t="s">
        <v>143</v>
      </c>
      <c r="I123" s="29" t="s">
        <v>144</v>
      </c>
      <c r="J123" s="1103"/>
    </row>
    <row r="124" spans="1:10">
      <c r="A124" s="496" t="s">
        <v>105</v>
      </c>
      <c r="B124" s="11" t="s">
        <v>190</v>
      </c>
      <c r="C124" s="24" t="s">
        <v>27</v>
      </c>
      <c r="D124" s="24" t="s">
        <v>191</v>
      </c>
      <c r="E124" s="12">
        <v>1</v>
      </c>
      <c r="F124" s="13">
        <v>0.9</v>
      </c>
      <c r="G124" s="13">
        <v>0.1</v>
      </c>
      <c r="H124" s="30">
        <v>317.52929999999998</v>
      </c>
      <c r="I124" s="30">
        <v>83.430800000000005</v>
      </c>
      <c r="J124" s="510">
        <f>E124*(F124*H124+G124*I124)</f>
        <v>294.11944999999997</v>
      </c>
    </row>
    <row r="125" spans="1:10">
      <c r="A125" s="496" t="s">
        <v>105</v>
      </c>
      <c r="B125" s="11" t="s">
        <v>192</v>
      </c>
      <c r="C125" s="24" t="s">
        <v>27</v>
      </c>
      <c r="D125" s="24" t="s">
        <v>193</v>
      </c>
      <c r="E125" s="12">
        <v>1</v>
      </c>
      <c r="F125" s="13">
        <v>0.52</v>
      </c>
      <c r="G125" s="13">
        <v>0.48</v>
      </c>
      <c r="H125" s="30">
        <v>5.0606</v>
      </c>
      <c r="I125" s="30">
        <v>3.5240999999999998</v>
      </c>
      <c r="J125" s="510">
        <f t="shared" ref="J125:J128" si="7">E125*(F125*H125+G125*I125)</f>
        <v>4.32308</v>
      </c>
    </row>
    <row r="126" spans="1:10">
      <c r="A126" s="496" t="s">
        <v>105</v>
      </c>
      <c r="B126" s="11" t="s">
        <v>194</v>
      </c>
      <c r="C126" s="24" t="s">
        <v>27</v>
      </c>
      <c r="D126" s="24" t="s">
        <v>195</v>
      </c>
      <c r="E126" s="12">
        <v>1</v>
      </c>
      <c r="F126" s="13">
        <v>0.28999999999999998</v>
      </c>
      <c r="G126" s="13">
        <v>0.71</v>
      </c>
      <c r="H126" s="30">
        <v>283.78109999999998</v>
      </c>
      <c r="I126" s="30">
        <v>123.81480000000001</v>
      </c>
      <c r="J126" s="510">
        <f t="shared" si="7"/>
        <v>170.20502699999997</v>
      </c>
    </row>
    <row r="127" spans="1:10" ht="25.5">
      <c r="A127" s="496" t="s">
        <v>105</v>
      </c>
      <c r="B127" s="11" t="s">
        <v>196</v>
      </c>
      <c r="C127" s="24" t="s">
        <v>27</v>
      </c>
      <c r="D127" s="24" t="s">
        <v>197</v>
      </c>
      <c r="E127" s="12">
        <v>1</v>
      </c>
      <c r="F127" s="13">
        <v>1</v>
      </c>
      <c r="G127" s="13">
        <v>0</v>
      </c>
      <c r="H127" s="30">
        <v>215.97239999999999</v>
      </c>
      <c r="I127" s="30">
        <v>96.660799999999995</v>
      </c>
      <c r="J127" s="510">
        <f t="shared" si="7"/>
        <v>215.97239999999999</v>
      </c>
    </row>
    <row r="128" spans="1:10">
      <c r="A128" s="496" t="s">
        <v>105</v>
      </c>
      <c r="B128" s="11" t="s">
        <v>198</v>
      </c>
      <c r="C128" s="24" t="s">
        <v>27</v>
      </c>
      <c r="D128" s="24" t="s">
        <v>199</v>
      </c>
      <c r="E128" s="12">
        <v>1</v>
      </c>
      <c r="F128" s="13">
        <v>0.52</v>
      </c>
      <c r="G128" s="13">
        <v>0.48</v>
      </c>
      <c r="H128" s="30">
        <v>150.51249999999999</v>
      </c>
      <c r="I128" s="30">
        <v>56.817900000000002</v>
      </c>
      <c r="J128" s="510">
        <f t="shared" si="7"/>
        <v>105.539092</v>
      </c>
    </row>
    <row r="129" spans="1:10">
      <c r="A129" s="1083"/>
      <c r="B129" s="1084"/>
      <c r="C129" s="1084"/>
      <c r="D129" s="1084"/>
      <c r="E129" s="1084"/>
      <c r="F129" s="1084" t="s">
        <v>145</v>
      </c>
      <c r="G129" s="1084"/>
      <c r="H129" s="1084"/>
      <c r="I129" s="1084"/>
      <c r="J129" s="511">
        <f>SUM(J124:J128)</f>
        <v>790.15904899999987</v>
      </c>
    </row>
    <row r="130" spans="1:10" ht="15">
      <c r="A130" s="490" t="s">
        <v>146</v>
      </c>
      <c r="B130" s="31" t="s">
        <v>7</v>
      </c>
      <c r="C130" s="26" t="s">
        <v>8</v>
      </c>
      <c r="D130" s="26" t="s">
        <v>147</v>
      </c>
      <c r="E130" s="29" t="s">
        <v>139</v>
      </c>
      <c r="F130" s="1085" t="s">
        <v>148</v>
      </c>
      <c r="G130" s="1085"/>
      <c r="H130" s="1085"/>
      <c r="I130" s="1085"/>
      <c r="J130" s="491" t="s">
        <v>142</v>
      </c>
    </row>
    <row r="131" spans="1:10">
      <c r="A131" s="496" t="s">
        <v>105</v>
      </c>
      <c r="B131" s="11">
        <v>88136</v>
      </c>
      <c r="C131" s="24" t="s">
        <v>24</v>
      </c>
      <c r="D131" s="24" t="s">
        <v>149</v>
      </c>
      <c r="E131" s="12">
        <v>1</v>
      </c>
      <c r="F131" s="24"/>
      <c r="G131" s="24"/>
      <c r="H131" s="24"/>
      <c r="I131" s="30">
        <v>21.05</v>
      </c>
      <c r="J131" s="510">
        <f>I131*E131</f>
        <v>21.05</v>
      </c>
    </row>
    <row r="132" spans="1:10">
      <c r="A132" s="1083"/>
      <c r="B132" s="1084"/>
      <c r="C132" s="1084"/>
      <c r="D132" s="1084"/>
      <c r="E132" s="1084"/>
      <c r="F132" s="1084" t="s">
        <v>150</v>
      </c>
      <c r="G132" s="1084"/>
      <c r="H132" s="1084"/>
      <c r="I132" s="1084"/>
      <c r="J132" s="511">
        <f>J131</f>
        <v>21.05</v>
      </c>
    </row>
    <row r="133" spans="1:10">
      <c r="A133" s="1083"/>
      <c r="B133" s="1084"/>
      <c r="C133" s="1084"/>
      <c r="D133" s="1084"/>
      <c r="E133" s="1084"/>
      <c r="F133" s="1084" t="s">
        <v>151</v>
      </c>
      <c r="G133" s="1084"/>
      <c r="H133" s="1084"/>
      <c r="I133" s="1084"/>
      <c r="J133" s="511">
        <v>0</v>
      </c>
    </row>
    <row r="134" spans="1:10">
      <c r="A134" s="1083"/>
      <c r="B134" s="1084"/>
      <c r="C134" s="1084"/>
      <c r="D134" s="1084"/>
      <c r="E134" s="1084"/>
      <c r="F134" s="1084" t="s">
        <v>152</v>
      </c>
      <c r="G134" s="1084"/>
      <c r="H134" s="1084"/>
      <c r="I134" s="1084"/>
      <c r="J134" s="511">
        <f>J132+J129</f>
        <v>811.20904899999982</v>
      </c>
    </row>
    <row r="135" spans="1:10">
      <c r="A135" s="1083"/>
      <c r="B135" s="1084"/>
      <c r="C135" s="1084"/>
      <c r="D135" s="1084"/>
      <c r="E135" s="1084"/>
      <c r="F135" s="1084" t="s">
        <v>153</v>
      </c>
      <c r="G135" s="1084"/>
      <c r="H135" s="1084"/>
      <c r="I135" s="1084"/>
      <c r="J135" s="511">
        <v>1.6299999999999999E-2</v>
      </c>
    </row>
    <row r="136" spans="1:10">
      <c r="A136" s="1083"/>
      <c r="B136" s="1084"/>
      <c r="C136" s="1084"/>
      <c r="D136" s="1084"/>
      <c r="E136" s="1084"/>
      <c r="F136" s="1084" t="s">
        <v>154</v>
      </c>
      <c r="G136" s="1084"/>
      <c r="H136" s="1084"/>
      <c r="I136" s="1084"/>
      <c r="J136" s="511">
        <v>7.8600000000000003E-2</v>
      </c>
    </row>
    <row r="137" spans="1:10">
      <c r="A137" s="1083"/>
      <c r="B137" s="1084"/>
      <c r="C137" s="1084"/>
      <c r="D137" s="1084"/>
      <c r="E137" s="1084"/>
      <c r="F137" s="1084" t="s">
        <v>155</v>
      </c>
      <c r="G137" s="1084"/>
      <c r="H137" s="1084"/>
      <c r="I137" s="1084"/>
      <c r="J137" s="511">
        <v>168.2</v>
      </c>
    </row>
    <row r="138" spans="1:10">
      <c r="A138" s="1083"/>
      <c r="B138" s="1084"/>
      <c r="C138" s="1084"/>
      <c r="D138" s="1084"/>
      <c r="E138" s="1084"/>
      <c r="F138" s="1084" t="s">
        <v>156</v>
      </c>
      <c r="G138" s="1084"/>
      <c r="H138" s="1084"/>
      <c r="I138" s="1084"/>
      <c r="J138" s="511">
        <f>J134/J137</f>
        <v>4.8228837633769315</v>
      </c>
    </row>
    <row r="139" spans="1:10">
      <c r="A139" s="498"/>
      <c r="B139" s="20"/>
      <c r="C139" s="499"/>
      <c r="D139" s="499"/>
      <c r="E139" s="499" t="s">
        <v>116</v>
      </c>
      <c r="F139" s="500">
        <v>0.12714447086801428</v>
      </c>
      <c r="G139" s="499" t="s">
        <v>117</v>
      </c>
      <c r="H139" s="500">
        <v>0</v>
      </c>
      <c r="I139" s="499" t="s">
        <v>118</v>
      </c>
      <c r="J139" s="501">
        <v>0.12714447086801428</v>
      </c>
    </row>
    <row r="140" spans="1:10">
      <c r="A140" s="498"/>
      <c r="B140" s="20"/>
      <c r="C140" s="499"/>
      <c r="D140" s="499"/>
      <c r="E140" s="499" t="s">
        <v>119</v>
      </c>
      <c r="F140" s="500">
        <f>J140-J121</f>
        <v>1.0278411451801421</v>
      </c>
      <c r="G140" s="499"/>
      <c r="H140" s="1082" t="s">
        <v>120</v>
      </c>
      <c r="I140" s="1082"/>
      <c r="J140" s="501">
        <f>J121*(1+G2)</f>
        <v>5.9293249085570734</v>
      </c>
    </row>
    <row r="141" spans="1:10" ht="15" thickBot="1">
      <c r="A141" s="503"/>
      <c r="B141" s="666"/>
      <c r="C141" s="14"/>
      <c r="D141" s="14"/>
      <c r="E141" s="14"/>
      <c r="F141" s="14"/>
      <c r="G141" s="14" t="s">
        <v>121</v>
      </c>
      <c r="H141" s="504">
        <f>'OBRA 03 - MEMÓRIA'!O28</f>
        <v>1437.6918400000002</v>
      </c>
      <c r="I141" s="14" t="s">
        <v>122</v>
      </c>
      <c r="J141" s="505">
        <f>TRUNC(H141*J140,2)</f>
        <v>8524.5400000000009</v>
      </c>
    </row>
    <row r="142" spans="1:10" ht="15" thickTop="1">
      <c r="A142" s="506"/>
      <c r="B142" s="230"/>
      <c r="C142" s="15"/>
      <c r="D142" s="15"/>
      <c r="E142" s="15"/>
      <c r="F142" s="15"/>
      <c r="G142" s="15"/>
      <c r="H142" s="15"/>
      <c r="I142" s="15"/>
      <c r="J142" s="507"/>
    </row>
    <row r="143" spans="1:10" ht="15">
      <c r="A143" s="490" t="s">
        <v>396</v>
      </c>
      <c r="B143" s="31" t="s">
        <v>7</v>
      </c>
      <c r="C143" s="26" t="s">
        <v>8</v>
      </c>
      <c r="D143" s="26" t="s">
        <v>9</v>
      </c>
      <c r="E143" s="1092" t="s">
        <v>92</v>
      </c>
      <c r="F143" s="1092"/>
      <c r="G143" s="31" t="s">
        <v>10</v>
      </c>
      <c r="H143" s="29" t="s">
        <v>11</v>
      </c>
      <c r="I143" s="29" t="s">
        <v>12</v>
      </c>
      <c r="J143" s="491" t="s">
        <v>14</v>
      </c>
    </row>
    <row r="144" spans="1:10" ht="25.5">
      <c r="A144" s="492" t="s">
        <v>93</v>
      </c>
      <c r="B144" s="4" t="s">
        <v>34</v>
      </c>
      <c r="C144" s="27" t="s">
        <v>24</v>
      </c>
      <c r="D144" s="27" t="s">
        <v>654</v>
      </c>
      <c r="E144" s="1079" t="s">
        <v>184</v>
      </c>
      <c r="F144" s="1079"/>
      <c r="G144" s="4" t="s">
        <v>36</v>
      </c>
      <c r="H144" s="5">
        <v>1</v>
      </c>
      <c r="I144" s="6">
        <v>2.92</v>
      </c>
      <c r="J144" s="493">
        <f>SUM(J145:J146)</f>
        <v>2.9732859999999999</v>
      </c>
    </row>
    <row r="145" spans="1:10" ht="51">
      <c r="A145" s="494" t="s">
        <v>95</v>
      </c>
      <c r="B145" s="8" t="s">
        <v>185</v>
      </c>
      <c r="C145" s="23" t="s">
        <v>24</v>
      </c>
      <c r="D145" s="23" t="s">
        <v>186</v>
      </c>
      <c r="E145" s="1080" t="s">
        <v>125</v>
      </c>
      <c r="F145" s="1080"/>
      <c r="G145" s="8" t="s">
        <v>126</v>
      </c>
      <c r="H145" s="9">
        <v>1.3899999999999999E-2</v>
      </c>
      <c r="I145" s="10">
        <v>186.94</v>
      </c>
      <c r="J145" s="495">
        <f>I145*H145</f>
        <v>2.5984659999999997</v>
      </c>
    </row>
    <row r="146" spans="1:10" ht="51">
      <c r="A146" s="494" t="s">
        <v>95</v>
      </c>
      <c r="B146" s="8" t="s">
        <v>187</v>
      </c>
      <c r="C146" s="23" t="s">
        <v>24</v>
      </c>
      <c r="D146" s="23" t="s">
        <v>188</v>
      </c>
      <c r="E146" s="1080" t="s">
        <v>125</v>
      </c>
      <c r="F146" s="1080"/>
      <c r="G146" s="8" t="s">
        <v>129</v>
      </c>
      <c r="H146" s="9">
        <v>6.0000000000000001E-3</v>
      </c>
      <c r="I146" s="10">
        <v>62.47</v>
      </c>
      <c r="J146" s="495">
        <f>I146*H146</f>
        <v>0.37481999999999999</v>
      </c>
    </row>
    <row r="147" spans="1:10">
      <c r="A147" s="498"/>
      <c r="B147" s="20"/>
      <c r="C147" s="499"/>
      <c r="D147" s="499"/>
      <c r="E147" s="499" t="s">
        <v>116</v>
      </c>
      <c r="F147" s="500">
        <v>0.41</v>
      </c>
      <c r="G147" s="499" t="s">
        <v>117</v>
      </c>
      <c r="H147" s="500">
        <v>0</v>
      </c>
      <c r="I147" s="499" t="s">
        <v>118</v>
      </c>
      <c r="J147" s="501">
        <v>0.41</v>
      </c>
    </row>
    <row r="148" spans="1:10">
      <c r="A148" s="498"/>
      <c r="B148" s="20"/>
      <c r="C148" s="499"/>
      <c r="D148" s="499"/>
      <c r="E148" s="499" t="s">
        <v>119</v>
      </c>
      <c r="F148" s="500">
        <f>J148-J144</f>
        <v>0.62349807420000003</v>
      </c>
      <c r="G148" s="499"/>
      <c r="H148" s="1082" t="s">
        <v>120</v>
      </c>
      <c r="I148" s="1082"/>
      <c r="J148" s="501">
        <f>J144*(1+G2)</f>
        <v>3.5967840741999999</v>
      </c>
    </row>
    <row r="149" spans="1:10" ht="15" thickBot="1">
      <c r="A149" s="503"/>
      <c r="B149" s="666"/>
      <c r="C149" s="14"/>
      <c r="D149" s="14"/>
      <c r="E149" s="14"/>
      <c r="F149" s="14"/>
      <c r="G149" s="14" t="s">
        <v>121</v>
      </c>
      <c r="H149" s="504">
        <f>'OBRA 03 - MEMÓRIA'!O30</f>
        <v>53913.44400000001</v>
      </c>
      <c r="I149" s="14" t="s">
        <v>122</v>
      </c>
      <c r="J149" s="505">
        <f>TRUNC(H149*J148,2)</f>
        <v>193915.01</v>
      </c>
    </row>
    <row r="150" spans="1:10" ht="15" thickTop="1">
      <c r="A150" s="506"/>
      <c r="B150" s="230"/>
      <c r="C150" s="15"/>
      <c r="D150" s="15"/>
      <c r="E150" s="15"/>
      <c r="F150" s="15"/>
      <c r="G150" s="15"/>
      <c r="H150" s="15"/>
      <c r="I150" s="15"/>
      <c r="J150" s="507"/>
    </row>
    <row r="151" spans="1:10">
      <c r="A151" s="518" t="s">
        <v>44</v>
      </c>
      <c r="B151" s="229"/>
      <c r="C151" s="25"/>
      <c r="D151" s="25" t="s">
        <v>45</v>
      </c>
      <c r="E151" s="25"/>
      <c r="F151" s="1090"/>
      <c r="G151" s="1090"/>
      <c r="H151" s="1"/>
      <c r="I151" s="25"/>
      <c r="J151" s="519">
        <f>J152+J226</f>
        <v>1038449.18</v>
      </c>
    </row>
    <row r="152" spans="1:10">
      <c r="A152" s="518" t="s">
        <v>46</v>
      </c>
      <c r="B152" s="229"/>
      <c r="C152" s="25"/>
      <c r="D152" s="25" t="s">
        <v>47</v>
      </c>
      <c r="E152" s="25"/>
      <c r="F152" s="1090"/>
      <c r="G152" s="1090"/>
      <c r="H152" s="1"/>
      <c r="I152" s="25"/>
      <c r="J152" s="519">
        <f>J164+J184+J190+J206+J216+J224</f>
        <v>451964.38</v>
      </c>
    </row>
    <row r="153" spans="1:10" ht="15">
      <c r="A153" s="490" t="s">
        <v>48</v>
      </c>
      <c r="B153" s="31" t="s">
        <v>7</v>
      </c>
      <c r="C153" s="26" t="s">
        <v>8</v>
      </c>
      <c r="D153" s="26" t="s">
        <v>9</v>
      </c>
      <c r="E153" s="1092" t="s">
        <v>92</v>
      </c>
      <c r="F153" s="1092"/>
      <c r="G153" s="31" t="s">
        <v>10</v>
      </c>
      <c r="H153" s="29" t="s">
        <v>11</v>
      </c>
      <c r="I153" s="29" t="s">
        <v>12</v>
      </c>
      <c r="J153" s="491" t="s">
        <v>14</v>
      </c>
    </row>
    <row r="154" spans="1:10" ht="25.5">
      <c r="A154" s="492" t="s">
        <v>93</v>
      </c>
      <c r="B154" s="4">
        <v>105598</v>
      </c>
      <c r="C154" s="27" t="s">
        <v>24</v>
      </c>
      <c r="D154" s="27" t="s">
        <v>50</v>
      </c>
      <c r="E154" s="1079" t="s">
        <v>204</v>
      </c>
      <c r="F154" s="1079"/>
      <c r="G154" s="4" t="s">
        <v>21</v>
      </c>
      <c r="H154" s="5">
        <v>1</v>
      </c>
      <c r="I154" s="6">
        <v>1.25</v>
      </c>
      <c r="J154" s="493">
        <f>SUM(J155:J161)</f>
        <v>1.98004779</v>
      </c>
    </row>
    <row r="155" spans="1:10" ht="51">
      <c r="A155" s="494" t="s">
        <v>95</v>
      </c>
      <c r="B155" s="8" t="s">
        <v>205</v>
      </c>
      <c r="C155" s="23" t="s">
        <v>24</v>
      </c>
      <c r="D155" s="23" t="s">
        <v>206</v>
      </c>
      <c r="E155" s="1080" t="s">
        <v>125</v>
      </c>
      <c r="F155" s="1080"/>
      <c r="G155" s="8" t="s">
        <v>126</v>
      </c>
      <c r="H155" s="9">
        <v>1.0702000000000001E-3</v>
      </c>
      <c r="I155" s="10">
        <v>317.66000000000003</v>
      </c>
      <c r="J155" s="495">
        <f>I155*H155</f>
        <v>0.33995973200000007</v>
      </c>
    </row>
    <row r="156" spans="1:10" ht="51">
      <c r="A156" s="494" t="s">
        <v>95</v>
      </c>
      <c r="B156" s="8" t="s">
        <v>207</v>
      </c>
      <c r="C156" s="23" t="s">
        <v>24</v>
      </c>
      <c r="D156" s="23" t="s">
        <v>208</v>
      </c>
      <c r="E156" s="1080" t="s">
        <v>125</v>
      </c>
      <c r="F156" s="1080"/>
      <c r="G156" s="8" t="s">
        <v>129</v>
      </c>
      <c r="H156" s="9">
        <v>4.2364000000000004E-3</v>
      </c>
      <c r="I156" s="10">
        <v>71.599999999999994</v>
      </c>
      <c r="J156" s="495">
        <f t="shared" ref="J156:J161" si="8">I156*H156</f>
        <v>0.30332624000000002</v>
      </c>
    </row>
    <row r="157" spans="1:10" ht="38.25">
      <c r="A157" s="494" t="s">
        <v>95</v>
      </c>
      <c r="B157" s="8" t="s">
        <v>209</v>
      </c>
      <c r="C157" s="23" t="s">
        <v>24</v>
      </c>
      <c r="D157" s="23" t="s">
        <v>210</v>
      </c>
      <c r="E157" s="1080" t="s">
        <v>125</v>
      </c>
      <c r="F157" s="1080"/>
      <c r="G157" s="8" t="s">
        <v>126</v>
      </c>
      <c r="H157" s="9">
        <v>3.0249999999999998E-4</v>
      </c>
      <c r="I157" s="10">
        <v>262.45999999999998</v>
      </c>
      <c r="J157" s="495">
        <f t="shared" si="8"/>
        <v>7.9394149999999983E-2</v>
      </c>
    </row>
    <row r="158" spans="1:10" ht="38.25">
      <c r="A158" s="494" t="s">
        <v>95</v>
      </c>
      <c r="B158" s="8" t="s">
        <v>211</v>
      </c>
      <c r="C158" s="23" t="s">
        <v>24</v>
      </c>
      <c r="D158" s="23" t="s">
        <v>212</v>
      </c>
      <c r="E158" s="1080" t="s">
        <v>125</v>
      </c>
      <c r="F158" s="1080"/>
      <c r="G158" s="8" t="s">
        <v>129</v>
      </c>
      <c r="H158" s="9">
        <v>5.0041E-3</v>
      </c>
      <c r="I158" s="10">
        <v>103.25</v>
      </c>
      <c r="J158" s="495">
        <f t="shared" si="8"/>
        <v>0.51667332499999996</v>
      </c>
    </row>
    <row r="159" spans="1:10" ht="25.5">
      <c r="A159" s="494" t="s">
        <v>95</v>
      </c>
      <c r="B159" s="8" t="s">
        <v>103</v>
      </c>
      <c r="C159" s="23" t="s">
        <v>24</v>
      </c>
      <c r="D159" s="23" t="s">
        <v>104</v>
      </c>
      <c r="E159" s="1080" t="s">
        <v>101</v>
      </c>
      <c r="F159" s="1080"/>
      <c r="G159" s="8" t="s">
        <v>102</v>
      </c>
      <c r="H159" s="9">
        <v>5.3065999999999999E-3</v>
      </c>
      <c r="I159" s="10">
        <v>21.05</v>
      </c>
      <c r="J159" s="495">
        <f t="shared" si="8"/>
        <v>0.11170393000000001</v>
      </c>
    </row>
    <row r="160" spans="1:10" ht="38.25">
      <c r="A160" s="494" t="s">
        <v>95</v>
      </c>
      <c r="B160" s="8" t="s">
        <v>213</v>
      </c>
      <c r="C160" s="23" t="s">
        <v>24</v>
      </c>
      <c r="D160" s="23" t="s">
        <v>214</v>
      </c>
      <c r="E160" s="1080" t="s">
        <v>125</v>
      </c>
      <c r="F160" s="1080"/>
      <c r="G160" s="8" t="s">
        <v>126</v>
      </c>
      <c r="H160" s="9">
        <v>7.5109999999999999E-4</v>
      </c>
      <c r="I160" s="10">
        <v>230.43</v>
      </c>
      <c r="J160" s="495">
        <f t="shared" si="8"/>
        <v>0.17307597299999999</v>
      </c>
    </row>
    <row r="161" spans="1:10" ht="38.25">
      <c r="A161" s="494" t="s">
        <v>95</v>
      </c>
      <c r="B161" s="8" t="s">
        <v>215</v>
      </c>
      <c r="C161" s="23" t="s">
        <v>24</v>
      </c>
      <c r="D161" s="23" t="s">
        <v>216</v>
      </c>
      <c r="E161" s="1080" t="s">
        <v>125</v>
      </c>
      <c r="F161" s="1080"/>
      <c r="G161" s="8" t="s">
        <v>129</v>
      </c>
      <c r="H161" s="9">
        <v>4.5554999999999997E-3</v>
      </c>
      <c r="I161" s="10">
        <v>100.08</v>
      </c>
      <c r="J161" s="495">
        <f t="shared" si="8"/>
        <v>0.45591443999999998</v>
      </c>
    </row>
    <row r="162" spans="1:10">
      <c r="A162" s="498"/>
      <c r="B162" s="20"/>
      <c r="C162" s="499"/>
      <c r="D162" s="499"/>
      <c r="E162" s="499" t="s">
        <v>116</v>
      </c>
      <c r="F162" s="500">
        <v>0.27</v>
      </c>
      <c r="G162" s="499" t="s">
        <v>117</v>
      </c>
      <c r="H162" s="500">
        <v>0</v>
      </c>
      <c r="I162" s="499" t="s">
        <v>118</v>
      </c>
      <c r="J162" s="501">
        <v>0.27</v>
      </c>
    </row>
    <row r="163" spans="1:10">
      <c r="A163" s="498"/>
      <c r="B163" s="20"/>
      <c r="C163" s="499"/>
      <c r="D163" s="499"/>
      <c r="E163" s="499" t="s">
        <v>119</v>
      </c>
      <c r="F163" s="500">
        <f>J163-J154</f>
        <v>0.41521602156299986</v>
      </c>
      <c r="G163" s="499"/>
      <c r="H163" s="1082" t="s">
        <v>120</v>
      </c>
      <c r="I163" s="1082"/>
      <c r="J163" s="501">
        <f>J154*(1+G2)</f>
        <v>2.3952638115629998</v>
      </c>
    </row>
    <row r="164" spans="1:10" ht="15" thickBot="1">
      <c r="A164" s="503"/>
      <c r="B164" s="666"/>
      <c r="C164" s="14"/>
      <c r="D164" s="14"/>
      <c r="E164" s="14"/>
      <c r="F164" s="14"/>
      <c r="G164" s="14" t="s">
        <v>121</v>
      </c>
      <c r="H164" s="504">
        <f>'OBRA 03 - MEMÓRIA'!O34</f>
        <v>3594.2296000000001</v>
      </c>
      <c r="I164" s="14" t="s">
        <v>122</v>
      </c>
      <c r="J164" s="505">
        <f>TRUNC(H164*J163,2)</f>
        <v>8609.1200000000008</v>
      </c>
    </row>
    <row r="165" spans="1:10" ht="15" thickTop="1">
      <c r="A165" s="506"/>
      <c r="B165" s="230"/>
      <c r="C165" s="15"/>
      <c r="D165" s="15"/>
      <c r="E165" s="15"/>
      <c r="F165" s="15"/>
      <c r="G165" s="15"/>
      <c r="H165" s="15"/>
      <c r="I165" s="15"/>
      <c r="J165" s="507"/>
    </row>
    <row r="166" spans="1:10" ht="15">
      <c r="A166" s="490" t="s">
        <v>51</v>
      </c>
      <c r="B166" s="31" t="s">
        <v>7</v>
      </c>
      <c r="C166" s="26" t="s">
        <v>8</v>
      </c>
      <c r="D166" s="26" t="s">
        <v>9</v>
      </c>
      <c r="E166" s="1092" t="s">
        <v>92</v>
      </c>
      <c r="F166" s="1092"/>
      <c r="G166" s="31" t="s">
        <v>10</v>
      </c>
      <c r="H166" s="29" t="s">
        <v>11</v>
      </c>
      <c r="I166" s="29" t="s">
        <v>12</v>
      </c>
      <c r="J166" s="491" t="s">
        <v>14</v>
      </c>
    </row>
    <row r="167" spans="1:10" ht="51">
      <c r="A167" s="492" t="s">
        <v>93</v>
      </c>
      <c r="B167" s="4" t="s">
        <v>52</v>
      </c>
      <c r="C167" s="27" t="s">
        <v>24</v>
      </c>
      <c r="D167" s="27" t="s">
        <v>53</v>
      </c>
      <c r="E167" s="1079" t="s">
        <v>204</v>
      </c>
      <c r="F167" s="1079"/>
      <c r="G167" s="4" t="s">
        <v>28</v>
      </c>
      <c r="H167" s="5">
        <v>1</v>
      </c>
      <c r="I167" s="6">
        <v>95.63</v>
      </c>
      <c r="J167" s="493">
        <f>SUM(J168:J181)</f>
        <v>93.440669999999997</v>
      </c>
    </row>
    <row r="168" spans="1:10" ht="51">
      <c r="A168" s="494" t="s">
        <v>95</v>
      </c>
      <c r="B168" s="8" t="s">
        <v>217</v>
      </c>
      <c r="C168" s="23" t="s">
        <v>24</v>
      </c>
      <c r="D168" s="23" t="s">
        <v>218</v>
      </c>
      <c r="E168" s="1080" t="s">
        <v>125</v>
      </c>
      <c r="F168" s="1080"/>
      <c r="G168" s="8" t="s">
        <v>126</v>
      </c>
      <c r="H168" s="9">
        <v>1.2E-2</v>
      </c>
      <c r="I168" s="10">
        <v>170.5</v>
      </c>
      <c r="J168" s="495">
        <f>I168*H168</f>
        <v>2.0460000000000003</v>
      </c>
    </row>
    <row r="169" spans="1:10" ht="51">
      <c r="A169" s="494" t="s">
        <v>95</v>
      </c>
      <c r="B169" s="8" t="s">
        <v>219</v>
      </c>
      <c r="C169" s="23" t="s">
        <v>24</v>
      </c>
      <c r="D169" s="23" t="s">
        <v>220</v>
      </c>
      <c r="E169" s="1080" t="s">
        <v>125</v>
      </c>
      <c r="F169" s="1080"/>
      <c r="G169" s="8" t="s">
        <v>129</v>
      </c>
      <c r="H169" s="9">
        <v>2.8000000000000001E-2</v>
      </c>
      <c r="I169" s="10">
        <v>73.290000000000006</v>
      </c>
      <c r="J169" s="495">
        <f t="shared" ref="J169:J181" si="9">I169*H169</f>
        <v>2.0521200000000004</v>
      </c>
    </row>
    <row r="170" spans="1:10" ht="51">
      <c r="A170" s="494" t="s">
        <v>95</v>
      </c>
      <c r="B170" s="8" t="s">
        <v>205</v>
      </c>
      <c r="C170" s="23" t="s">
        <v>24</v>
      </c>
      <c r="D170" s="23" t="s">
        <v>206</v>
      </c>
      <c r="E170" s="1080" t="s">
        <v>125</v>
      </c>
      <c r="F170" s="1080"/>
      <c r="G170" s="8" t="s">
        <v>126</v>
      </c>
      <c r="H170" s="9">
        <v>4.0000000000000001E-3</v>
      </c>
      <c r="I170" s="10">
        <v>317.66000000000003</v>
      </c>
      <c r="J170" s="495">
        <f t="shared" si="9"/>
        <v>1.2706400000000002</v>
      </c>
    </row>
    <row r="171" spans="1:10" ht="51">
      <c r="A171" s="494" t="s">
        <v>95</v>
      </c>
      <c r="B171" s="8" t="s">
        <v>207</v>
      </c>
      <c r="C171" s="23" t="s">
        <v>24</v>
      </c>
      <c r="D171" s="23" t="s">
        <v>208</v>
      </c>
      <c r="E171" s="1080" t="s">
        <v>125</v>
      </c>
      <c r="F171" s="1080"/>
      <c r="G171" s="8" t="s">
        <v>129</v>
      </c>
      <c r="H171" s="9">
        <v>3.5999999999999997E-2</v>
      </c>
      <c r="I171" s="10">
        <v>71.599999999999994</v>
      </c>
      <c r="J171" s="495">
        <f t="shared" si="9"/>
        <v>2.5775999999999994</v>
      </c>
    </row>
    <row r="172" spans="1:10" ht="25.5">
      <c r="A172" s="494" t="s">
        <v>95</v>
      </c>
      <c r="B172" s="8" t="s">
        <v>221</v>
      </c>
      <c r="C172" s="23" t="s">
        <v>24</v>
      </c>
      <c r="D172" s="23" t="s">
        <v>222</v>
      </c>
      <c r="E172" s="1080" t="s">
        <v>125</v>
      </c>
      <c r="F172" s="1080"/>
      <c r="G172" s="8" t="s">
        <v>126</v>
      </c>
      <c r="H172" s="9">
        <v>8.0000000000000002E-3</v>
      </c>
      <c r="I172" s="10">
        <v>4.9400000000000004</v>
      </c>
      <c r="J172" s="495">
        <f t="shared" si="9"/>
        <v>3.9520000000000007E-2</v>
      </c>
    </row>
    <row r="173" spans="1:10" ht="25.5">
      <c r="A173" s="494" t="s">
        <v>95</v>
      </c>
      <c r="B173" s="8" t="s">
        <v>223</v>
      </c>
      <c r="C173" s="23" t="s">
        <v>24</v>
      </c>
      <c r="D173" s="23" t="s">
        <v>224</v>
      </c>
      <c r="E173" s="1080" t="s">
        <v>125</v>
      </c>
      <c r="F173" s="1080"/>
      <c r="G173" s="8" t="s">
        <v>129</v>
      </c>
      <c r="H173" s="9">
        <v>3.2000000000000001E-2</v>
      </c>
      <c r="I173" s="10">
        <v>3.2</v>
      </c>
      <c r="J173" s="495">
        <f t="shared" si="9"/>
        <v>0.1024</v>
      </c>
    </row>
    <row r="174" spans="1:10" ht="38.25">
      <c r="A174" s="494" t="s">
        <v>95</v>
      </c>
      <c r="B174" s="8" t="s">
        <v>209</v>
      </c>
      <c r="C174" s="23" t="s">
        <v>24</v>
      </c>
      <c r="D174" s="23" t="s">
        <v>210</v>
      </c>
      <c r="E174" s="1080" t="s">
        <v>125</v>
      </c>
      <c r="F174" s="1080"/>
      <c r="G174" s="8" t="s">
        <v>126</v>
      </c>
      <c r="H174" s="9">
        <v>8.0000000000000002E-3</v>
      </c>
      <c r="I174" s="10">
        <v>262.45999999999998</v>
      </c>
      <c r="J174" s="495">
        <f t="shared" si="9"/>
        <v>2.0996799999999998</v>
      </c>
    </row>
    <row r="175" spans="1:10" ht="38.25">
      <c r="A175" s="494" t="s">
        <v>95</v>
      </c>
      <c r="B175" s="8" t="s">
        <v>211</v>
      </c>
      <c r="C175" s="23" t="s">
        <v>24</v>
      </c>
      <c r="D175" s="23" t="s">
        <v>212</v>
      </c>
      <c r="E175" s="1080" t="s">
        <v>125</v>
      </c>
      <c r="F175" s="1080"/>
      <c r="G175" s="8" t="s">
        <v>129</v>
      </c>
      <c r="H175" s="9">
        <v>3.2000000000000001E-2</v>
      </c>
      <c r="I175" s="10">
        <v>103.25</v>
      </c>
      <c r="J175" s="495">
        <f t="shared" si="9"/>
        <v>3.3040000000000003</v>
      </c>
    </row>
    <row r="176" spans="1:10" ht="25.5">
      <c r="A176" s="494" t="s">
        <v>95</v>
      </c>
      <c r="B176" s="8" t="s">
        <v>103</v>
      </c>
      <c r="C176" s="23" t="s">
        <v>24</v>
      </c>
      <c r="D176" s="23" t="s">
        <v>104</v>
      </c>
      <c r="E176" s="1080" t="s">
        <v>101</v>
      </c>
      <c r="F176" s="1080"/>
      <c r="G176" s="8" t="s">
        <v>102</v>
      </c>
      <c r="H176" s="9">
        <v>0.16</v>
      </c>
      <c r="I176" s="10">
        <v>21.05</v>
      </c>
      <c r="J176" s="495">
        <f t="shared" si="9"/>
        <v>3.3680000000000003</v>
      </c>
    </row>
    <row r="177" spans="1:10" ht="25.5">
      <c r="A177" s="494" t="s">
        <v>95</v>
      </c>
      <c r="B177" s="8" t="s">
        <v>225</v>
      </c>
      <c r="C177" s="23" t="s">
        <v>24</v>
      </c>
      <c r="D177" s="23" t="s">
        <v>226</v>
      </c>
      <c r="E177" s="1080" t="s">
        <v>125</v>
      </c>
      <c r="F177" s="1080"/>
      <c r="G177" s="8" t="s">
        <v>126</v>
      </c>
      <c r="H177" s="9">
        <v>8.0000000000000002E-3</v>
      </c>
      <c r="I177" s="10">
        <v>134.34</v>
      </c>
      <c r="J177" s="495">
        <f t="shared" si="9"/>
        <v>1.0747200000000001</v>
      </c>
    </row>
    <row r="178" spans="1:10" ht="25.5">
      <c r="A178" s="494" t="s">
        <v>95</v>
      </c>
      <c r="B178" s="8" t="s">
        <v>227</v>
      </c>
      <c r="C178" s="23" t="s">
        <v>24</v>
      </c>
      <c r="D178" s="23" t="s">
        <v>228</v>
      </c>
      <c r="E178" s="1080" t="s">
        <v>125</v>
      </c>
      <c r="F178" s="1080"/>
      <c r="G178" s="8" t="s">
        <v>129</v>
      </c>
      <c r="H178" s="9">
        <v>3.2000000000000001E-2</v>
      </c>
      <c r="I178" s="10">
        <v>50.98</v>
      </c>
      <c r="J178" s="495">
        <f t="shared" si="9"/>
        <v>1.6313599999999999</v>
      </c>
    </row>
    <row r="179" spans="1:10" ht="38.25">
      <c r="A179" s="494" t="s">
        <v>95</v>
      </c>
      <c r="B179" s="8" t="s">
        <v>213</v>
      </c>
      <c r="C179" s="23" t="s">
        <v>24</v>
      </c>
      <c r="D179" s="23" t="s">
        <v>214</v>
      </c>
      <c r="E179" s="1080" t="s">
        <v>125</v>
      </c>
      <c r="F179" s="1080"/>
      <c r="G179" s="8" t="s">
        <v>126</v>
      </c>
      <c r="H179" s="9">
        <v>5.0000000000000001E-3</v>
      </c>
      <c r="I179" s="10">
        <v>230.43</v>
      </c>
      <c r="J179" s="495">
        <f t="shared" si="9"/>
        <v>1.15215</v>
      </c>
    </row>
    <row r="180" spans="1:10" ht="38.25">
      <c r="A180" s="494" t="s">
        <v>95</v>
      </c>
      <c r="B180" s="8" t="s">
        <v>215</v>
      </c>
      <c r="C180" s="23" t="s">
        <v>24</v>
      </c>
      <c r="D180" s="23" t="s">
        <v>216</v>
      </c>
      <c r="E180" s="1080" t="s">
        <v>125</v>
      </c>
      <c r="F180" s="1080"/>
      <c r="G180" s="8" t="s">
        <v>129</v>
      </c>
      <c r="H180" s="9">
        <v>3.5000000000000003E-2</v>
      </c>
      <c r="I180" s="10">
        <v>100.08</v>
      </c>
      <c r="J180" s="495">
        <f t="shared" si="9"/>
        <v>3.5028000000000001</v>
      </c>
    </row>
    <row r="181" spans="1:10" ht="25.5">
      <c r="A181" s="496" t="s">
        <v>105</v>
      </c>
      <c r="B181" s="11" t="s">
        <v>229</v>
      </c>
      <c r="C181" s="24" t="s">
        <v>24</v>
      </c>
      <c r="D181" s="24" t="s">
        <v>230</v>
      </c>
      <c r="E181" s="1087" t="s">
        <v>108</v>
      </c>
      <c r="F181" s="1087"/>
      <c r="G181" s="11" t="s">
        <v>28</v>
      </c>
      <c r="H181" s="12">
        <v>0.68799999999999994</v>
      </c>
      <c r="I181" s="13">
        <v>100.61</v>
      </c>
      <c r="J181" s="497">
        <f t="shared" si="9"/>
        <v>69.219679999999997</v>
      </c>
    </row>
    <row r="182" spans="1:10">
      <c r="A182" s="498"/>
      <c r="B182" s="20"/>
      <c r="C182" s="499"/>
      <c r="D182" s="499"/>
      <c r="E182" s="499" t="s">
        <v>116</v>
      </c>
      <c r="F182" s="500">
        <v>8.09</v>
      </c>
      <c r="G182" s="499" t="s">
        <v>117</v>
      </c>
      <c r="H182" s="500">
        <v>0</v>
      </c>
      <c r="I182" s="499" t="s">
        <v>118</v>
      </c>
      <c r="J182" s="501">
        <v>8.09</v>
      </c>
    </row>
    <row r="183" spans="1:10">
      <c r="A183" s="498"/>
      <c r="B183" s="20"/>
      <c r="C183" s="499"/>
      <c r="D183" s="499"/>
      <c r="E183" s="499" t="s">
        <v>119</v>
      </c>
      <c r="F183" s="500">
        <f>J183-J167</f>
        <v>19.594508499</v>
      </c>
      <c r="G183" s="499"/>
      <c r="H183" s="1082" t="s">
        <v>120</v>
      </c>
      <c r="I183" s="1082"/>
      <c r="J183" s="501">
        <f>J167*(1+G2)</f>
        <v>113.035178499</v>
      </c>
    </row>
    <row r="184" spans="1:10" ht="15" thickBot="1">
      <c r="A184" s="503"/>
      <c r="B184" s="666"/>
      <c r="C184" s="14"/>
      <c r="D184" s="14"/>
      <c r="E184" s="14"/>
      <c r="F184" s="14"/>
      <c r="G184" s="14" t="s">
        <v>121</v>
      </c>
      <c r="H184" s="504">
        <f>'OBRA 03 - MEMÓRIA'!O36</f>
        <v>718.84592000000009</v>
      </c>
      <c r="I184" s="14" t="s">
        <v>122</v>
      </c>
      <c r="J184" s="505">
        <f>TRUNC(H184*J183,2)</f>
        <v>81254.87</v>
      </c>
    </row>
    <row r="185" spans="1:10" ht="15" thickTop="1">
      <c r="A185" s="506"/>
      <c r="B185" s="230"/>
      <c r="C185" s="15"/>
      <c r="D185" s="15"/>
      <c r="E185" s="15"/>
      <c r="F185" s="15"/>
      <c r="G185" s="15"/>
      <c r="H185" s="15"/>
      <c r="I185" s="15"/>
      <c r="J185" s="507"/>
    </row>
    <row r="186" spans="1:10" ht="15">
      <c r="A186" s="490" t="s">
        <v>368</v>
      </c>
      <c r="B186" s="31" t="s">
        <v>7</v>
      </c>
      <c r="C186" s="26" t="s">
        <v>8</v>
      </c>
      <c r="D186" s="26" t="s">
        <v>9</v>
      </c>
      <c r="E186" s="1092" t="s">
        <v>92</v>
      </c>
      <c r="F186" s="1092"/>
      <c r="G186" s="31" t="s">
        <v>10</v>
      </c>
      <c r="H186" s="29" t="s">
        <v>11</v>
      </c>
      <c r="I186" s="29" t="s">
        <v>12</v>
      </c>
      <c r="J186" s="491" t="s">
        <v>14</v>
      </c>
    </row>
    <row r="187" spans="1:10">
      <c r="A187" s="522" t="s">
        <v>105</v>
      </c>
      <c r="B187" s="17" t="s">
        <v>307</v>
      </c>
      <c r="C187" s="28" t="s">
        <v>24</v>
      </c>
      <c r="D187" s="28" t="s">
        <v>308</v>
      </c>
      <c r="E187" s="1099" t="s">
        <v>108</v>
      </c>
      <c r="F187" s="1099"/>
      <c r="G187" s="17" t="s">
        <v>28</v>
      </c>
      <c r="H187" s="18">
        <v>1</v>
      </c>
      <c r="I187" s="19">
        <v>60.92</v>
      </c>
      <c r="J187" s="523">
        <v>60.92</v>
      </c>
    </row>
    <row r="188" spans="1:10">
      <c r="A188" s="498"/>
      <c r="B188" s="20"/>
      <c r="C188" s="499"/>
      <c r="D188" s="499"/>
      <c r="E188" s="499" t="s">
        <v>116</v>
      </c>
      <c r="F188" s="500">
        <v>0</v>
      </c>
      <c r="G188" s="499" t="s">
        <v>117</v>
      </c>
      <c r="H188" s="500">
        <v>0</v>
      </c>
      <c r="I188" s="499" t="s">
        <v>118</v>
      </c>
      <c r="J188" s="501">
        <v>0</v>
      </c>
    </row>
    <row r="189" spans="1:10">
      <c r="A189" s="498"/>
      <c r="B189" s="20"/>
      <c r="C189" s="499"/>
      <c r="D189" s="499"/>
      <c r="E189" s="499" t="s">
        <v>119</v>
      </c>
      <c r="F189" s="500">
        <v>15.23</v>
      </c>
      <c r="G189" s="499"/>
      <c r="H189" s="1082" t="s">
        <v>120</v>
      </c>
      <c r="I189" s="1082"/>
      <c r="J189" s="501">
        <f>J187*(1+H2)</f>
        <v>69.46098400000001</v>
      </c>
    </row>
    <row r="190" spans="1:10" ht="15" thickBot="1">
      <c r="A190" s="503"/>
      <c r="B190" s="666"/>
      <c r="C190" s="14"/>
      <c r="D190" s="14"/>
      <c r="E190" s="14"/>
      <c r="F190" s="14"/>
      <c r="G190" s="14" t="s">
        <v>121</v>
      </c>
      <c r="H190" s="504">
        <f>'OBRA 03 - MEMÓRIA'!O38</f>
        <v>449.27870000000007</v>
      </c>
      <c r="I190" s="14" t="s">
        <v>122</v>
      </c>
      <c r="J190" s="505">
        <f>TRUNC(H190*J189,2)</f>
        <v>31207.34</v>
      </c>
    </row>
    <row r="191" spans="1:10" ht="15" thickTop="1">
      <c r="A191" s="506"/>
      <c r="B191" s="230"/>
      <c r="C191" s="15"/>
      <c r="D191" s="15"/>
      <c r="E191" s="15"/>
      <c r="F191" s="15"/>
      <c r="G191" s="15"/>
      <c r="H191" s="15"/>
      <c r="I191" s="15"/>
      <c r="J191" s="507"/>
    </row>
    <row r="192" spans="1:10" ht="15">
      <c r="A192" s="490" t="s">
        <v>309</v>
      </c>
      <c r="B192" s="31" t="s">
        <v>7</v>
      </c>
      <c r="C192" s="26" t="s">
        <v>8</v>
      </c>
      <c r="D192" s="26" t="s">
        <v>9</v>
      </c>
      <c r="E192" s="1092" t="s">
        <v>92</v>
      </c>
      <c r="F192" s="1092"/>
      <c r="G192" s="31" t="s">
        <v>10</v>
      </c>
      <c r="H192" s="29" t="s">
        <v>11</v>
      </c>
      <c r="I192" s="29" t="s">
        <v>12</v>
      </c>
      <c r="J192" s="491" t="s">
        <v>14</v>
      </c>
    </row>
    <row r="193" spans="1:10" ht="38.25">
      <c r="A193" s="492" t="s">
        <v>93</v>
      </c>
      <c r="B193" s="4" t="s">
        <v>54</v>
      </c>
      <c r="C193" s="27" t="s">
        <v>24</v>
      </c>
      <c r="D193" s="27" t="s">
        <v>55</v>
      </c>
      <c r="E193" s="1079" t="s">
        <v>204</v>
      </c>
      <c r="F193" s="1079"/>
      <c r="G193" s="4" t="s">
        <v>28</v>
      </c>
      <c r="H193" s="5">
        <v>1</v>
      </c>
      <c r="I193" s="6">
        <v>179.88</v>
      </c>
      <c r="J193" s="493">
        <f>SUM(J194:J203)</f>
        <v>174.16018999999997</v>
      </c>
    </row>
    <row r="194" spans="1:10" ht="51">
      <c r="A194" s="494" t="s">
        <v>95</v>
      </c>
      <c r="B194" s="8" t="s">
        <v>217</v>
      </c>
      <c r="C194" s="23" t="s">
        <v>24</v>
      </c>
      <c r="D194" s="23" t="s">
        <v>218</v>
      </c>
      <c r="E194" s="1080" t="s">
        <v>125</v>
      </c>
      <c r="F194" s="1080"/>
      <c r="G194" s="8" t="s">
        <v>126</v>
      </c>
      <c r="H194" s="9">
        <v>8.9999999999999993E-3</v>
      </c>
      <c r="I194" s="10">
        <v>170.5</v>
      </c>
      <c r="J194" s="495">
        <f>I194*H194</f>
        <v>1.5345</v>
      </c>
    </row>
    <row r="195" spans="1:10" ht="51">
      <c r="A195" s="494" t="s">
        <v>95</v>
      </c>
      <c r="B195" s="8" t="s">
        <v>219</v>
      </c>
      <c r="C195" s="23" t="s">
        <v>24</v>
      </c>
      <c r="D195" s="23" t="s">
        <v>220</v>
      </c>
      <c r="E195" s="1080" t="s">
        <v>125</v>
      </c>
      <c r="F195" s="1080"/>
      <c r="G195" s="8" t="s">
        <v>129</v>
      </c>
      <c r="H195" s="9">
        <v>2.1000000000000001E-2</v>
      </c>
      <c r="I195" s="10">
        <v>73.290000000000006</v>
      </c>
      <c r="J195" s="495">
        <f t="shared" ref="J195:J203" si="10">I195*H195</f>
        <v>1.5390900000000003</v>
      </c>
    </row>
    <row r="196" spans="1:10" ht="51">
      <c r="A196" s="494" t="s">
        <v>95</v>
      </c>
      <c r="B196" s="8" t="s">
        <v>205</v>
      </c>
      <c r="C196" s="23" t="s">
        <v>24</v>
      </c>
      <c r="D196" s="23" t="s">
        <v>206</v>
      </c>
      <c r="E196" s="1080" t="s">
        <v>125</v>
      </c>
      <c r="F196" s="1080"/>
      <c r="G196" s="8" t="s">
        <v>126</v>
      </c>
      <c r="H196" s="9">
        <v>2E-3</v>
      </c>
      <c r="I196" s="10">
        <v>317.66000000000003</v>
      </c>
      <c r="J196" s="495">
        <f t="shared" si="10"/>
        <v>0.63532000000000011</v>
      </c>
    </row>
    <row r="197" spans="1:10" ht="51">
      <c r="A197" s="494" t="s">
        <v>95</v>
      </c>
      <c r="B197" s="8" t="s">
        <v>207</v>
      </c>
      <c r="C197" s="23" t="s">
        <v>24</v>
      </c>
      <c r="D197" s="23" t="s">
        <v>208</v>
      </c>
      <c r="E197" s="1080" t="s">
        <v>125</v>
      </c>
      <c r="F197" s="1080"/>
      <c r="G197" s="8" t="s">
        <v>129</v>
      </c>
      <c r="H197" s="9">
        <v>2.8000000000000001E-2</v>
      </c>
      <c r="I197" s="10">
        <v>71.599999999999994</v>
      </c>
      <c r="J197" s="495">
        <f t="shared" si="10"/>
        <v>2.0047999999999999</v>
      </c>
    </row>
    <row r="198" spans="1:10" ht="38.25">
      <c r="A198" s="494" t="s">
        <v>95</v>
      </c>
      <c r="B198" s="8" t="s">
        <v>209</v>
      </c>
      <c r="C198" s="23" t="s">
        <v>24</v>
      </c>
      <c r="D198" s="23" t="s">
        <v>210</v>
      </c>
      <c r="E198" s="1080" t="s">
        <v>125</v>
      </c>
      <c r="F198" s="1080"/>
      <c r="G198" s="8" t="s">
        <v>126</v>
      </c>
      <c r="H198" s="9">
        <v>8.0000000000000002E-3</v>
      </c>
      <c r="I198" s="10">
        <v>262.45999999999998</v>
      </c>
      <c r="J198" s="495">
        <f t="shared" si="10"/>
        <v>2.0996799999999998</v>
      </c>
    </row>
    <row r="199" spans="1:10" ht="38.25">
      <c r="A199" s="494" t="s">
        <v>95</v>
      </c>
      <c r="B199" s="8" t="s">
        <v>211</v>
      </c>
      <c r="C199" s="23" t="s">
        <v>24</v>
      </c>
      <c r="D199" s="23" t="s">
        <v>212</v>
      </c>
      <c r="E199" s="1080" t="s">
        <v>125</v>
      </c>
      <c r="F199" s="1080"/>
      <c r="G199" s="8" t="s">
        <v>129</v>
      </c>
      <c r="H199" s="9">
        <v>2.1999999999999999E-2</v>
      </c>
      <c r="I199" s="10">
        <v>103.25</v>
      </c>
      <c r="J199" s="495">
        <f t="shared" si="10"/>
        <v>2.2715000000000001</v>
      </c>
    </row>
    <row r="200" spans="1:10" ht="25.5">
      <c r="A200" s="494" t="s">
        <v>95</v>
      </c>
      <c r="B200" s="8" t="s">
        <v>103</v>
      </c>
      <c r="C200" s="23" t="s">
        <v>24</v>
      </c>
      <c r="D200" s="23" t="s">
        <v>104</v>
      </c>
      <c r="E200" s="1080" t="s">
        <v>101</v>
      </c>
      <c r="F200" s="1080"/>
      <c r="G200" s="8" t="s">
        <v>102</v>
      </c>
      <c r="H200" s="9">
        <v>0.03</v>
      </c>
      <c r="I200" s="10">
        <v>21.05</v>
      </c>
      <c r="J200" s="495">
        <f t="shared" si="10"/>
        <v>0.63149999999999995</v>
      </c>
    </row>
    <row r="201" spans="1:10" ht="25.5">
      <c r="A201" s="494" t="s">
        <v>95</v>
      </c>
      <c r="B201" s="8" t="s">
        <v>231</v>
      </c>
      <c r="C201" s="23" t="s">
        <v>24</v>
      </c>
      <c r="D201" s="23" t="s">
        <v>232</v>
      </c>
      <c r="E201" s="1080" t="s">
        <v>204</v>
      </c>
      <c r="F201" s="1080"/>
      <c r="G201" s="8" t="s">
        <v>28</v>
      </c>
      <c r="H201" s="9">
        <v>1</v>
      </c>
      <c r="I201" s="10">
        <v>159.91999999999999</v>
      </c>
      <c r="J201" s="495">
        <f t="shared" si="10"/>
        <v>159.91999999999999</v>
      </c>
    </row>
    <row r="202" spans="1:10" ht="38.25">
      <c r="A202" s="494" t="s">
        <v>95</v>
      </c>
      <c r="B202" s="8" t="s">
        <v>213</v>
      </c>
      <c r="C202" s="23" t="s">
        <v>24</v>
      </c>
      <c r="D202" s="23" t="s">
        <v>214</v>
      </c>
      <c r="E202" s="1080" t="s">
        <v>125</v>
      </c>
      <c r="F202" s="1080"/>
      <c r="G202" s="8" t="s">
        <v>126</v>
      </c>
      <c r="H202" s="9">
        <v>4.0000000000000001E-3</v>
      </c>
      <c r="I202" s="10">
        <v>230.43</v>
      </c>
      <c r="J202" s="495">
        <f t="shared" si="10"/>
        <v>0.92172000000000009</v>
      </c>
    </row>
    <row r="203" spans="1:10" ht="38.25">
      <c r="A203" s="494" t="s">
        <v>95</v>
      </c>
      <c r="B203" s="8" t="s">
        <v>215</v>
      </c>
      <c r="C203" s="23" t="s">
        <v>24</v>
      </c>
      <c r="D203" s="23" t="s">
        <v>216</v>
      </c>
      <c r="E203" s="1080" t="s">
        <v>125</v>
      </c>
      <c r="F203" s="1080"/>
      <c r="G203" s="8" t="s">
        <v>129</v>
      </c>
      <c r="H203" s="9">
        <v>2.5999999999999999E-2</v>
      </c>
      <c r="I203" s="10">
        <v>100.08</v>
      </c>
      <c r="J203" s="495">
        <f t="shared" si="10"/>
        <v>2.6020799999999999</v>
      </c>
    </row>
    <row r="204" spans="1:10">
      <c r="A204" s="498"/>
      <c r="B204" s="20"/>
      <c r="C204" s="499"/>
      <c r="D204" s="499"/>
      <c r="E204" s="499" t="s">
        <v>116</v>
      </c>
      <c r="F204" s="500">
        <v>5.58</v>
      </c>
      <c r="G204" s="499" t="s">
        <v>117</v>
      </c>
      <c r="H204" s="500">
        <v>0</v>
      </c>
      <c r="I204" s="499" t="s">
        <v>118</v>
      </c>
      <c r="J204" s="501">
        <v>5.58</v>
      </c>
    </row>
    <row r="205" spans="1:10">
      <c r="A205" s="498"/>
      <c r="B205" s="20"/>
      <c r="C205" s="499"/>
      <c r="D205" s="499"/>
      <c r="E205" s="499" t="s">
        <v>119</v>
      </c>
      <c r="F205" s="500">
        <f>J205-J193</f>
        <v>36.521391843000004</v>
      </c>
      <c r="G205" s="499"/>
      <c r="H205" s="1082" t="s">
        <v>120</v>
      </c>
      <c r="I205" s="1082"/>
      <c r="J205" s="501">
        <f>J193*(1+G2)</f>
        <v>210.68158184299998</v>
      </c>
    </row>
    <row r="206" spans="1:10" ht="15" thickBot="1">
      <c r="A206" s="503"/>
      <c r="B206" s="666"/>
      <c r="C206" s="14"/>
      <c r="D206" s="14"/>
      <c r="E206" s="14"/>
      <c r="F206" s="14"/>
      <c r="G206" s="14" t="s">
        <v>121</v>
      </c>
      <c r="H206" s="504">
        <f>'OBRA 03 - MEMÓRIA'!O40</f>
        <v>718.84592000000009</v>
      </c>
      <c r="I206" s="14" t="s">
        <v>122</v>
      </c>
      <c r="J206" s="505">
        <f>TRUNC(H206*J205,2)</f>
        <v>151447.59</v>
      </c>
    </row>
    <row r="207" spans="1:10" ht="15" thickTop="1">
      <c r="A207" s="506"/>
      <c r="B207" s="230"/>
      <c r="C207" s="15"/>
      <c r="D207" s="15"/>
      <c r="E207" s="15"/>
      <c r="F207" s="15"/>
      <c r="G207" s="15"/>
      <c r="H207" s="15"/>
      <c r="I207" s="15"/>
      <c r="J207" s="507"/>
    </row>
    <row r="208" spans="1:10" ht="15">
      <c r="A208" s="490" t="s">
        <v>326</v>
      </c>
      <c r="B208" s="31" t="s">
        <v>7</v>
      </c>
      <c r="C208" s="26" t="s">
        <v>8</v>
      </c>
      <c r="D208" s="26" t="s">
        <v>9</v>
      </c>
      <c r="E208" s="1092" t="s">
        <v>92</v>
      </c>
      <c r="F208" s="1092"/>
      <c r="G208" s="31" t="s">
        <v>10</v>
      </c>
      <c r="H208" s="29" t="s">
        <v>11</v>
      </c>
      <c r="I208" s="29" t="s">
        <v>12</v>
      </c>
      <c r="J208" s="491" t="s">
        <v>14</v>
      </c>
    </row>
    <row r="209" spans="1:10" ht="51">
      <c r="A209" s="492" t="s">
        <v>93</v>
      </c>
      <c r="B209" s="4" t="s">
        <v>42</v>
      </c>
      <c r="C209" s="27" t="s">
        <v>24</v>
      </c>
      <c r="D209" s="27" t="s">
        <v>659</v>
      </c>
      <c r="E209" s="1079" t="s">
        <v>184</v>
      </c>
      <c r="F209" s="1079"/>
      <c r="G209" s="4" t="s">
        <v>28</v>
      </c>
      <c r="H209" s="5">
        <v>1</v>
      </c>
      <c r="I209" s="6">
        <v>7.67</v>
      </c>
      <c r="J209" s="493">
        <f>SUM(J210:J213)</f>
        <v>7.8073019999999991</v>
      </c>
    </row>
    <row r="210" spans="1:10" ht="51">
      <c r="A210" s="494" t="s">
        <v>95</v>
      </c>
      <c r="B210" s="8" t="s">
        <v>185</v>
      </c>
      <c r="C210" s="23" t="s">
        <v>24</v>
      </c>
      <c r="D210" s="23" t="s">
        <v>186</v>
      </c>
      <c r="E210" s="1080" t="s">
        <v>125</v>
      </c>
      <c r="F210" s="1080"/>
      <c r="G210" s="8" t="s">
        <v>126</v>
      </c>
      <c r="H210" s="9">
        <v>2.2499999999999999E-2</v>
      </c>
      <c r="I210" s="10">
        <v>186.94</v>
      </c>
      <c r="J210" s="495">
        <f>I210*H210</f>
        <v>4.2061500000000001</v>
      </c>
    </row>
    <row r="211" spans="1:10" ht="51">
      <c r="A211" s="494" t="s">
        <v>95</v>
      </c>
      <c r="B211" s="8" t="s">
        <v>187</v>
      </c>
      <c r="C211" s="23" t="s">
        <v>24</v>
      </c>
      <c r="D211" s="23" t="s">
        <v>188</v>
      </c>
      <c r="E211" s="1080" t="s">
        <v>125</v>
      </c>
      <c r="F211" s="1080"/>
      <c r="G211" s="8" t="s">
        <v>129</v>
      </c>
      <c r="H211" s="9">
        <v>1.8499999999999999E-2</v>
      </c>
      <c r="I211" s="10">
        <v>62.47</v>
      </c>
      <c r="J211" s="495">
        <f t="shared" ref="J211:J213" si="11">I211*H211</f>
        <v>1.1556949999999999</v>
      </c>
    </row>
    <row r="212" spans="1:10" ht="25.5">
      <c r="A212" s="494" t="s">
        <v>95</v>
      </c>
      <c r="B212" s="8" t="s">
        <v>200</v>
      </c>
      <c r="C212" s="23" t="s">
        <v>24</v>
      </c>
      <c r="D212" s="23" t="s">
        <v>201</v>
      </c>
      <c r="E212" s="1080" t="s">
        <v>125</v>
      </c>
      <c r="F212" s="1080"/>
      <c r="G212" s="8" t="s">
        <v>126</v>
      </c>
      <c r="H212" s="9">
        <v>4.1999999999999997E-3</v>
      </c>
      <c r="I212" s="10">
        <v>257.7</v>
      </c>
      <c r="J212" s="495">
        <f t="shared" si="11"/>
        <v>1.0823399999999999</v>
      </c>
    </row>
    <row r="213" spans="1:10" ht="25.5">
      <c r="A213" s="494" t="s">
        <v>95</v>
      </c>
      <c r="B213" s="8" t="s">
        <v>202</v>
      </c>
      <c r="C213" s="23" t="s">
        <v>24</v>
      </c>
      <c r="D213" s="23" t="s">
        <v>203</v>
      </c>
      <c r="E213" s="1080" t="s">
        <v>125</v>
      </c>
      <c r="F213" s="1080"/>
      <c r="G213" s="8" t="s">
        <v>129</v>
      </c>
      <c r="H213" s="9">
        <v>1.3299999999999999E-2</v>
      </c>
      <c r="I213" s="10">
        <v>102.49</v>
      </c>
      <c r="J213" s="495">
        <f t="shared" si="11"/>
        <v>1.3631169999999999</v>
      </c>
    </row>
    <row r="214" spans="1:10">
      <c r="A214" s="498"/>
      <c r="B214" s="20"/>
      <c r="C214" s="499"/>
      <c r="D214" s="499"/>
      <c r="E214" s="499" t="s">
        <v>116</v>
      </c>
      <c r="F214" s="500">
        <v>1.4</v>
      </c>
      <c r="G214" s="499" t="s">
        <v>117</v>
      </c>
      <c r="H214" s="500">
        <v>0</v>
      </c>
      <c r="I214" s="499" t="s">
        <v>118</v>
      </c>
      <c r="J214" s="501">
        <v>1.4</v>
      </c>
    </row>
    <row r="215" spans="1:10">
      <c r="A215" s="498"/>
      <c r="B215" s="20"/>
      <c r="C215" s="499"/>
      <c r="D215" s="499"/>
      <c r="E215" s="499" t="s">
        <v>119</v>
      </c>
      <c r="F215" s="500">
        <f>J215-J209</f>
        <v>1.6371912293999999</v>
      </c>
      <c r="G215" s="499"/>
      <c r="H215" s="1082" t="s">
        <v>120</v>
      </c>
      <c r="I215" s="1082"/>
      <c r="J215" s="501">
        <f>J209*(1+G2)</f>
        <v>9.444493229399999</v>
      </c>
    </row>
    <row r="216" spans="1:10" ht="15" thickBot="1">
      <c r="A216" s="503"/>
      <c r="B216" s="666"/>
      <c r="C216" s="14"/>
      <c r="D216" s="14"/>
      <c r="E216" s="14"/>
      <c r="F216" s="14"/>
      <c r="G216" s="14" t="s">
        <v>121</v>
      </c>
      <c r="H216" s="504">
        <f>'OBRA 03 - MEMÓRIA'!O42</f>
        <v>1797.1148000000003</v>
      </c>
      <c r="I216" s="14" t="s">
        <v>122</v>
      </c>
      <c r="J216" s="505">
        <f>TRUNC(H216*J215,2)</f>
        <v>16972.830000000002</v>
      </c>
    </row>
    <row r="217" spans="1:10" ht="15" thickTop="1">
      <c r="A217" s="506"/>
      <c r="B217" s="230"/>
      <c r="C217" s="15"/>
      <c r="D217" s="15"/>
      <c r="E217" s="15"/>
      <c r="F217" s="15"/>
      <c r="G217" s="15"/>
      <c r="H217" s="15"/>
      <c r="I217" s="15"/>
      <c r="J217" s="507"/>
    </row>
    <row r="218" spans="1:10" ht="15">
      <c r="A218" s="490" t="s">
        <v>327</v>
      </c>
      <c r="B218" s="31" t="s">
        <v>7</v>
      </c>
      <c r="C218" s="26" t="s">
        <v>8</v>
      </c>
      <c r="D218" s="26" t="s">
        <v>9</v>
      </c>
      <c r="E218" s="1092" t="s">
        <v>92</v>
      </c>
      <c r="F218" s="1092"/>
      <c r="G218" s="31" t="s">
        <v>10</v>
      </c>
      <c r="H218" s="29" t="s">
        <v>11</v>
      </c>
      <c r="I218" s="29" t="s">
        <v>12</v>
      </c>
      <c r="J218" s="491" t="s">
        <v>14</v>
      </c>
    </row>
    <row r="219" spans="1:10" ht="25.5">
      <c r="A219" s="492" t="s">
        <v>93</v>
      </c>
      <c r="B219" s="4" t="s">
        <v>56</v>
      </c>
      <c r="C219" s="27" t="s">
        <v>24</v>
      </c>
      <c r="D219" s="27" t="s">
        <v>658</v>
      </c>
      <c r="E219" s="1079" t="s">
        <v>184</v>
      </c>
      <c r="F219" s="1079"/>
      <c r="G219" s="4" t="s">
        <v>36</v>
      </c>
      <c r="H219" s="5">
        <v>1</v>
      </c>
      <c r="I219" s="6">
        <v>2.46</v>
      </c>
      <c r="J219" s="493">
        <f>SUM(J220:J221)</f>
        <v>2.4911820000000002</v>
      </c>
    </row>
    <row r="220" spans="1:10" ht="51">
      <c r="A220" s="494" t="s">
        <v>95</v>
      </c>
      <c r="B220" s="8" t="s">
        <v>233</v>
      </c>
      <c r="C220" s="23" t="s">
        <v>24</v>
      </c>
      <c r="D220" s="23" t="s">
        <v>234</v>
      </c>
      <c r="E220" s="1080" t="s">
        <v>125</v>
      </c>
      <c r="F220" s="1080"/>
      <c r="G220" s="8" t="s">
        <v>126</v>
      </c>
      <c r="H220" s="9">
        <v>8.3000000000000001E-3</v>
      </c>
      <c r="I220" s="10">
        <v>268.74</v>
      </c>
      <c r="J220" s="495">
        <f>I220*H220</f>
        <v>2.2305420000000002</v>
      </c>
    </row>
    <row r="221" spans="1:10" ht="51">
      <c r="A221" s="494" t="s">
        <v>95</v>
      </c>
      <c r="B221" s="8" t="s">
        <v>235</v>
      </c>
      <c r="C221" s="23" t="s">
        <v>24</v>
      </c>
      <c r="D221" s="23" t="s">
        <v>236</v>
      </c>
      <c r="E221" s="1080" t="s">
        <v>125</v>
      </c>
      <c r="F221" s="1080"/>
      <c r="G221" s="8" t="s">
        <v>129</v>
      </c>
      <c r="H221" s="9">
        <v>3.5999999999999999E-3</v>
      </c>
      <c r="I221" s="10">
        <v>72.400000000000006</v>
      </c>
      <c r="J221" s="495">
        <f>I221*H221</f>
        <v>0.26064000000000004</v>
      </c>
    </row>
    <row r="222" spans="1:10">
      <c r="A222" s="498"/>
      <c r="B222" s="20"/>
      <c r="C222" s="499"/>
      <c r="D222" s="499"/>
      <c r="E222" s="499" t="s">
        <v>116</v>
      </c>
      <c r="F222" s="500">
        <v>0.24000000000000002</v>
      </c>
      <c r="G222" s="499" t="s">
        <v>117</v>
      </c>
      <c r="H222" s="500">
        <v>0</v>
      </c>
      <c r="I222" s="499" t="s">
        <v>118</v>
      </c>
      <c r="J222" s="501">
        <v>0.24000000000000002</v>
      </c>
    </row>
    <row r="223" spans="1:10">
      <c r="A223" s="498"/>
      <c r="B223" s="20"/>
      <c r="C223" s="499"/>
      <c r="D223" s="499"/>
      <c r="E223" s="499" t="s">
        <v>119</v>
      </c>
      <c r="F223" s="500">
        <f>J223-J219</f>
        <v>0.52240086539999986</v>
      </c>
      <c r="G223" s="499"/>
      <c r="H223" s="1082" t="s">
        <v>120</v>
      </c>
      <c r="I223" s="1082"/>
      <c r="J223" s="501">
        <f>J219*(1+G2)</f>
        <v>3.0135828654000001</v>
      </c>
    </row>
    <row r="224" spans="1:10" ht="15" thickBot="1">
      <c r="A224" s="503"/>
      <c r="B224" s="666"/>
      <c r="C224" s="14"/>
      <c r="D224" s="14"/>
      <c r="E224" s="14"/>
      <c r="F224" s="14"/>
      <c r="G224" s="14" t="s">
        <v>121</v>
      </c>
      <c r="H224" s="504">
        <f>'OBRA 03 - MEMÓRIA'!O45</f>
        <v>53913.44400000001</v>
      </c>
      <c r="I224" s="14" t="s">
        <v>122</v>
      </c>
      <c r="J224" s="505">
        <f>TRUNC(H224*J223,2)</f>
        <v>162472.63</v>
      </c>
    </row>
    <row r="225" spans="1:11" ht="15" thickTop="1">
      <c r="A225" s="506"/>
      <c r="B225" s="230"/>
      <c r="C225" s="15"/>
      <c r="D225" s="15"/>
      <c r="E225" s="15"/>
      <c r="F225" s="15"/>
      <c r="G225" s="15"/>
      <c r="H225" s="15"/>
      <c r="I225" s="15"/>
      <c r="J225" s="507"/>
    </row>
    <row r="226" spans="1:11">
      <c r="A226" s="518" t="s">
        <v>58</v>
      </c>
      <c r="B226" s="229"/>
      <c r="C226" s="25"/>
      <c r="D226" s="25" t="s">
        <v>59</v>
      </c>
      <c r="E226" s="25"/>
      <c r="F226" s="1090"/>
      <c r="G226" s="1090"/>
      <c r="H226" s="1"/>
      <c r="I226" s="25"/>
      <c r="J226" s="519">
        <f>J240+J263+J286+J317+J325+J335+J343+J351+J359+J366+J378+J372+J384</f>
        <v>586484.80000000005</v>
      </c>
    </row>
    <row r="227" spans="1:11" ht="15">
      <c r="A227" s="490" t="s">
        <v>457</v>
      </c>
      <c r="B227" s="31" t="s">
        <v>7</v>
      </c>
      <c r="C227" s="26" t="s">
        <v>8</v>
      </c>
      <c r="D227" s="26" t="s">
        <v>9</v>
      </c>
      <c r="E227" s="1092" t="s">
        <v>92</v>
      </c>
      <c r="F227" s="1092"/>
      <c r="G227" s="31" t="s">
        <v>10</v>
      </c>
      <c r="H227" s="29" t="s">
        <v>11</v>
      </c>
      <c r="I227" s="29" t="s">
        <v>12</v>
      </c>
      <c r="J227" s="491" t="s">
        <v>14</v>
      </c>
    </row>
    <row r="228" spans="1:11" ht="38.25">
      <c r="A228" s="492" t="s">
        <v>93</v>
      </c>
      <c r="B228" s="4" t="s">
        <v>458</v>
      </c>
      <c r="C228" s="27" t="s">
        <v>24</v>
      </c>
      <c r="D228" s="27" t="s">
        <v>459</v>
      </c>
      <c r="E228" s="1079" t="s">
        <v>204</v>
      </c>
      <c r="F228" s="1079"/>
      <c r="G228" s="4" t="s">
        <v>21</v>
      </c>
      <c r="H228" s="5">
        <v>1</v>
      </c>
      <c r="I228" s="6">
        <v>80.39</v>
      </c>
      <c r="J228" s="493">
        <f>SUM(J229:J237)</f>
        <v>80.442993000000001</v>
      </c>
    </row>
    <row r="229" spans="1:11" ht="25.5">
      <c r="A229" s="494" t="s">
        <v>95</v>
      </c>
      <c r="B229" s="8" t="s">
        <v>237</v>
      </c>
      <c r="C229" s="23" t="s">
        <v>24</v>
      </c>
      <c r="D229" s="23" t="s">
        <v>238</v>
      </c>
      <c r="E229" s="1080" t="s">
        <v>101</v>
      </c>
      <c r="F229" s="1080"/>
      <c r="G229" s="8" t="s">
        <v>102</v>
      </c>
      <c r="H229" s="9">
        <v>0.26319999999999999</v>
      </c>
      <c r="I229" s="10">
        <v>26.26</v>
      </c>
      <c r="J229" s="495">
        <f>I229*H229</f>
        <v>6.911632</v>
      </c>
    </row>
    <row r="230" spans="1:11" ht="25.5">
      <c r="A230" s="494" t="s">
        <v>95</v>
      </c>
      <c r="B230" s="8" t="s">
        <v>103</v>
      </c>
      <c r="C230" s="23" t="s">
        <v>24</v>
      </c>
      <c r="D230" s="23" t="s">
        <v>104</v>
      </c>
      <c r="E230" s="1080" t="s">
        <v>101</v>
      </c>
      <c r="F230" s="1080"/>
      <c r="G230" s="8" t="s">
        <v>102</v>
      </c>
      <c r="H230" s="9">
        <v>0.26319999999999999</v>
      </c>
      <c r="I230" s="10">
        <v>20.28</v>
      </c>
      <c r="J230" s="495">
        <f t="shared" ref="J230:J237" si="12">I230*H230</f>
        <v>5.3376960000000002</v>
      </c>
    </row>
    <row r="231" spans="1:11" ht="38.25">
      <c r="A231" s="494" t="s">
        <v>95</v>
      </c>
      <c r="B231" s="8" t="s">
        <v>239</v>
      </c>
      <c r="C231" s="23" t="s">
        <v>24</v>
      </c>
      <c r="D231" s="23" t="s">
        <v>240</v>
      </c>
      <c r="E231" s="1080" t="s">
        <v>125</v>
      </c>
      <c r="F231" s="1080"/>
      <c r="G231" s="8" t="s">
        <v>126</v>
      </c>
      <c r="H231" s="9">
        <v>5.4999999999999997E-3</v>
      </c>
      <c r="I231" s="10">
        <v>9.8699999999999992</v>
      </c>
      <c r="J231" s="495">
        <f t="shared" si="12"/>
        <v>5.4284999999999993E-2</v>
      </c>
    </row>
    <row r="232" spans="1:11" ht="38.25">
      <c r="A232" s="494" t="s">
        <v>95</v>
      </c>
      <c r="B232" s="8" t="s">
        <v>241</v>
      </c>
      <c r="C232" s="23" t="s">
        <v>24</v>
      </c>
      <c r="D232" s="23" t="s">
        <v>242</v>
      </c>
      <c r="E232" s="1080" t="s">
        <v>125</v>
      </c>
      <c r="F232" s="1080"/>
      <c r="G232" s="8" t="s">
        <v>129</v>
      </c>
      <c r="H232" s="9">
        <v>0.12609999999999999</v>
      </c>
      <c r="I232" s="10">
        <v>0.68</v>
      </c>
      <c r="J232" s="495">
        <f t="shared" si="12"/>
        <v>8.5748000000000005E-2</v>
      </c>
    </row>
    <row r="233" spans="1:11" ht="51">
      <c r="A233" s="494" t="s">
        <v>95</v>
      </c>
      <c r="B233" s="8" t="s">
        <v>132</v>
      </c>
      <c r="C233" s="23" t="s">
        <v>24</v>
      </c>
      <c r="D233" s="23" t="s">
        <v>133</v>
      </c>
      <c r="E233" s="1080" t="s">
        <v>125</v>
      </c>
      <c r="F233" s="1080"/>
      <c r="G233" s="8" t="s">
        <v>126</v>
      </c>
      <c r="H233" s="9">
        <v>3.8E-3</v>
      </c>
      <c r="I233" s="10">
        <v>10.42</v>
      </c>
      <c r="J233" s="495">
        <f t="shared" si="12"/>
        <v>3.9595999999999999E-2</v>
      </c>
    </row>
    <row r="234" spans="1:11" ht="51">
      <c r="A234" s="494" t="s">
        <v>95</v>
      </c>
      <c r="B234" s="8" t="s">
        <v>134</v>
      </c>
      <c r="C234" s="23" t="s">
        <v>24</v>
      </c>
      <c r="D234" s="23" t="s">
        <v>135</v>
      </c>
      <c r="E234" s="1080" t="s">
        <v>125</v>
      </c>
      <c r="F234" s="1080"/>
      <c r="G234" s="8" t="s">
        <v>129</v>
      </c>
      <c r="H234" s="9">
        <v>0.1278</v>
      </c>
      <c r="I234" s="10">
        <v>0.91</v>
      </c>
      <c r="J234" s="495">
        <f t="shared" si="12"/>
        <v>0.116298</v>
      </c>
      <c r="K234">
        <v>97.311888632099993</v>
      </c>
    </row>
    <row r="235" spans="1:11" ht="25.5">
      <c r="A235" s="496" t="s">
        <v>105</v>
      </c>
      <c r="B235" s="11" t="s">
        <v>243</v>
      </c>
      <c r="C235" s="24" t="s">
        <v>24</v>
      </c>
      <c r="D235" s="24" t="s">
        <v>244</v>
      </c>
      <c r="E235" s="1087" t="s">
        <v>108</v>
      </c>
      <c r="F235" s="1087"/>
      <c r="G235" s="11" t="s">
        <v>28</v>
      </c>
      <c r="H235" s="12">
        <v>5.6800000000000003E-2</v>
      </c>
      <c r="I235" s="13">
        <v>129</v>
      </c>
      <c r="J235" s="497">
        <f t="shared" si="12"/>
        <v>7.3272000000000004</v>
      </c>
    </row>
    <row r="236" spans="1:11">
      <c r="A236" s="496" t="s">
        <v>105</v>
      </c>
      <c r="B236" s="11" t="s">
        <v>245</v>
      </c>
      <c r="C236" s="24" t="s">
        <v>24</v>
      </c>
      <c r="D236" s="24" t="s">
        <v>246</v>
      </c>
      <c r="E236" s="1087" t="s">
        <v>108</v>
      </c>
      <c r="F236" s="1087"/>
      <c r="G236" s="11" t="s">
        <v>28</v>
      </c>
      <c r="H236" s="12">
        <v>9.7999999999999997E-3</v>
      </c>
      <c r="I236" s="13">
        <v>98.69</v>
      </c>
      <c r="J236" s="497">
        <f t="shared" si="12"/>
        <v>0.96716199999999997</v>
      </c>
    </row>
    <row r="237" spans="1:11" ht="38.25">
      <c r="A237" s="496" t="s">
        <v>105</v>
      </c>
      <c r="B237" s="11" t="s">
        <v>487</v>
      </c>
      <c r="C237" s="24" t="s">
        <v>24</v>
      </c>
      <c r="D237" s="24" t="s">
        <v>488</v>
      </c>
      <c r="E237" s="1087" t="s">
        <v>108</v>
      </c>
      <c r="F237" s="1087"/>
      <c r="G237" s="11" t="s">
        <v>21</v>
      </c>
      <c r="H237" s="12">
        <v>1.0041</v>
      </c>
      <c r="I237" s="13">
        <v>59.36</v>
      </c>
      <c r="J237" s="497">
        <f t="shared" si="12"/>
        <v>59.603375999999997</v>
      </c>
    </row>
    <row r="238" spans="1:11">
      <c r="A238" s="498"/>
      <c r="B238" s="20"/>
      <c r="C238" s="499"/>
      <c r="D238" s="499"/>
      <c r="E238" s="499" t="s">
        <v>116</v>
      </c>
      <c r="F238" s="500">
        <v>9.64</v>
      </c>
      <c r="G238" s="499" t="s">
        <v>117</v>
      </c>
      <c r="H238" s="500">
        <v>0</v>
      </c>
      <c r="I238" s="499" t="s">
        <v>118</v>
      </c>
      <c r="J238" s="501">
        <v>9.64</v>
      </c>
    </row>
    <row r="239" spans="1:11">
      <c r="A239" s="498"/>
      <c r="B239" s="20"/>
      <c r="C239" s="499"/>
      <c r="D239" s="499"/>
      <c r="E239" s="499" t="s">
        <v>119</v>
      </c>
      <c r="F239" s="500">
        <f>J239-J228</f>
        <v>16.868895632100006</v>
      </c>
      <c r="G239" s="499"/>
      <c r="H239" s="1082" t="s">
        <v>120</v>
      </c>
      <c r="I239" s="1082"/>
      <c r="J239" s="508">
        <f>J228*(1+G2)</f>
        <v>97.311888632100008</v>
      </c>
    </row>
    <row r="240" spans="1:11" ht="15" thickBot="1">
      <c r="A240" s="503"/>
      <c r="B240" s="666"/>
      <c r="C240" s="14"/>
      <c r="D240" s="14"/>
      <c r="E240" s="14"/>
      <c r="F240" s="14"/>
      <c r="G240" s="14" t="s">
        <v>121</v>
      </c>
      <c r="H240" s="504">
        <f>'OBRA 03 - MEMÓRIA'!O48</f>
        <v>2911.8492000000001</v>
      </c>
      <c r="I240" s="14" t="s">
        <v>122</v>
      </c>
      <c r="J240" s="505">
        <f>TRUNC(H240*J239,2)</f>
        <v>283357.53999999998</v>
      </c>
    </row>
    <row r="241" spans="1:10" ht="15" thickTop="1">
      <c r="A241" s="506"/>
      <c r="B241" s="230"/>
      <c r="C241" s="15"/>
      <c r="D241" s="15"/>
      <c r="E241" s="15"/>
      <c r="F241" s="15"/>
      <c r="G241" s="15"/>
      <c r="H241" s="15"/>
      <c r="I241" s="15"/>
      <c r="J241" s="507"/>
    </row>
    <row r="242" spans="1:10" ht="15">
      <c r="A242" s="490" t="s">
        <v>414</v>
      </c>
      <c r="B242" s="31" t="s">
        <v>7</v>
      </c>
      <c r="C242" s="26" t="s">
        <v>8</v>
      </c>
      <c r="D242" s="26" t="s">
        <v>9</v>
      </c>
      <c r="E242" s="1092" t="s">
        <v>92</v>
      </c>
      <c r="F242" s="1092"/>
      <c r="G242" s="31" t="s">
        <v>10</v>
      </c>
      <c r="H242" s="29" t="s">
        <v>11</v>
      </c>
      <c r="I242" s="29" t="s">
        <v>12</v>
      </c>
      <c r="J242" s="491" t="s">
        <v>14</v>
      </c>
    </row>
    <row r="243" spans="1:10">
      <c r="A243" s="492" t="s">
        <v>93</v>
      </c>
      <c r="B243" s="4" t="s">
        <v>62</v>
      </c>
      <c r="C243" s="27" t="s">
        <v>27</v>
      </c>
      <c r="D243" s="27" t="s">
        <v>563</v>
      </c>
      <c r="E243" s="1079" t="s">
        <v>136</v>
      </c>
      <c r="F243" s="1079"/>
      <c r="G243" s="4" t="s">
        <v>21</v>
      </c>
      <c r="H243" s="5">
        <v>1</v>
      </c>
      <c r="I243" s="6">
        <v>0.4</v>
      </c>
      <c r="J243" s="493">
        <f>J255+J257</f>
        <v>0.39891387824278257</v>
      </c>
    </row>
    <row r="244" spans="1:10" ht="15">
      <c r="A244" s="1096" t="s">
        <v>137</v>
      </c>
      <c r="B244" s="1089" t="s">
        <v>7</v>
      </c>
      <c r="C244" s="1092" t="s">
        <v>8</v>
      </c>
      <c r="D244" s="1092" t="s">
        <v>138</v>
      </c>
      <c r="E244" s="1085" t="s">
        <v>139</v>
      </c>
      <c r="F244" s="1089" t="s">
        <v>140</v>
      </c>
      <c r="G244" s="1085"/>
      <c r="H244" s="1089" t="s">
        <v>141</v>
      </c>
      <c r="I244" s="1085"/>
      <c r="J244" s="1103" t="s">
        <v>142</v>
      </c>
    </row>
    <row r="245" spans="1:10" ht="15">
      <c r="A245" s="1097"/>
      <c r="B245" s="1089"/>
      <c r="C245" s="1085"/>
      <c r="D245" s="1085"/>
      <c r="E245" s="1085"/>
      <c r="F245" s="29" t="s">
        <v>143</v>
      </c>
      <c r="G245" s="29" t="s">
        <v>144</v>
      </c>
      <c r="H245" s="29" t="s">
        <v>143</v>
      </c>
      <c r="I245" s="29" t="s">
        <v>144</v>
      </c>
      <c r="J245" s="1103"/>
    </row>
    <row r="246" spans="1:10" ht="25.5">
      <c r="A246" s="496" t="s">
        <v>105</v>
      </c>
      <c r="B246" s="11" t="s">
        <v>263</v>
      </c>
      <c r="C246" s="24" t="s">
        <v>27</v>
      </c>
      <c r="D246" s="24" t="s">
        <v>264</v>
      </c>
      <c r="E246" s="12">
        <v>1</v>
      </c>
      <c r="F246" s="13">
        <v>1</v>
      </c>
      <c r="G246" s="13">
        <v>0</v>
      </c>
      <c r="H246" s="30">
        <v>255.0376</v>
      </c>
      <c r="I246" s="30">
        <v>74.468100000000007</v>
      </c>
      <c r="J246" s="510">
        <f>E246*(F246*H246+G246*I246)</f>
        <v>255.0376</v>
      </c>
    </row>
    <row r="247" spans="1:10">
      <c r="A247" s="496" t="s">
        <v>105</v>
      </c>
      <c r="B247" s="11" t="s">
        <v>265</v>
      </c>
      <c r="C247" s="24" t="s">
        <v>27</v>
      </c>
      <c r="D247" s="24" t="s">
        <v>266</v>
      </c>
      <c r="E247" s="12">
        <v>2</v>
      </c>
      <c r="F247" s="13">
        <v>1</v>
      </c>
      <c r="G247" s="13">
        <v>0</v>
      </c>
      <c r="H247" s="30">
        <v>57.988100000000003</v>
      </c>
      <c r="I247" s="30">
        <v>39.610100000000003</v>
      </c>
      <c r="J247" s="510">
        <f>E247*(F247*H247+G247*I247)</f>
        <v>115.97620000000001</v>
      </c>
    </row>
    <row r="248" spans="1:10">
      <c r="A248" s="1083"/>
      <c r="B248" s="1084"/>
      <c r="C248" s="1084"/>
      <c r="D248" s="1084"/>
      <c r="E248" s="1084"/>
      <c r="F248" s="1084" t="s">
        <v>145</v>
      </c>
      <c r="G248" s="1084"/>
      <c r="H248" s="1084"/>
      <c r="I248" s="1084"/>
      <c r="J248" s="511">
        <f>SUM(J246:J247)</f>
        <v>371.0138</v>
      </c>
    </row>
    <row r="249" spans="1:10" ht="15">
      <c r="A249" s="490" t="s">
        <v>146</v>
      </c>
      <c r="B249" s="31" t="s">
        <v>7</v>
      </c>
      <c r="C249" s="26" t="s">
        <v>8</v>
      </c>
      <c r="D249" s="26" t="s">
        <v>147</v>
      </c>
      <c r="E249" s="29" t="s">
        <v>139</v>
      </c>
      <c r="F249" s="1085" t="s">
        <v>148</v>
      </c>
      <c r="G249" s="1085"/>
      <c r="H249" s="1085"/>
      <c r="I249" s="1085"/>
      <c r="J249" s="491" t="s">
        <v>142</v>
      </c>
    </row>
    <row r="250" spans="1:10">
      <c r="A250" s="496" t="s">
        <v>105</v>
      </c>
      <c r="B250" s="11">
        <v>88316</v>
      </c>
      <c r="C250" s="24" t="s">
        <v>24</v>
      </c>
      <c r="D250" s="24" t="s">
        <v>149</v>
      </c>
      <c r="E250" s="12">
        <v>2</v>
      </c>
      <c r="F250" s="24"/>
      <c r="G250" s="24"/>
      <c r="H250" s="24"/>
      <c r="I250" s="30">
        <v>21.05</v>
      </c>
      <c r="J250" s="510">
        <f>I250*E250</f>
        <v>42.1</v>
      </c>
    </row>
    <row r="251" spans="1:10">
      <c r="A251" s="1083"/>
      <c r="B251" s="1084"/>
      <c r="C251" s="1084"/>
      <c r="D251" s="1084"/>
      <c r="E251" s="1084"/>
      <c r="F251" s="1084" t="s">
        <v>150</v>
      </c>
      <c r="G251" s="1084"/>
      <c r="H251" s="1084"/>
      <c r="I251" s="1084"/>
      <c r="J251" s="511">
        <f>J250</f>
        <v>42.1</v>
      </c>
    </row>
    <row r="252" spans="1:10">
      <c r="A252" s="1083"/>
      <c r="B252" s="1084"/>
      <c r="C252" s="1084"/>
      <c r="D252" s="1084"/>
      <c r="E252" s="1084"/>
      <c r="F252" s="1084" t="s">
        <v>151</v>
      </c>
      <c r="G252" s="1084"/>
      <c r="H252" s="1084"/>
      <c r="I252" s="1084"/>
      <c r="J252" s="511">
        <v>0</v>
      </c>
    </row>
    <row r="253" spans="1:10">
      <c r="A253" s="1083"/>
      <c r="B253" s="1084"/>
      <c r="C253" s="1084"/>
      <c r="D253" s="1084"/>
      <c r="E253" s="1084"/>
      <c r="F253" s="1084" t="s">
        <v>152</v>
      </c>
      <c r="G253" s="1084"/>
      <c r="H253" s="1084"/>
      <c r="I253" s="1084"/>
      <c r="J253" s="511">
        <f>J251+J248</f>
        <v>413.11380000000003</v>
      </c>
    </row>
    <row r="254" spans="1:10">
      <c r="A254" s="1083"/>
      <c r="B254" s="1084"/>
      <c r="C254" s="1084"/>
      <c r="D254" s="1084"/>
      <c r="E254" s="1084"/>
      <c r="F254" s="1084" t="s">
        <v>153</v>
      </c>
      <c r="G254" s="1084"/>
      <c r="H254" s="1084"/>
      <c r="I254" s="1084"/>
      <c r="J254" s="511">
        <v>2.7000000000000001E-3</v>
      </c>
    </row>
    <row r="255" spans="1:10">
      <c r="A255" s="1083"/>
      <c r="B255" s="1084"/>
      <c r="C255" s="1084"/>
      <c r="D255" s="1084"/>
      <c r="E255" s="1084"/>
      <c r="F255" s="1084" t="s">
        <v>154</v>
      </c>
      <c r="G255" s="1084"/>
      <c r="H255" s="1084"/>
      <c r="I255" s="1084"/>
      <c r="J255" s="511">
        <v>1.1000000000000001E-3</v>
      </c>
    </row>
    <row r="256" spans="1:10">
      <c r="A256" s="1083"/>
      <c r="B256" s="1084"/>
      <c r="C256" s="1084"/>
      <c r="D256" s="1084"/>
      <c r="E256" s="1084"/>
      <c r="F256" s="1084" t="s">
        <v>155</v>
      </c>
      <c r="G256" s="1084"/>
      <c r="H256" s="1084"/>
      <c r="I256" s="1084"/>
      <c r="J256" s="511">
        <v>1038.46</v>
      </c>
    </row>
    <row r="257" spans="1:10">
      <c r="A257" s="1083"/>
      <c r="B257" s="1084"/>
      <c r="C257" s="1084"/>
      <c r="D257" s="1084"/>
      <c r="E257" s="1084"/>
      <c r="F257" s="1084" t="s">
        <v>156</v>
      </c>
      <c r="G257" s="1084"/>
      <c r="H257" s="1084"/>
      <c r="I257" s="1084"/>
      <c r="J257" s="511">
        <f>J253/J256</f>
        <v>0.39781387824278258</v>
      </c>
    </row>
    <row r="258" spans="1:10" ht="15">
      <c r="A258" s="490" t="s">
        <v>157</v>
      </c>
      <c r="B258" s="31" t="s">
        <v>8</v>
      </c>
      <c r="C258" s="26" t="s">
        <v>7</v>
      </c>
      <c r="D258" s="26" t="s">
        <v>108</v>
      </c>
      <c r="E258" s="29" t="s">
        <v>139</v>
      </c>
      <c r="F258" s="29" t="s">
        <v>158</v>
      </c>
      <c r="G258" s="1085" t="s">
        <v>159</v>
      </c>
      <c r="H258" s="1085"/>
      <c r="I258" s="1085"/>
      <c r="J258" s="491" t="s">
        <v>142</v>
      </c>
    </row>
    <row r="259" spans="1:10">
      <c r="A259" s="496" t="s">
        <v>105</v>
      </c>
      <c r="B259" s="11" t="s">
        <v>27</v>
      </c>
      <c r="C259" s="24" t="s">
        <v>267</v>
      </c>
      <c r="D259" s="24" t="s">
        <v>268</v>
      </c>
      <c r="E259" s="12">
        <v>1.2999999999999999E-3</v>
      </c>
      <c r="F259" s="11" t="s">
        <v>61</v>
      </c>
      <c r="G259" s="1086">
        <v>0</v>
      </c>
      <c r="H259" s="1086"/>
      <c r="I259" s="1087"/>
      <c r="J259" s="510">
        <v>0</v>
      </c>
    </row>
    <row r="260" spans="1:10">
      <c r="A260" s="1083"/>
      <c r="B260" s="1084"/>
      <c r="C260" s="1084"/>
      <c r="D260" s="1084"/>
      <c r="E260" s="1084"/>
      <c r="F260" s="1084" t="s">
        <v>160</v>
      </c>
      <c r="G260" s="1084"/>
      <c r="H260" s="1084"/>
      <c r="I260" s="1084"/>
      <c r="J260" s="511">
        <v>0</v>
      </c>
    </row>
    <row r="261" spans="1:10">
      <c r="A261" s="498"/>
      <c r="B261" s="20"/>
      <c r="C261" s="499"/>
      <c r="D261" s="499"/>
      <c r="E261" s="499" t="s">
        <v>116</v>
      </c>
      <c r="F261" s="500">
        <v>4.1187335092348287E-2</v>
      </c>
      <c r="G261" s="499" t="s">
        <v>117</v>
      </c>
      <c r="H261" s="500">
        <v>0</v>
      </c>
      <c r="I261" s="499" t="s">
        <v>118</v>
      </c>
      <c r="J261" s="501">
        <v>4.1187335092348287E-2</v>
      </c>
    </row>
    <row r="262" spans="1:10">
      <c r="A262" s="498"/>
      <c r="B262" s="20"/>
      <c r="C262" s="499"/>
      <c r="D262" s="499"/>
      <c r="E262" s="499" t="s">
        <v>119</v>
      </c>
      <c r="F262" s="500">
        <f>J262-J243</f>
        <v>8.3652240267511502E-2</v>
      </c>
      <c r="G262" s="499"/>
      <c r="H262" s="1082" t="s">
        <v>120</v>
      </c>
      <c r="I262" s="1082"/>
      <c r="J262" s="501">
        <f>J243*(1+G2)</f>
        <v>0.48256611851029407</v>
      </c>
    </row>
    <row r="263" spans="1:10" ht="15" thickBot="1">
      <c r="A263" s="503"/>
      <c r="B263" s="666"/>
      <c r="C263" s="14"/>
      <c r="D263" s="14"/>
      <c r="E263" s="14"/>
      <c r="F263" s="14"/>
      <c r="G263" s="14" t="s">
        <v>121</v>
      </c>
      <c r="H263" s="504">
        <f>'OBRA 03 - MEMÓRIA'!O50</f>
        <v>3594.2296000000001</v>
      </c>
      <c r="I263" s="14" t="s">
        <v>122</v>
      </c>
      <c r="J263" s="505">
        <f>TRUNC(H263*J262,2)</f>
        <v>1734.45</v>
      </c>
    </row>
    <row r="264" spans="1:10" ht="15" thickTop="1">
      <c r="A264" s="506"/>
      <c r="B264" s="230"/>
      <c r="C264" s="15"/>
      <c r="D264" s="15"/>
      <c r="E264" s="15"/>
      <c r="F264" s="15"/>
      <c r="G264" s="15"/>
      <c r="H264" s="15"/>
      <c r="I264" s="15"/>
      <c r="J264" s="507"/>
    </row>
    <row r="265" spans="1:10" ht="15">
      <c r="A265" s="490" t="s">
        <v>415</v>
      </c>
      <c r="B265" s="31" t="s">
        <v>7</v>
      </c>
      <c r="C265" s="26" t="s">
        <v>8</v>
      </c>
      <c r="D265" s="26" t="s">
        <v>9</v>
      </c>
      <c r="E265" s="1092" t="s">
        <v>92</v>
      </c>
      <c r="F265" s="1092"/>
      <c r="G265" s="31" t="s">
        <v>10</v>
      </c>
      <c r="H265" s="29" t="s">
        <v>11</v>
      </c>
      <c r="I265" s="29" t="s">
        <v>12</v>
      </c>
      <c r="J265" s="491" t="s">
        <v>14</v>
      </c>
    </row>
    <row r="266" spans="1:10">
      <c r="A266" s="492" t="s">
        <v>93</v>
      </c>
      <c r="B266" s="4" t="s">
        <v>63</v>
      </c>
      <c r="C266" s="27" t="s">
        <v>27</v>
      </c>
      <c r="D266" s="27" t="s">
        <v>564</v>
      </c>
      <c r="E266" s="1079" t="s">
        <v>136</v>
      </c>
      <c r="F266" s="1079"/>
      <c r="G266" s="4" t="s">
        <v>21</v>
      </c>
      <c r="H266" s="5">
        <v>1</v>
      </c>
      <c r="I266" s="6">
        <v>0.28000000000000003</v>
      </c>
      <c r="J266" s="610">
        <f>SUM(J278+J280)</f>
        <v>0.27620920000000004</v>
      </c>
    </row>
    <row r="267" spans="1:10" ht="15">
      <c r="A267" s="1096" t="s">
        <v>137</v>
      </c>
      <c r="B267" s="1089" t="s">
        <v>7</v>
      </c>
      <c r="C267" s="1092" t="s">
        <v>8</v>
      </c>
      <c r="D267" s="1092" t="s">
        <v>138</v>
      </c>
      <c r="E267" s="1085" t="s">
        <v>139</v>
      </c>
      <c r="F267" s="1089" t="s">
        <v>140</v>
      </c>
      <c r="G267" s="1085"/>
      <c r="H267" s="1089" t="s">
        <v>141</v>
      </c>
      <c r="I267" s="1085"/>
      <c r="J267" s="1103" t="s">
        <v>142</v>
      </c>
    </row>
    <row r="268" spans="1:10" ht="15">
      <c r="A268" s="1097"/>
      <c r="B268" s="1089"/>
      <c r="C268" s="1085"/>
      <c r="D268" s="1085"/>
      <c r="E268" s="1085"/>
      <c r="F268" s="29" t="s">
        <v>143</v>
      </c>
      <c r="G268" s="29" t="s">
        <v>144</v>
      </c>
      <c r="H268" s="29" t="s">
        <v>143</v>
      </c>
      <c r="I268" s="29" t="s">
        <v>144</v>
      </c>
      <c r="J268" s="1103"/>
    </row>
    <row r="269" spans="1:10" ht="25.5">
      <c r="A269" s="496" t="s">
        <v>105</v>
      </c>
      <c r="B269" s="11" t="s">
        <v>263</v>
      </c>
      <c r="C269" s="24" t="s">
        <v>27</v>
      </c>
      <c r="D269" s="24" t="s">
        <v>264</v>
      </c>
      <c r="E269" s="12">
        <v>1</v>
      </c>
      <c r="F269" s="13">
        <v>1</v>
      </c>
      <c r="G269" s="13">
        <v>0</v>
      </c>
      <c r="H269" s="30">
        <v>255.0376</v>
      </c>
      <c r="I269" s="30">
        <v>74.468100000000007</v>
      </c>
      <c r="J269" s="510">
        <f>E269*(F269*H269+G269*I269)</f>
        <v>255.0376</v>
      </c>
    </row>
    <row r="270" spans="1:10">
      <c r="A270" s="496" t="s">
        <v>105</v>
      </c>
      <c r="B270" s="11" t="s">
        <v>265</v>
      </c>
      <c r="C270" s="24" t="s">
        <v>27</v>
      </c>
      <c r="D270" s="24" t="s">
        <v>266</v>
      </c>
      <c r="E270" s="12">
        <v>2</v>
      </c>
      <c r="F270" s="13">
        <v>1</v>
      </c>
      <c r="G270" s="13">
        <v>0</v>
      </c>
      <c r="H270" s="30">
        <v>57.988100000000003</v>
      </c>
      <c r="I270" s="30">
        <v>39.610100000000003</v>
      </c>
      <c r="J270" s="510">
        <f>E270*(F270*H270+G270*I270)</f>
        <v>115.97620000000001</v>
      </c>
    </row>
    <row r="271" spans="1:10">
      <c r="A271" s="1083"/>
      <c r="B271" s="1084"/>
      <c r="C271" s="1084"/>
      <c r="D271" s="1084"/>
      <c r="E271" s="1084"/>
      <c r="F271" s="1084" t="s">
        <v>145</v>
      </c>
      <c r="G271" s="1084"/>
      <c r="H271" s="1084"/>
      <c r="I271" s="1084"/>
      <c r="J271" s="511">
        <f>SUM(J269:J270)</f>
        <v>371.0138</v>
      </c>
    </row>
    <row r="272" spans="1:10" ht="15">
      <c r="A272" s="490" t="s">
        <v>146</v>
      </c>
      <c r="B272" s="31" t="s">
        <v>7</v>
      </c>
      <c r="C272" s="26" t="s">
        <v>8</v>
      </c>
      <c r="D272" s="26" t="s">
        <v>147</v>
      </c>
      <c r="E272" s="29" t="s">
        <v>139</v>
      </c>
      <c r="F272" s="1085" t="s">
        <v>148</v>
      </c>
      <c r="G272" s="1085"/>
      <c r="H272" s="1085"/>
      <c r="I272" s="1085"/>
      <c r="J272" s="491" t="s">
        <v>142</v>
      </c>
    </row>
    <row r="273" spans="1:10">
      <c r="A273" s="496" t="s">
        <v>105</v>
      </c>
      <c r="B273" s="11">
        <v>88316</v>
      </c>
      <c r="C273" s="24" t="s">
        <v>24</v>
      </c>
      <c r="D273" s="24" t="s">
        <v>149</v>
      </c>
      <c r="E273" s="12">
        <v>2</v>
      </c>
      <c r="F273" s="24"/>
      <c r="G273" s="24"/>
      <c r="H273" s="24"/>
      <c r="I273" s="30">
        <v>21.05</v>
      </c>
      <c r="J273" s="510">
        <f>I273*E273</f>
        <v>42.1</v>
      </c>
    </row>
    <row r="274" spans="1:10">
      <c r="A274" s="1083"/>
      <c r="B274" s="1084"/>
      <c r="C274" s="1084"/>
      <c r="D274" s="1084"/>
      <c r="E274" s="1084"/>
      <c r="F274" s="1084" t="s">
        <v>150</v>
      </c>
      <c r="G274" s="1084"/>
      <c r="H274" s="1084"/>
      <c r="I274" s="1084"/>
      <c r="J274" s="511">
        <f>J273</f>
        <v>42.1</v>
      </c>
    </row>
    <row r="275" spans="1:10">
      <c r="A275" s="1083"/>
      <c r="B275" s="1084"/>
      <c r="C275" s="1084"/>
      <c r="D275" s="1084"/>
      <c r="E275" s="1084"/>
      <c r="F275" s="1084" t="s">
        <v>151</v>
      </c>
      <c r="G275" s="1084"/>
      <c r="H275" s="1084"/>
      <c r="I275" s="1084"/>
      <c r="J275" s="511">
        <v>0</v>
      </c>
    </row>
    <row r="276" spans="1:10">
      <c r="A276" s="1083"/>
      <c r="B276" s="1084"/>
      <c r="C276" s="1084"/>
      <c r="D276" s="1084"/>
      <c r="E276" s="1084"/>
      <c r="F276" s="1084" t="s">
        <v>152</v>
      </c>
      <c r="G276" s="1084"/>
      <c r="H276" s="1084"/>
      <c r="I276" s="1084"/>
      <c r="J276" s="511">
        <f>J274+J271</f>
        <v>413.11380000000003</v>
      </c>
    </row>
    <row r="277" spans="1:10">
      <c r="A277" s="1083"/>
      <c r="B277" s="1084"/>
      <c r="C277" s="1084"/>
      <c r="D277" s="1084"/>
      <c r="E277" s="1084"/>
      <c r="F277" s="1084" t="s">
        <v>153</v>
      </c>
      <c r="G277" s="1084"/>
      <c r="H277" s="1084"/>
      <c r="I277" s="1084"/>
      <c r="J277" s="511">
        <v>2.7000000000000001E-3</v>
      </c>
    </row>
    <row r="278" spans="1:10">
      <c r="A278" s="1083"/>
      <c r="B278" s="1084"/>
      <c r="C278" s="1084"/>
      <c r="D278" s="1084"/>
      <c r="E278" s="1084"/>
      <c r="F278" s="1084" t="s">
        <v>154</v>
      </c>
      <c r="G278" s="1084"/>
      <c r="H278" s="1084"/>
      <c r="I278" s="1084"/>
      <c r="J278" s="511">
        <v>8.0000000000000004E-4</v>
      </c>
    </row>
    <row r="279" spans="1:10">
      <c r="A279" s="1083"/>
      <c r="B279" s="1084"/>
      <c r="C279" s="1084"/>
      <c r="D279" s="1084"/>
      <c r="E279" s="1084"/>
      <c r="F279" s="1084" t="s">
        <v>155</v>
      </c>
      <c r="G279" s="1084"/>
      <c r="H279" s="1084"/>
      <c r="I279" s="1084"/>
      <c r="J279" s="511">
        <v>1500</v>
      </c>
    </row>
    <row r="280" spans="1:10">
      <c r="A280" s="1083"/>
      <c r="B280" s="1084"/>
      <c r="C280" s="1084"/>
      <c r="D280" s="1084"/>
      <c r="E280" s="1084"/>
      <c r="F280" s="1084" t="s">
        <v>156</v>
      </c>
      <c r="G280" s="1084"/>
      <c r="H280" s="1084"/>
      <c r="I280" s="1084"/>
      <c r="J280" s="511">
        <f>J276/J279</f>
        <v>0.27540920000000002</v>
      </c>
    </row>
    <row r="281" spans="1:10" ht="15">
      <c r="A281" s="490" t="s">
        <v>157</v>
      </c>
      <c r="B281" s="31" t="s">
        <v>8</v>
      </c>
      <c r="C281" s="26" t="s">
        <v>7</v>
      </c>
      <c r="D281" s="26" t="s">
        <v>108</v>
      </c>
      <c r="E281" s="29" t="s">
        <v>139</v>
      </c>
      <c r="F281" s="29" t="s">
        <v>158</v>
      </c>
      <c r="G281" s="1085" t="s">
        <v>159</v>
      </c>
      <c r="H281" s="1085"/>
      <c r="I281" s="1085"/>
      <c r="J281" s="491" t="s">
        <v>142</v>
      </c>
    </row>
    <row r="282" spans="1:10">
      <c r="A282" s="496" t="s">
        <v>105</v>
      </c>
      <c r="B282" s="11" t="s">
        <v>27</v>
      </c>
      <c r="C282" s="24" t="s">
        <v>269</v>
      </c>
      <c r="D282" s="24" t="s">
        <v>270</v>
      </c>
      <c r="E282" s="12">
        <v>4.4999999999999999E-4</v>
      </c>
      <c r="F282" s="11" t="s">
        <v>61</v>
      </c>
      <c r="G282" s="1086">
        <v>0</v>
      </c>
      <c r="H282" s="1086"/>
      <c r="I282" s="1087"/>
      <c r="J282" s="510">
        <v>0</v>
      </c>
    </row>
    <row r="283" spans="1:10">
      <c r="A283" s="1083"/>
      <c r="B283" s="1084"/>
      <c r="C283" s="1084"/>
      <c r="D283" s="1084"/>
      <c r="E283" s="1084"/>
      <c r="F283" s="1084" t="s">
        <v>160</v>
      </c>
      <c r="G283" s="1084"/>
      <c r="H283" s="1084"/>
      <c r="I283" s="1084"/>
      <c r="J283" s="511">
        <v>0</v>
      </c>
    </row>
    <row r="284" spans="1:10">
      <c r="A284" s="498"/>
      <c r="B284" s="20"/>
      <c r="C284" s="499"/>
      <c r="D284" s="499"/>
      <c r="E284" s="499" t="s">
        <v>116</v>
      </c>
      <c r="F284" s="500">
        <v>2.8514266666666666E-2</v>
      </c>
      <c r="G284" s="499" t="s">
        <v>117</v>
      </c>
      <c r="H284" s="500">
        <v>0</v>
      </c>
      <c r="I284" s="499" t="s">
        <v>118</v>
      </c>
      <c r="J284" s="501">
        <v>2.8514266666666666E-2</v>
      </c>
    </row>
    <row r="285" spans="1:10">
      <c r="A285" s="498"/>
      <c r="B285" s="20"/>
      <c r="C285" s="499"/>
      <c r="D285" s="499"/>
      <c r="E285" s="499" t="s">
        <v>119</v>
      </c>
      <c r="F285" s="500">
        <f>J285-J266</f>
        <v>5.7921069240000012E-2</v>
      </c>
      <c r="G285" s="499"/>
      <c r="H285" s="1082" t="s">
        <v>120</v>
      </c>
      <c r="I285" s="1082"/>
      <c r="J285" s="611">
        <f>J266*(1+G2)</f>
        <v>0.33413026924000006</v>
      </c>
    </row>
    <row r="286" spans="1:10" ht="15" thickBot="1">
      <c r="A286" s="503"/>
      <c r="B286" s="666"/>
      <c r="C286" s="14"/>
      <c r="D286" s="14"/>
      <c r="E286" s="14"/>
      <c r="F286" s="14"/>
      <c r="G286" s="14" t="s">
        <v>121</v>
      </c>
      <c r="H286" s="504">
        <f>'OBRA 03 - MEMÓRIA'!O52</f>
        <v>3594.2296000000001</v>
      </c>
      <c r="I286" s="14" t="s">
        <v>122</v>
      </c>
      <c r="J286" s="505">
        <f>TRUNC(H286*J285,2)</f>
        <v>1200.94</v>
      </c>
    </row>
    <row r="287" spans="1:10" ht="15" thickTop="1">
      <c r="A287" s="506"/>
      <c r="B287" s="230"/>
      <c r="C287" s="15"/>
      <c r="D287" s="15"/>
      <c r="E287" s="15"/>
      <c r="F287" s="15"/>
      <c r="G287" s="15"/>
      <c r="H287" s="15"/>
      <c r="I287" s="15"/>
      <c r="J287" s="507"/>
    </row>
    <row r="288" spans="1:10" ht="15">
      <c r="A288" s="490" t="s">
        <v>416</v>
      </c>
      <c r="B288" s="31" t="s">
        <v>7</v>
      </c>
      <c r="C288" s="26" t="s">
        <v>8</v>
      </c>
      <c r="D288" s="26" t="s">
        <v>9</v>
      </c>
      <c r="E288" s="1092" t="s">
        <v>92</v>
      </c>
      <c r="F288" s="1092"/>
      <c r="G288" s="31" t="s">
        <v>10</v>
      </c>
      <c r="H288" s="29" t="s">
        <v>11</v>
      </c>
      <c r="I288" s="29" t="s">
        <v>12</v>
      </c>
      <c r="J288" s="491" t="s">
        <v>14</v>
      </c>
    </row>
    <row r="289" spans="1:10">
      <c r="A289" s="492" t="s">
        <v>93</v>
      </c>
      <c r="B289" s="4" t="s">
        <v>60</v>
      </c>
      <c r="C289" s="27" t="s">
        <v>27</v>
      </c>
      <c r="D289" s="27" t="s">
        <v>565</v>
      </c>
      <c r="E289" s="1079" t="s">
        <v>136</v>
      </c>
      <c r="F289" s="1079"/>
      <c r="G289" s="4" t="s">
        <v>61</v>
      </c>
      <c r="H289" s="5">
        <v>1</v>
      </c>
      <c r="I289" s="6">
        <v>193.45</v>
      </c>
      <c r="J289" s="493">
        <f>SUM(J304+J302+J307+J310)</f>
        <v>196.22979753012049</v>
      </c>
    </row>
    <row r="290" spans="1:10" ht="15">
      <c r="A290" s="1096" t="s">
        <v>137</v>
      </c>
      <c r="B290" s="1089" t="s">
        <v>7</v>
      </c>
      <c r="C290" s="1092" t="s">
        <v>8</v>
      </c>
      <c r="D290" s="1092" t="s">
        <v>138</v>
      </c>
      <c r="E290" s="1085" t="s">
        <v>139</v>
      </c>
      <c r="F290" s="1089" t="s">
        <v>140</v>
      </c>
      <c r="G290" s="1085"/>
      <c r="H290" s="1089" t="s">
        <v>141</v>
      </c>
      <c r="I290" s="1085"/>
      <c r="J290" s="1103" t="s">
        <v>142</v>
      </c>
    </row>
    <row r="291" spans="1:10" ht="15">
      <c r="A291" s="1097"/>
      <c r="B291" s="1089"/>
      <c r="C291" s="1085"/>
      <c r="D291" s="1085"/>
      <c r="E291" s="1085"/>
      <c r="F291" s="29" t="s">
        <v>143</v>
      </c>
      <c r="G291" s="29" t="s">
        <v>144</v>
      </c>
      <c r="H291" s="29" t="s">
        <v>143</v>
      </c>
      <c r="I291" s="29" t="s">
        <v>144</v>
      </c>
      <c r="J291" s="1103"/>
    </row>
    <row r="292" spans="1:10">
      <c r="A292" s="496" t="s">
        <v>105</v>
      </c>
      <c r="B292" s="11" t="s">
        <v>247</v>
      </c>
      <c r="C292" s="24" t="s">
        <v>27</v>
      </c>
      <c r="D292" s="24" t="s">
        <v>248</v>
      </c>
      <c r="E292" s="12">
        <v>1</v>
      </c>
      <c r="F292" s="13">
        <v>0.71</v>
      </c>
      <c r="G292" s="13">
        <v>0.28999999999999998</v>
      </c>
      <c r="H292" s="30">
        <v>253.07490000000001</v>
      </c>
      <c r="I292" s="30">
        <v>123.47490000000001</v>
      </c>
      <c r="J292" s="510">
        <f>E292*(F292*H292+G292*I292)</f>
        <v>215.49090000000001</v>
      </c>
    </row>
    <row r="293" spans="1:10">
      <c r="A293" s="496" t="s">
        <v>105</v>
      </c>
      <c r="B293" s="11" t="s">
        <v>249</v>
      </c>
      <c r="C293" s="24" t="s">
        <v>27</v>
      </c>
      <c r="D293" s="24" t="s">
        <v>250</v>
      </c>
      <c r="E293" s="12">
        <v>1</v>
      </c>
      <c r="F293" s="13">
        <v>0.82</v>
      </c>
      <c r="G293" s="13">
        <v>0.18</v>
      </c>
      <c r="H293" s="30">
        <v>282.21789999999999</v>
      </c>
      <c r="I293" s="30">
        <v>107.3302</v>
      </c>
      <c r="J293" s="510">
        <f t="shared" ref="J293:J294" si="13">E293*(F293*H293+G293*I293)</f>
        <v>250.73811399999997</v>
      </c>
    </row>
    <row r="294" spans="1:10">
      <c r="A294" s="496" t="s">
        <v>105</v>
      </c>
      <c r="B294" s="11" t="s">
        <v>251</v>
      </c>
      <c r="C294" s="24" t="s">
        <v>27</v>
      </c>
      <c r="D294" s="24" t="s">
        <v>252</v>
      </c>
      <c r="E294" s="12">
        <v>1</v>
      </c>
      <c r="F294" s="13">
        <v>1</v>
      </c>
      <c r="G294" s="13">
        <v>0</v>
      </c>
      <c r="H294" s="30">
        <v>613.91650000000004</v>
      </c>
      <c r="I294" s="30">
        <v>291.87169999999998</v>
      </c>
      <c r="J294" s="510">
        <f t="shared" si="13"/>
        <v>613.91650000000004</v>
      </c>
    </row>
    <row r="295" spans="1:10">
      <c r="A295" s="1083"/>
      <c r="B295" s="1084"/>
      <c r="C295" s="1084"/>
      <c r="D295" s="1084"/>
      <c r="E295" s="1084"/>
      <c r="F295" s="1084" t="s">
        <v>145</v>
      </c>
      <c r="G295" s="1084"/>
      <c r="H295" s="1084"/>
      <c r="I295" s="1084"/>
      <c r="J295" s="511">
        <f>SUM(J292:J294)</f>
        <v>1080.145514</v>
      </c>
    </row>
    <row r="296" spans="1:10" ht="15">
      <c r="A296" s="490" t="s">
        <v>146</v>
      </c>
      <c r="B296" s="31" t="s">
        <v>7</v>
      </c>
      <c r="C296" s="26" t="s">
        <v>8</v>
      </c>
      <c r="D296" s="26" t="s">
        <v>147</v>
      </c>
      <c r="E296" s="29" t="s">
        <v>139</v>
      </c>
      <c r="F296" s="1085" t="s">
        <v>148</v>
      </c>
      <c r="G296" s="1085"/>
      <c r="H296" s="1085"/>
      <c r="I296" s="1085"/>
      <c r="J296" s="491" t="s">
        <v>142</v>
      </c>
    </row>
    <row r="297" spans="1:10">
      <c r="A297" s="496" t="s">
        <v>105</v>
      </c>
      <c r="B297" s="11">
        <v>88316</v>
      </c>
      <c r="C297" s="24" t="s">
        <v>24</v>
      </c>
      <c r="D297" s="24" t="s">
        <v>149</v>
      </c>
      <c r="E297" s="12">
        <v>8</v>
      </c>
      <c r="F297" s="24"/>
      <c r="G297" s="24"/>
      <c r="H297" s="24"/>
      <c r="I297" s="30">
        <v>21.05</v>
      </c>
      <c r="J297" s="510">
        <f>I297*E297</f>
        <v>168.4</v>
      </c>
    </row>
    <row r="298" spans="1:10">
      <c r="A298" s="1083"/>
      <c r="B298" s="1084"/>
      <c r="C298" s="1084"/>
      <c r="D298" s="1084"/>
      <c r="E298" s="1084"/>
      <c r="F298" s="1084" t="s">
        <v>150</v>
      </c>
      <c r="G298" s="1084"/>
      <c r="H298" s="1084"/>
      <c r="I298" s="1084"/>
      <c r="J298" s="511">
        <f>J297</f>
        <v>168.4</v>
      </c>
    </row>
    <row r="299" spans="1:10">
      <c r="A299" s="1083"/>
      <c r="B299" s="1084"/>
      <c r="C299" s="1084"/>
      <c r="D299" s="1084"/>
      <c r="E299" s="1084"/>
      <c r="F299" s="1084" t="s">
        <v>151</v>
      </c>
      <c r="G299" s="1084"/>
      <c r="H299" s="1084"/>
      <c r="I299" s="1084"/>
      <c r="J299" s="511">
        <v>0</v>
      </c>
    </row>
    <row r="300" spans="1:10">
      <c r="A300" s="1083"/>
      <c r="B300" s="1084"/>
      <c r="C300" s="1084"/>
      <c r="D300" s="1084"/>
      <c r="E300" s="1084"/>
      <c r="F300" s="1084" t="s">
        <v>152</v>
      </c>
      <c r="G300" s="1084"/>
      <c r="H300" s="1084"/>
      <c r="I300" s="1084"/>
      <c r="J300" s="511">
        <f>J298+J295</f>
        <v>1248.5455140000001</v>
      </c>
    </row>
    <row r="301" spans="1:10">
      <c r="A301" s="1083"/>
      <c r="B301" s="1084"/>
      <c r="C301" s="1084"/>
      <c r="D301" s="1084"/>
      <c r="E301" s="1084"/>
      <c r="F301" s="1084" t="s">
        <v>153</v>
      </c>
      <c r="G301" s="1084"/>
      <c r="H301" s="1084"/>
      <c r="I301" s="1084"/>
      <c r="J301" s="511">
        <v>2.7000000000000001E-3</v>
      </c>
    </row>
    <row r="302" spans="1:10">
      <c r="A302" s="1083"/>
      <c r="B302" s="1084"/>
      <c r="C302" s="1084"/>
      <c r="D302" s="1084"/>
      <c r="E302" s="1084"/>
      <c r="F302" s="1084" t="s">
        <v>154</v>
      </c>
      <c r="G302" s="1084"/>
      <c r="H302" s="1084"/>
      <c r="I302" s="1084"/>
      <c r="J302" s="511">
        <v>3.4200000000000001E-2</v>
      </c>
    </row>
    <row r="303" spans="1:10">
      <c r="A303" s="1083"/>
      <c r="B303" s="1084"/>
      <c r="C303" s="1084"/>
      <c r="D303" s="1084"/>
      <c r="E303" s="1084"/>
      <c r="F303" s="1084" t="s">
        <v>155</v>
      </c>
      <c r="G303" s="1084"/>
      <c r="H303" s="1084"/>
      <c r="I303" s="1084"/>
      <c r="J303" s="511">
        <v>99.6</v>
      </c>
    </row>
    <row r="304" spans="1:10">
      <c r="A304" s="1083"/>
      <c r="B304" s="1084"/>
      <c r="C304" s="1084"/>
      <c r="D304" s="1084"/>
      <c r="E304" s="1084"/>
      <c r="F304" s="1084" t="s">
        <v>156</v>
      </c>
      <c r="G304" s="1084"/>
      <c r="H304" s="1084"/>
      <c r="I304" s="1084"/>
      <c r="J304" s="511">
        <f>J300/J303</f>
        <v>12.535597530120484</v>
      </c>
    </row>
    <row r="305" spans="1:10" ht="15">
      <c r="A305" s="490" t="s">
        <v>253</v>
      </c>
      <c r="B305" s="31" t="s">
        <v>8</v>
      </c>
      <c r="C305" s="26" t="s">
        <v>7</v>
      </c>
      <c r="D305" s="26" t="s">
        <v>254</v>
      </c>
      <c r="E305" s="29" t="s">
        <v>139</v>
      </c>
      <c r="F305" s="29" t="s">
        <v>158</v>
      </c>
      <c r="G305" s="1085" t="s">
        <v>159</v>
      </c>
      <c r="H305" s="1085"/>
      <c r="I305" s="1085"/>
      <c r="J305" s="491" t="s">
        <v>142</v>
      </c>
    </row>
    <row r="306" spans="1:10" ht="25.5">
      <c r="A306" s="494" t="s">
        <v>255</v>
      </c>
      <c r="B306" s="8" t="s">
        <v>27</v>
      </c>
      <c r="C306" s="23">
        <v>6416078</v>
      </c>
      <c r="D306" s="23" t="s">
        <v>256</v>
      </c>
      <c r="E306" s="9">
        <v>1</v>
      </c>
      <c r="F306" s="8" t="s">
        <v>61</v>
      </c>
      <c r="G306" s="1088">
        <v>175.77</v>
      </c>
      <c r="H306" s="1088"/>
      <c r="I306" s="1080"/>
      <c r="J306" s="514">
        <f>G306*E306</f>
        <v>175.77</v>
      </c>
    </row>
    <row r="307" spans="1:10">
      <c r="A307" s="1083"/>
      <c r="B307" s="1084"/>
      <c r="C307" s="1084"/>
      <c r="D307" s="1084"/>
      <c r="E307" s="1084"/>
      <c r="F307" s="1084" t="s">
        <v>257</v>
      </c>
      <c r="G307" s="1084"/>
      <c r="H307" s="1084"/>
      <c r="I307" s="1084"/>
      <c r="J307" s="511">
        <f>J306</f>
        <v>175.77</v>
      </c>
    </row>
    <row r="308" spans="1:10" ht="15">
      <c r="A308" s="490" t="s">
        <v>161</v>
      </c>
      <c r="B308" s="31" t="s">
        <v>8</v>
      </c>
      <c r="C308" s="26" t="s">
        <v>105</v>
      </c>
      <c r="D308" s="26" t="s">
        <v>162</v>
      </c>
      <c r="E308" s="29" t="s">
        <v>7</v>
      </c>
      <c r="F308" s="29" t="s">
        <v>139</v>
      </c>
      <c r="G308" s="31" t="s">
        <v>158</v>
      </c>
      <c r="H308" s="1085" t="s">
        <v>159</v>
      </c>
      <c r="I308" s="1085"/>
      <c r="J308" s="491" t="s">
        <v>142</v>
      </c>
    </row>
    <row r="309" spans="1:10" ht="38.25">
      <c r="A309" s="494" t="s">
        <v>163</v>
      </c>
      <c r="B309" s="8" t="s">
        <v>27</v>
      </c>
      <c r="C309" s="23">
        <v>6416078</v>
      </c>
      <c r="D309" s="23" t="s">
        <v>258</v>
      </c>
      <c r="E309" s="7">
        <v>5914649</v>
      </c>
      <c r="F309" s="9">
        <v>1</v>
      </c>
      <c r="G309" s="8" t="s">
        <v>61</v>
      </c>
      <c r="H309" s="1088">
        <v>7.89</v>
      </c>
      <c r="I309" s="1080"/>
      <c r="J309" s="514">
        <f>H309*F309</f>
        <v>7.89</v>
      </c>
    </row>
    <row r="310" spans="1:10">
      <c r="A310" s="1083"/>
      <c r="B310" s="1084"/>
      <c r="C310" s="1084"/>
      <c r="D310" s="1084"/>
      <c r="E310" s="1084"/>
      <c r="F310" s="1084" t="s">
        <v>164</v>
      </c>
      <c r="G310" s="1084"/>
      <c r="H310" s="1084"/>
      <c r="I310" s="1084"/>
      <c r="J310" s="511">
        <f>J309</f>
        <v>7.89</v>
      </c>
    </row>
    <row r="311" spans="1:10" ht="15">
      <c r="A311" s="490" t="s">
        <v>165</v>
      </c>
      <c r="B311" s="31" t="s">
        <v>8</v>
      </c>
      <c r="C311" s="26" t="s">
        <v>105</v>
      </c>
      <c r="D311" s="26" t="s">
        <v>166</v>
      </c>
      <c r="E311" s="29" t="s">
        <v>139</v>
      </c>
      <c r="F311" s="29" t="s">
        <v>158</v>
      </c>
      <c r="G311" s="1089" t="s">
        <v>167</v>
      </c>
      <c r="H311" s="1085"/>
      <c r="I311" s="1085"/>
      <c r="J311" s="491" t="s">
        <v>142</v>
      </c>
    </row>
    <row r="312" spans="1:10" ht="15">
      <c r="A312" s="515"/>
      <c r="B312" s="31"/>
      <c r="C312" s="31"/>
      <c r="D312" s="31"/>
      <c r="E312" s="31"/>
      <c r="F312" s="31"/>
      <c r="G312" s="31" t="s">
        <v>168</v>
      </c>
      <c r="H312" s="31" t="s">
        <v>169</v>
      </c>
      <c r="I312" s="31" t="s">
        <v>170</v>
      </c>
      <c r="J312" s="516"/>
    </row>
    <row r="313" spans="1:10" ht="38.25">
      <c r="A313" s="494" t="s">
        <v>166</v>
      </c>
      <c r="B313" s="8" t="s">
        <v>27</v>
      </c>
      <c r="C313" s="23">
        <v>6416078</v>
      </c>
      <c r="D313" s="23" t="s">
        <v>259</v>
      </c>
      <c r="E313" s="9">
        <v>1</v>
      </c>
      <c r="F313" s="8" t="s">
        <v>171</v>
      </c>
      <c r="G313" s="7" t="s">
        <v>260</v>
      </c>
      <c r="H313" s="7" t="s">
        <v>261</v>
      </c>
      <c r="I313" s="7" t="s">
        <v>262</v>
      </c>
      <c r="J313" s="514">
        <v>0</v>
      </c>
    </row>
    <row r="314" spans="1:10">
      <c r="A314" s="1083"/>
      <c r="B314" s="1084"/>
      <c r="C314" s="1084"/>
      <c r="D314" s="1084"/>
      <c r="E314" s="1084"/>
      <c r="F314" s="1084" t="s">
        <v>172</v>
      </c>
      <c r="G314" s="1084"/>
      <c r="H314" s="1084"/>
      <c r="I314" s="1084"/>
      <c r="J314" s="511">
        <v>0</v>
      </c>
    </row>
    <row r="315" spans="1:10">
      <c r="A315" s="498"/>
      <c r="B315" s="20"/>
      <c r="C315" s="499"/>
      <c r="D315" s="499"/>
      <c r="E315" s="499" t="s">
        <v>116</v>
      </c>
      <c r="F315" s="500">
        <v>2.576590361445783</v>
      </c>
      <c r="G315" s="499" t="s">
        <v>117</v>
      </c>
      <c r="H315" s="500">
        <v>0</v>
      </c>
      <c r="I315" s="499" t="s">
        <v>118</v>
      </c>
      <c r="J315" s="501">
        <v>2.576590361445783</v>
      </c>
    </row>
    <row r="316" spans="1:10">
      <c r="A316" s="498"/>
      <c r="B316" s="20"/>
      <c r="C316" s="499"/>
      <c r="D316" s="499"/>
      <c r="E316" s="499" t="s">
        <v>119</v>
      </c>
      <c r="F316" s="500">
        <f>J316-J289</f>
        <v>41.149388542066276</v>
      </c>
      <c r="G316" s="499"/>
      <c r="H316" s="1082" t="s">
        <v>120</v>
      </c>
      <c r="I316" s="1082"/>
      <c r="J316" s="501">
        <f>J289*(1+G2)</f>
        <v>237.37918607218677</v>
      </c>
    </row>
    <row r="317" spans="1:10" ht="15" thickBot="1">
      <c r="A317" s="503"/>
      <c r="B317" s="666"/>
      <c r="C317" s="14"/>
      <c r="D317" s="14"/>
      <c r="E317" s="14"/>
      <c r="F317" s="14"/>
      <c r="G317" s="14" t="s">
        <v>121</v>
      </c>
      <c r="H317" s="504">
        <f>'OBRA 03 - MEMÓRIA'!O54</f>
        <v>431.30755200000004</v>
      </c>
      <c r="I317" s="14" t="s">
        <v>122</v>
      </c>
      <c r="J317" s="505">
        <f>TRUNC(H317*J316,2)</f>
        <v>102383.43</v>
      </c>
    </row>
    <row r="318" spans="1:10" ht="15" thickTop="1">
      <c r="A318" s="506"/>
      <c r="B318" s="230"/>
      <c r="C318" s="15"/>
      <c r="D318" s="15"/>
      <c r="E318" s="15"/>
      <c r="F318" s="15"/>
      <c r="G318" s="15"/>
      <c r="H318" s="15"/>
      <c r="I318" s="15"/>
      <c r="J318" s="507"/>
    </row>
    <row r="319" spans="1:10" ht="15">
      <c r="A319" s="490" t="s">
        <v>417</v>
      </c>
      <c r="B319" s="31" t="s">
        <v>7</v>
      </c>
      <c r="C319" s="26" t="s">
        <v>8</v>
      </c>
      <c r="D319" s="26" t="s">
        <v>9</v>
      </c>
      <c r="E319" s="1092" t="s">
        <v>92</v>
      </c>
      <c r="F319" s="1092"/>
      <c r="G319" s="31" t="s">
        <v>10</v>
      </c>
      <c r="H319" s="29" t="s">
        <v>11</v>
      </c>
      <c r="I319" s="29" t="s">
        <v>12</v>
      </c>
      <c r="J319" s="491" t="s">
        <v>14</v>
      </c>
    </row>
    <row r="320" spans="1:10" ht="38.25">
      <c r="A320" s="492" t="s">
        <v>93</v>
      </c>
      <c r="B320" s="4" t="s">
        <v>56</v>
      </c>
      <c r="C320" s="27" t="s">
        <v>24</v>
      </c>
      <c r="D320" s="27" t="s">
        <v>668</v>
      </c>
      <c r="E320" s="1079" t="s">
        <v>184</v>
      </c>
      <c r="F320" s="1079"/>
      <c r="G320" s="4" t="s">
        <v>36</v>
      </c>
      <c r="H320" s="5">
        <v>1</v>
      </c>
      <c r="I320" s="6">
        <v>2.46</v>
      </c>
      <c r="J320" s="493">
        <f>SUM(J321:J322)</f>
        <v>2.4911820000000002</v>
      </c>
    </row>
    <row r="321" spans="1:10" ht="51">
      <c r="A321" s="494" t="s">
        <v>95</v>
      </c>
      <c r="B321" s="8" t="s">
        <v>233</v>
      </c>
      <c r="C321" s="23" t="s">
        <v>24</v>
      </c>
      <c r="D321" s="23" t="s">
        <v>234</v>
      </c>
      <c r="E321" s="1080" t="s">
        <v>125</v>
      </c>
      <c r="F321" s="1080"/>
      <c r="G321" s="8" t="s">
        <v>126</v>
      </c>
      <c r="H321" s="9">
        <v>8.3000000000000001E-3</v>
      </c>
      <c r="I321" s="10">
        <v>268.74</v>
      </c>
      <c r="J321" s="495">
        <f>I321*H321</f>
        <v>2.2305420000000002</v>
      </c>
    </row>
    <row r="322" spans="1:10" ht="51">
      <c r="A322" s="494" t="s">
        <v>95</v>
      </c>
      <c r="B322" s="8" t="s">
        <v>235</v>
      </c>
      <c r="C322" s="23" t="s">
        <v>24</v>
      </c>
      <c r="D322" s="23" t="s">
        <v>236</v>
      </c>
      <c r="E322" s="1080" t="s">
        <v>125</v>
      </c>
      <c r="F322" s="1080"/>
      <c r="G322" s="8" t="s">
        <v>129</v>
      </c>
      <c r="H322" s="9">
        <v>3.5999999999999999E-3</v>
      </c>
      <c r="I322" s="10">
        <v>72.400000000000006</v>
      </c>
      <c r="J322" s="495">
        <f>I322*H322</f>
        <v>0.26064000000000004</v>
      </c>
    </row>
    <row r="323" spans="1:10">
      <c r="A323" s="498"/>
      <c r="B323" s="20"/>
      <c r="C323" s="499"/>
      <c r="D323" s="499"/>
      <c r="E323" s="499" t="s">
        <v>116</v>
      </c>
      <c r="F323" s="500">
        <v>0.24000000000000002</v>
      </c>
      <c r="G323" s="499" t="s">
        <v>117</v>
      </c>
      <c r="H323" s="500">
        <v>0</v>
      </c>
      <c r="I323" s="499" t="s">
        <v>118</v>
      </c>
      <c r="J323" s="501">
        <v>0.24000000000000002</v>
      </c>
    </row>
    <row r="324" spans="1:10">
      <c r="A324" s="498"/>
      <c r="B324" s="20"/>
      <c r="C324" s="499"/>
      <c r="D324" s="499"/>
      <c r="E324" s="499" t="s">
        <v>119</v>
      </c>
      <c r="F324" s="500">
        <f>J324-J320</f>
        <v>0.52240086539999986</v>
      </c>
      <c r="G324" s="499"/>
      <c r="H324" s="1082" t="s">
        <v>120</v>
      </c>
      <c r="I324" s="1082"/>
      <c r="J324" s="501">
        <f>J320*(1+G2)</f>
        <v>3.0135828654000001</v>
      </c>
    </row>
    <row r="325" spans="1:10" ht="15" thickBot="1">
      <c r="A325" s="503"/>
      <c r="B325" s="666"/>
      <c r="C325" s="14"/>
      <c r="D325" s="14"/>
      <c r="E325" s="14"/>
      <c r="F325" s="14"/>
      <c r="G325" s="14" t="s">
        <v>121</v>
      </c>
      <c r="H325" s="504">
        <f>'OBRA 03 - MEMÓRIA'!O56</f>
        <v>5391.3444000000009</v>
      </c>
      <c r="I325" s="14" t="s">
        <v>122</v>
      </c>
      <c r="J325" s="505">
        <f>TRUNC(H325*J324,2)</f>
        <v>16247.26</v>
      </c>
    </row>
    <row r="326" spans="1:10" ht="15" thickTop="1">
      <c r="A326" s="506"/>
      <c r="B326" s="230"/>
      <c r="C326" s="15"/>
      <c r="D326" s="15"/>
      <c r="E326" s="15"/>
      <c r="F326" s="15"/>
      <c r="G326" s="15"/>
      <c r="H326" s="15"/>
      <c r="I326" s="15"/>
      <c r="J326" s="507"/>
    </row>
    <row r="327" spans="1:10" ht="15">
      <c r="A327" s="490" t="s">
        <v>460</v>
      </c>
      <c r="B327" s="31" t="s">
        <v>7</v>
      </c>
      <c r="C327" s="26" t="s">
        <v>8</v>
      </c>
      <c r="D327" s="26" t="s">
        <v>9</v>
      </c>
      <c r="E327" s="1092" t="s">
        <v>92</v>
      </c>
      <c r="F327" s="1092"/>
      <c r="G327" s="31" t="s">
        <v>10</v>
      </c>
      <c r="H327" s="29" t="s">
        <v>11</v>
      </c>
      <c r="I327" s="29" t="s">
        <v>12</v>
      </c>
      <c r="J327" s="491" t="s">
        <v>14</v>
      </c>
    </row>
    <row r="328" spans="1:10" ht="51">
      <c r="A328" s="492" t="s">
        <v>93</v>
      </c>
      <c r="B328" s="4" t="s">
        <v>42</v>
      </c>
      <c r="C328" s="27" t="s">
        <v>24</v>
      </c>
      <c r="D328" s="27" t="s">
        <v>43</v>
      </c>
      <c r="E328" s="1079" t="s">
        <v>184</v>
      </c>
      <c r="F328" s="1079"/>
      <c r="G328" s="4" t="s">
        <v>28</v>
      </c>
      <c r="H328" s="5">
        <v>1</v>
      </c>
      <c r="I328" s="6">
        <v>7.67</v>
      </c>
      <c r="J328" s="493">
        <f>SUM(J329:J332)</f>
        <v>7.8073019999999991</v>
      </c>
    </row>
    <row r="329" spans="1:10" ht="51">
      <c r="A329" s="494" t="s">
        <v>95</v>
      </c>
      <c r="B329" s="8" t="s">
        <v>185</v>
      </c>
      <c r="C329" s="23" t="s">
        <v>24</v>
      </c>
      <c r="D329" s="23" t="s">
        <v>186</v>
      </c>
      <c r="E329" s="1080" t="s">
        <v>125</v>
      </c>
      <c r="F329" s="1080"/>
      <c r="G329" s="8" t="s">
        <v>126</v>
      </c>
      <c r="H329" s="9">
        <v>2.2499999999999999E-2</v>
      </c>
      <c r="I329" s="10">
        <v>186.94</v>
      </c>
      <c r="J329" s="495">
        <f>I329*H329</f>
        <v>4.2061500000000001</v>
      </c>
    </row>
    <row r="330" spans="1:10" ht="51">
      <c r="A330" s="494" t="s">
        <v>95</v>
      </c>
      <c r="B330" s="8" t="s">
        <v>187</v>
      </c>
      <c r="C330" s="23" t="s">
        <v>24</v>
      </c>
      <c r="D330" s="23" t="s">
        <v>188</v>
      </c>
      <c r="E330" s="1080" t="s">
        <v>125</v>
      </c>
      <c r="F330" s="1080"/>
      <c r="G330" s="8" t="s">
        <v>129</v>
      </c>
      <c r="H330" s="9">
        <v>1.8499999999999999E-2</v>
      </c>
      <c r="I330" s="10">
        <v>62.47</v>
      </c>
      <c r="J330" s="495">
        <f t="shared" ref="J330:J332" si="14">I330*H330</f>
        <v>1.1556949999999999</v>
      </c>
    </row>
    <row r="331" spans="1:10" ht="25.5">
      <c r="A331" s="494" t="s">
        <v>95</v>
      </c>
      <c r="B331" s="8" t="s">
        <v>200</v>
      </c>
      <c r="C331" s="23" t="s">
        <v>24</v>
      </c>
      <c r="D331" s="23" t="s">
        <v>201</v>
      </c>
      <c r="E331" s="1080" t="s">
        <v>125</v>
      </c>
      <c r="F331" s="1080"/>
      <c r="G331" s="8" t="s">
        <v>126</v>
      </c>
      <c r="H331" s="9">
        <v>4.1999999999999997E-3</v>
      </c>
      <c r="I331" s="10">
        <v>257.7</v>
      </c>
      <c r="J331" s="495">
        <f t="shared" si="14"/>
        <v>1.0823399999999999</v>
      </c>
    </row>
    <row r="332" spans="1:10" ht="25.5">
      <c r="A332" s="494" t="s">
        <v>95</v>
      </c>
      <c r="B332" s="8" t="s">
        <v>202</v>
      </c>
      <c r="C332" s="23" t="s">
        <v>24</v>
      </c>
      <c r="D332" s="23" t="s">
        <v>203</v>
      </c>
      <c r="E332" s="1080" t="s">
        <v>125</v>
      </c>
      <c r="F332" s="1080"/>
      <c r="G332" s="8" t="s">
        <v>129</v>
      </c>
      <c r="H332" s="9">
        <v>1.3299999999999999E-2</v>
      </c>
      <c r="I332" s="10">
        <v>102.49</v>
      </c>
      <c r="J332" s="495">
        <f t="shared" si="14"/>
        <v>1.3631169999999999</v>
      </c>
    </row>
    <row r="333" spans="1:10">
      <c r="A333" s="498"/>
      <c r="B333" s="20"/>
      <c r="C333" s="499"/>
      <c r="D333" s="499"/>
      <c r="E333" s="499" t="s">
        <v>116</v>
      </c>
      <c r="F333" s="500">
        <v>1.4</v>
      </c>
      <c r="G333" s="499" t="s">
        <v>117</v>
      </c>
      <c r="H333" s="500">
        <v>0</v>
      </c>
      <c r="I333" s="499" t="s">
        <v>118</v>
      </c>
      <c r="J333" s="501">
        <v>1.4</v>
      </c>
    </row>
    <row r="334" spans="1:10">
      <c r="A334" s="498"/>
      <c r="B334" s="20"/>
      <c r="C334" s="499"/>
      <c r="D334" s="499"/>
      <c r="E334" s="499" t="s">
        <v>119</v>
      </c>
      <c r="F334" s="500">
        <f>J334-J328</f>
        <v>1.6371912293999999</v>
      </c>
      <c r="G334" s="499"/>
      <c r="H334" s="1082" t="s">
        <v>120</v>
      </c>
      <c r="I334" s="1082"/>
      <c r="J334" s="501">
        <f>J328*(1+G2)</f>
        <v>9.444493229399999</v>
      </c>
    </row>
    <row r="335" spans="1:10" ht="15" thickBot="1">
      <c r="A335" s="503"/>
      <c r="B335" s="666"/>
      <c r="C335" s="14"/>
      <c r="D335" s="14"/>
      <c r="E335" s="14"/>
      <c r="F335" s="14"/>
      <c r="G335" s="14" t="s">
        <v>121</v>
      </c>
      <c r="H335" s="504">
        <f>'OBRA 03 - MEMÓRIA'!O58</f>
        <v>193.92915672000001</v>
      </c>
      <c r="I335" s="14" t="s">
        <v>122</v>
      </c>
      <c r="J335" s="505">
        <f>TRUNC(H335*J334,2)</f>
        <v>1831.56</v>
      </c>
    </row>
    <row r="336" spans="1:10" ht="15" thickTop="1">
      <c r="A336" s="506"/>
      <c r="B336" s="230"/>
      <c r="C336" s="15"/>
      <c r="D336" s="15"/>
      <c r="E336" s="15"/>
      <c r="F336" s="15"/>
      <c r="G336" s="15"/>
      <c r="H336" s="15"/>
      <c r="I336" s="15"/>
      <c r="J336" s="507"/>
    </row>
    <row r="337" spans="1:10" ht="15">
      <c r="A337" s="490" t="s">
        <v>461</v>
      </c>
      <c r="B337" s="31" t="s">
        <v>7</v>
      </c>
      <c r="C337" s="26" t="s">
        <v>8</v>
      </c>
      <c r="D337" s="26" t="s">
        <v>9</v>
      </c>
      <c r="E337" s="1092" t="s">
        <v>92</v>
      </c>
      <c r="F337" s="1092"/>
      <c r="G337" s="31" t="s">
        <v>10</v>
      </c>
      <c r="H337" s="29" t="s">
        <v>11</v>
      </c>
      <c r="I337" s="29" t="s">
        <v>12</v>
      </c>
      <c r="J337" s="491" t="s">
        <v>14</v>
      </c>
    </row>
    <row r="338" spans="1:10" ht="25.5">
      <c r="A338" s="492" t="s">
        <v>93</v>
      </c>
      <c r="B338" s="4" t="s">
        <v>56</v>
      </c>
      <c r="C338" s="27" t="s">
        <v>24</v>
      </c>
      <c r="D338" s="27" t="s">
        <v>57</v>
      </c>
      <c r="E338" s="1079" t="s">
        <v>184</v>
      </c>
      <c r="F338" s="1079"/>
      <c r="G338" s="4" t="s">
        <v>36</v>
      </c>
      <c r="H338" s="5">
        <v>1</v>
      </c>
      <c r="I338" s="6">
        <v>2.46</v>
      </c>
      <c r="J338" s="493">
        <f>SUM(J339:J340)</f>
        <v>2.4911820000000002</v>
      </c>
    </row>
    <row r="339" spans="1:10" ht="51">
      <c r="A339" s="494" t="s">
        <v>95</v>
      </c>
      <c r="B339" s="8" t="s">
        <v>233</v>
      </c>
      <c r="C339" s="23" t="s">
        <v>24</v>
      </c>
      <c r="D339" s="23" t="s">
        <v>234</v>
      </c>
      <c r="E339" s="1080" t="s">
        <v>125</v>
      </c>
      <c r="F339" s="1080"/>
      <c r="G339" s="8" t="s">
        <v>126</v>
      </c>
      <c r="H339" s="9">
        <v>8.3000000000000001E-3</v>
      </c>
      <c r="I339" s="10">
        <v>268.74</v>
      </c>
      <c r="J339" s="495">
        <f>I339*H339</f>
        <v>2.2305420000000002</v>
      </c>
    </row>
    <row r="340" spans="1:10" ht="51">
      <c r="A340" s="494" t="s">
        <v>95</v>
      </c>
      <c r="B340" s="8" t="s">
        <v>235</v>
      </c>
      <c r="C340" s="23" t="s">
        <v>24</v>
      </c>
      <c r="D340" s="23" t="s">
        <v>236</v>
      </c>
      <c r="E340" s="1080" t="s">
        <v>125</v>
      </c>
      <c r="F340" s="1080"/>
      <c r="G340" s="8" t="s">
        <v>129</v>
      </c>
      <c r="H340" s="9">
        <v>3.5999999999999999E-3</v>
      </c>
      <c r="I340" s="10">
        <v>72.400000000000006</v>
      </c>
      <c r="J340" s="495">
        <f>I340*H340</f>
        <v>0.26064000000000004</v>
      </c>
    </row>
    <row r="341" spans="1:10">
      <c r="A341" s="498"/>
      <c r="B341" s="20"/>
      <c r="C341" s="499"/>
      <c r="D341" s="499"/>
      <c r="E341" s="499" t="s">
        <v>116</v>
      </c>
      <c r="F341" s="500">
        <v>0.24000000000000002</v>
      </c>
      <c r="G341" s="499" t="s">
        <v>117</v>
      </c>
      <c r="H341" s="500">
        <v>0</v>
      </c>
      <c r="I341" s="499" t="s">
        <v>118</v>
      </c>
      <c r="J341" s="501">
        <v>0.24000000000000002</v>
      </c>
    </row>
    <row r="342" spans="1:10">
      <c r="A342" s="498"/>
      <c r="B342" s="20"/>
      <c r="C342" s="499"/>
      <c r="D342" s="499"/>
      <c r="E342" s="499" t="s">
        <v>119</v>
      </c>
      <c r="F342" s="500">
        <f>J342-J338</f>
        <v>0.52240086539999986</v>
      </c>
      <c r="G342" s="499"/>
      <c r="H342" s="1082" t="s">
        <v>120</v>
      </c>
      <c r="I342" s="1082"/>
      <c r="J342" s="501">
        <f>J338*(1+G2)</f>
        <v>3.0135828654000001</v>
      </c>
    </row>
    <row r="343" spans="1:10" ht="15" thickBot="1">
      <c r="A343" s="503"/>
      <c r="B343" s="666"/>
      <c r="C343" s="14"/>
      <c r="D343" s="14"/>
      <c r="E343" s="14"/>
      <c r="F343" s="14"/>
      <c r="G343" s="14" t="s">
        <v>121</v>
      </c>
      <c r="H343" s="504">
        <f>'OBRA 03 - MEMÓRIA'!O61</f>
        <v>5817.8747016000007</v>
      </c>
      <c r="I343" s="14" t="s">
        <v>122</v>
      </c>
      <c r="J343" s="505">
        <f>TRUNC(H343*J342,2)</f>
        <v>17532.64</v>
      </c>
    </row>
    <row r="344" spans="1:10" ht="15" thickTop="1">
      <c r="A344" s="506"/>
      <c r="B344" s="230"/>
      <c r="C344" s="15"/>
      <c r="D344" s="15"/>
      <c r="E344" s="15"/>
      <c r="F344" s="15"/>
      <c r="G344" s="15"/>
      <c r="H344" s="15"/>
      <c r="I344" s="15"/>
      <c r="J344" s="507"/>
    </row>
    <row r="345" spans="1:10" ht="15">
      <c r="A345" s="490" t="s">
        <v>462</v>
      </c>
      <c r="B345" s="31" t="s">
        <v>7</v>
      </c>
      <c r="C345" s="26" t="s">
        <v>8</v>
      </c>
      <c r="D345" s="26" t="s">
        <v>9</v>
      </c>
      <c r="E345" s="1092" t="s">
        <v>92</v>
      </c>
      <c r="F345" s="1092"/>
      <c r="G345" s="31" t="s">
        <v>10</v>
      </c>
      <c r="H345" s="29" t="s">
        <v>11</v>
      </c>
      <c r="I345" s="29" t="s">
        <v>12</v>
      </c>
      <c r="J345" s="491" t="s">
        <v>14</v>
      </c>
    </row>
    <row r="346" spans="1:10" ht="38.25">
      <c r="A346" s="492" t="s">
        <v>93</v>
      </c>
      <c r="B346" s="4" t="s">
        <v>64</v>
      </c>
      <c r="C346" s="27" t="s">
        <v>24</v>
      </c>
      <c r="D346" s="27" t="s">
        <v>65</v>
      </c>
      <c r="E346" s="1079" t="s">
        <v>184</v>
      </c>
      <c r="F346" s="1079"/>
      <c r="G346" s="4" t="s">
        <v>66</v>
      </c>
      <c r="H346" s="5">
        <v>1</v>
      </c>
      <c r="I346" s="6">
        <v>1.42</v>
      </c>
      <c r="J346" s="493">
        <f>SUM(J347:J348)</f>
        <v>1.425548</v>
      </c>
    </row>
    <row r="347" spans="1:10" ht="51">
      <c r="A347" s="494" t="s">
        <v>95</v>
      </c>
      <c r="B347" s="8" t="s">
        <v>271</v>
      </c>
      <c r="C347" s="23" t="s">
        <v>24</v>
      </c>
      <c r="D347" s="23" t="s">
        <v>272</v>
      </c>
      <c r="E347" s="1080" t="s">
        <v>125</v>
      </c>
      <c r="F347" s="1080"/>
      <c r="G347" s="8" t="s">
        <v>126</v>
      </c>
      <c r="H347" s="9">
        <v>2.8E-3</v>
      </c>
      <c r="I347" s="10">
        <v>468.8</v>
      </c>
      <c r="J347" s="495">
        <f>I347*H347</f>
        <v>1.31264</v>
      </c>
    </row>
    <row r="348" spans="1:10" ht="51">
      <c r="A348" s="494" t="s">
        <v>95</v>
      </c>
      <c r="B348" s="8" t="s">
        <v>273</v>
      </c>
      <c r="C348" s="23" t="s">
        <v>24</v>
      </c>
      <c r="D348" s="23" t="s">
        <v>274</v>
      </c>
      <c r="E348" s="1080" t="s">
        <v>125</v>
      </c>
      <c r="F348" s="1080"/>
      <c r="G348" s="8" t="s">
        <v>129</v>
      </c>
      <c r="H348" s="9">
        <v>1.1999999999999999E-3</v>
      </c>
      <c r="I348" s="10">
        <v>94.09</v>
      </c>
      <c r="J348" s="495">
        <f>I348*H348</f>
        <v>0.11290799999999999</v>
      </c>
    </row>
    <row r="349" spans="1:10">
      <c r="A349" s="498"/>
      <c r="B349" s="20"/>
      <c r="C349" s="499"/>
      <c r="D349" s="499"/>
      <c r="E349" s="499" t="s">
        <v>116</v>
      </c>
      <c r="F349" s="500">
        <v>0.08</v>
      </c>
      <c r="G349" s="499" t="s">
        <v>117</v>
      </c>
      <c r="H349" s="500">
        <v>0</v>
      </c>
      <c r="I349" s="499" t="s">
        <v>118</v>
      </c>
      <c r="J349" s="501">
        <v>0.08</v>
      </c>
    </row>
    <row r="350" spans="1:10">
      <c r="A350" s="498"/>
      <c r="B350" s="20"/>
      <c r="C350" s="499"/>
      <c r="D350" s="499"/>
      <c r="E350" s="499" t="s">
        <v>119</v>
      </c>
      <c r="F350" s="500">
        <f>J350-J346</f>
        <v>0.29893741559999998</v>
      </c>
      <c r="G350" s="499"/>
      <c r="H350" s="1082" t="s">
        <v>120</v>
      </c>
      <c r="I350" s="1082"/>
      <c r="J350" s="501">
        <f>J346*(1+G2)</f>
        <v>1.7244854156</v>
      </c>
    </row>
    <row r="351" spans="1:10" ht="15" thickBot="1">
      <c r="A351" s="503"/>
      <c r="B351" s="666"/>
      <c r="C351" s="14"/>
      <c r="D351" s="14"/>
      <c r="E351" s="14"/>
      <c r="F351" s="14"/>
      <c r="G351" s="14" t="s">
        <v>121</v>
      </c>
      <c r="H351" s="504">
        <f>'OBRA 03 - MEMÓRIA'!O63</f>
        <v>1023.1477748544002</v>
      </c>
      <c r="I351" s="14" t="s">
        <v>122</v>
      </c>
      <c r="J351" s="505">
        <f>TRUNC(H351*J350,2)</f>
        <v>1764.4</v>
      </c>
    </row>
    <row r="352" spans="1:10" ht="15" thickTop="1">
      <c r="A352" s="506"/>
      <c r="B352" s="230"/>
      <c r="C352" s="15"/>
      <c r="D352" s="15"/>
      <c r="E352" s="15"/>
      <c r="F352" s="15"/>
      <c r="G352" s="15"/>
      <c r="H352" s="15"/>
      <c r="I352" s="15"/>
      <c r="J352" s="507"/>
    </row>
    <row r="353" spans="1:10" ht="15">
      <c r="A353" s="490" t="s">
        <v>463</v>
      </c>
      <c r="B353" s="31" t="s">
        <v>7</v>
      </c>
      <c r="C353" s="26" t="s">
        <v>8</v>
      </c>
      <c r="D353" s="26" t="s">
        <v>9</v>
      </c>
      <c r="E353" s="1092" t="s">
        <v>92</v>
      </c>
      <c r="F353" s="1092"/>
      <c r="G353" s="31" t="s">
        <v>10</v>
      </c>
      <c r="H353" s="29" t="s">
        <v>11</v>
      </c>
      <c r="I353" s="29" t="s">
        <v>12</v>
      </c>
      <c r="J353" s="491" t="s">
        <v>14</v>
      </c>
    </row>
    <row r="354" spans="1:10" ht="38.25">
      <c r="A354" s="492" t="s">
        <v>93</v>
      </c>
      <c r="B354" s="4" t="s">
        <v>67</v>
      </c>
      <c r="C354" s="27" t="s">
        <v>24</v>
      </c>
      <c r="D354" s="27" t="s">
        <v>68</v>
      </c>
      <c r="E354" s="1079" t="s">
        <v>184</v>
      </c>
      <c r="F354" s="1079"/>
      <c r="G354" s="4" t="s">
        <v>66</v>
      </c>
      <c r="H354" s="5">
        <v>1</v>
      </c>
      <c r="I354" s="6">
        <v>0.55000000000000004</v>
      </c>
      <c r="J354" s="493">
        <f>SUM(J355:J356)</f>
        <v>0.56272500000000003</v>
      </c>
    </row>
    <row r="355" spans="1:10" ht="51">
      <c r="A355" s="494" t="s">
        <v>95</v>
      </c>
      <c r="B355" s="8" t="s">
        <v>271</v>
      </c>
      <c r="C355" s="23" t="s">
        <v>24</v>
      </c>
      <c r="D355" s="23" t="s">
        <v>272</v>
      </c>
      <c r="E355" s="1080" t="s">
        <v>125</v>
      </c>
      <c r="F355" s="1080"/>
      <c r="G355" s="8" t="s">
        <v>126</v>
      </c>
      <c r="H355" s="9">
        <v>1.1000000000000001E-3</v>
      </c>
      <c r="I355" s="10">
        <v>468.8</v>
      </c>
      <c r="J355" s="495">
        <f>I355*H355</f>
        <v>0.51568000000000003</v>
      </c>
    </row>
    <row r="356" spans="1:10" ht="51">
      <c r="A356" s="494" t="s">
        <v>95</v>
      </c>
      <c r="B356" s="8" t="s">
        <v>273</v>
      </c>
      <c r="C356" s="23" t="s">
        <v>24</v>
      </c>
      <c r="D356" s="23" t="s">
        <v>274</v>
      </c>
      <c r="E356" s="1080" t="s">
        <v>125</v>
      </c>
      <c r="F356" s="1080"/>
      <c r="G356" s="8" t="s">
        <v>129</v>
      </c>
      <c r="H356" s="9">
        <v>5.0000000000000001E-4</v>
      </c>
      <c r="I356" s="10">
        <v>94.09</v>
      </c>
      <c r="J356" s="495">
        <f>I356*H356</f>
        <v>4.7045000000000003E-2</v>
      </c>
    </row>
    <row r="357" spans="1:10">
      <c r="A357" s="498"/>
      <c r="B357" s="20"/>
      <c r="C357" s="499"/>
      <c r="D357" s="499"/>
      <c r="E357" s="499" t="s">
        <v>116</v>
      </c>
      <c r="F357" s="500">
        <v>0.03</v>
      </c>
      <c r="G357" s="499" t="s">
        <v>117</v>
      </c>
      <c r="H357" s="500">
        <v>0</v>
      </c>
      <c r="I357" s="499" t="s">
        <v>118</v>
      </c>
      <c r="J357" s="501">
        <v>0.03</v>
      </c>
    </row>
    <row r="358" spans="1:10">
      <c r="A358" s="498"/>
      <c r="B358" s="20"/>
      <c r="C358" s="499"/>
      <c r="D358" s="499"/>
      <c r="E358" s="499" t="s">
        <v>119</v>
      </c>
      <c r="F358" s="500">
        <f>J358-J354</f>
        <v>0.11800343250000001</v>
      </c>
      <c r="G358" s="499"/>
      <c r="H358" s="1082" t="s">
        <v>120</v>
      </c>
      <c r="I358" s="1082"/>
      <c r="J358" s="501">
        <f>J354*(1+G2)</f>
        <v>0.68072843250000004</v>
      </c>
    </row>
    <row r="359" spans="1:10" ht="15" thickBot="1">
      <c r="A359" s="503"/>
      <c r="B359" s="666"/>
      <c r="C359" s="14"/>
      <c r="D359" s="14"/>
      <c r="E359" s="14"/>
      <c r="F359" s="14"/>
      <c r="G359" s="14" t="s">
        <v>121</v>
      </c>
      <c r="H359" s="504">
        <f>'OBRA 03 - MEMÓRIA'!O65</f>
        <v>16029.315139385602</v>
      </c>
      <c r="I359" s="14" t="s">
        <v>122</v>
      </c>
      <c r="J359" s="505">
        <f>TRUNC(H359*J358,2)</f>
        <v>10911.61</v>
      </c>
    </row>
    <row r="360" spans="1:10" ht="15" thickTop="1">
      <c r="A360" s="506"/>
      <c r="B360" s="230"/>
      <c r="C360" s="15"/>
      <c r="D360" s="15"/>
      <c r="E360" s="15"/>
      <c r="F360" s="15"/>
      <c r="G360" s="15"/>
      <c r="H360" s="15"/>
      <c r="I360" s="15"/>
      <c r="J360" s="507"/>
    </row>
    <row r="361" spans="1:10" ht="15">
      <c r="A361" s="490" t="s">
        <v>464</v>
      </c>
      <c r="B361" s="31" t="s">
        <v>7</v>
      </c>
      <c r="C361" s="26" t="s">
        <v>8</v>
      </c>
      <c r="D361" s="26" t="s">
        <v>9</v>
      </c>
      <c r="E361" s="1092" t="s">
        <v>92</v>
      </c>
      <c r="F361" s="1092"/>
      <c r="G361" s="31" t="s">
        <v>10</v>
      </c>
      <c r="H361" s="29" t="s">
        <v>11</v>
      </c>
      <c r="I361" s="29" t="s">
        <v>12</v>
      </c>
      <c r="J361" s="491" t="s">
        <v>14</v>
      </c>
    </row>
    <row r="362" spans="1:10">
      <c r="A362" s="492" t="s">
        <v>93</v>
      </c>
      <c r="B362" s="4" t="s">
        <v>69</v>
      </c>
      <c r="C362" s="27" t="s">
        <v>19</v>
      </c>
      <c r="D362" s="27" t="s">
        <v>70</v>
      </c>
      <c r="E362" s="1079" t="s">
        <v>101</v>
      </c>
      <c r="F362" s="1079"/>
      <c r="G362" s="4" t="s">
        <v>21</v>
      </c>
      <c r="H362" s="5">
        <v>1</v>
      </c>
      <c r="I362" s="6">
        <v>0.56000000000000005</v>
      </c>
      <c r="J362" s="493">
        <f>J363</f>
        <v>0.58518999999999999</v>
      </c>
    </row>
    <row r="363" spans="1:10" ht="25.5">
      <c r="A363" s="494" t="s">
        <v>95</v>
      </c>
      <c r="B363" s="8" t="s">
        <v>103</v>
      </c>
      <c r="C363" s="23" t="s">
        <v>24</v>
      </c>
      <c r="D363" s="23" t="s">
        <v>104</v>
      </c>
      <c r="E363" s="1080" t="s">
        <v>101</v>
      </c>
      <c r="F363" s="1080"/>
      <c r="G363" s="8" t="s">
        <v>102</v>
      </c>
      <c r="H363" s="9">
        <v>2.7799999999999998E-2</v>
      </c>
      <c r="I363" s="10">
        <v>21.05</v>
      </c>
      <c r="J363" s="495">
        <f>I363*H363</f>
        <v>0.58518999999999999</v>
      </c>
    </row>
    <row r="364" spans="1:10">
      <c r="A364" s="498"/>
      <c r="B364" s="20"/>
      <c r="C364" s="499"/>
      <c r="D364" s="499"/>
      <c r="E364" s="499" t="s">
        <v>116</v>
      </c>
      <c r="F364" s="500">
        <v>0.42</v>
      </c>
      <c r="G364" s="499" t="s">
        <v>117</v>
      </c>
      <c r="H364" s="500">
        <v>0</v>
      </c>
      <c r="I364" s="499" t="s">
        <v>118</v>
      </c>
      <c r="J364" s="501">
        <v>0.42</v>
      </c>
    </row>
    <row r="365" spans="1:10">
      <c r="A365" s="498"/>
      <c r="B365" s="20"/>
      <c r="C365" s="499"/>
      <c r="D365" s="499"/>
      <c r="E365" s="499" t="s">
        <v>119</v>
      </c>
      <c r="F365" s="500">
        <f>J365-J362</f>
        <v>0.12271434299999995</v>
      </c>
      <c r="G365" s="499"/>
      <c r="H365" s="1082" t="s">
        <v>120</v>
      </c>
      <c r="I365" s="1082"/>
      <c r="J365" s="501">
        <f>J362*(1+G2)</f>
        <v>0.70790434299999994</v>
      </c>
    </row>
    <row r="366" spans="1:10" ht="15" thickBot="1">
      <c r="A366" s="503"/>
      <c r="B366" s="666"/>
      <c r="C366" s="14"/>
      <c r="D366" s="14"/>
      <c r="E366" s="14"/>
      <c r="F366" s="14"/>
      <c r="G366" s="14" t="s">
        <v>121</v>
      </c>
      <c r="H366" s="504">
        <f>'OBRA 03 - MEMÓRIA'!O67</f>
        <v>3594.2296000000001</v>
      </c>
      <c r="I366" s="14" t="s">
        <v>122</v>
      </c>
      <c r="J366" s="505">
        <f>TRUNC(H366*J365,2)</f>
        <v>2544.37</v>
      </c>
    </row>
    <row r="367" spans="1:10" ht="15" thickTop="1">
      <c r="A367" s="506"/>
      <c r="B367" s="230"/>
      <c r="C367" s="15"/>
      <c r="D367" s="15"/>
      <c r="E367" s="15"/>
      <c r="F367" s="15"/>
      <c r="G367" s="15"/>
      <c r="H367" s="15"/>
      <c r="I367" s="15"/>
      <c r="J367" s="507"/>
    </row>
    <row r="368" spans="1:10" ht="15">
      <c r="A368" s="490" t="s">
        <v>420</v>
      </c>
      <c r="B368" s="31" t="s">
        <v>7</v>
      </c>
      <c r="C368" s="26" t="s">
        <v>8</v>
      </c>
      <c r="D368" s="26" t="s">
        <v>9</v>
      </c>
      <c r="E368" s="1092" t="s">
        <v>92</v>
      </c>
      <c r="F368" s="1092"/>
      <c r="G368" s="31" t="s">
        <v>10</v>
      </c>
      <c r="H368" s="29" t="s">
        <v>11</v>
      </c>
      <c r="I368" s="29" t="s">
        <v>12</v>
      </c>
      <c r="J368" s="491" t="s">
        <v>14</v>
      </c>
    </row>
    <row r="369" spans="1:10">
      <c r="A369" s="522" t="s">
        <v>105</v>
      </c>
      <c r="B369" s="17" t="s">
        <v>303</v>
      </c>
      <c r="C369" s="28" t="s">
        <v>303</v>
      </c>
      <c r="D369" s="28" t="s">
        <v>304</v>
      </c>
      <c r="E369" s="1099" t="s">
        <v>108</v>
      </c>
      <c r="F369" s="1099"/>
      <c r="G369" s="17" t="s">
        <v>306</v>
      </c>
      <c r="H369" s="18">
        <v>1</v>
      </c>
      <c r="I369" s="19">
        <v>3037.47</v>
      </c>
      <c r="J369" s="523">
        <f>I369*H369</f>
        <v>3037.47</v>
      </c>
    </row>
    <row r="370" spans="1:10">
      <c r="A370" s="498"/>
      <c r="B370" s="20"/>
      <c r="C370" s="499"/>
      <c r="D370" s="499"/>
      <c r="E370" s="499" t="s">
        <v>116</v>
      </c>
      <c r="F370" s="500">
        <v>0</v>
      </c>
      <c r="G370" s="499" t="s">
        <v>117</v>
      </c>
      <c r="H370" s="500">
        <v>0</v>
      </c>
      <c r="I370" s="499" t="s">
        <v>118</v>
      </c>
      <c r="J370" s="501">
        <v>0</v>
      </c>
    </row>
    <row r="371" spans="1:10">
      <c r="A371" s="498"/>
      <c r="B371" s="20"/>
      <c r="C371" s="499"/>
      <c r="D371" s="499"/>
      <c r="E371" s="499" t="s">
        <v>119</v>
      </c>
      <c r="F371" s="500">
        <f>J371-J369</f>
        <v>425.85329400000046</v>
      </c>
      <c r="G371" s="499"/>
      <c r="H371" s="1082" t="s">
        <v>120</v>
      </c>
      <c r="I371" s="1082"/>
      <c r="J371" s="501">
        <f>J369*(1+H2)</f>
        <v>3463.3232940000003</v>
      </c>
    </row>
    <row r="372" spans="1:10" ht="15" thickBot="1">
      <c r="A372" s="503"/>
      <c r="B372" s="666"/>
      <c r="C372" s="14"/>
      <c r="D372" s="14"/>
      <c r="E372" s="14"/>
      <c r="F372" s="14"/>
      <c r="G372" s="14" t="s">
        <v>121</v>
      </c>
      <c r="H372" s="504">
        <f>'OBRA 03 - MEMÓRIA'!O69</f>
        <v>1.61740332</v>
      </c>
      <c r="I372" s="14" t="s">
        <v>122</v>
      </c>
      <c r="J372" s="505">
        <f>TRUNC(H372*J371,2)</f>
        <v>5601.59</v>
      </c>
    </row>
    <row r="373" spans="1:10" ht="15" thickTop="1">
      <c r="A373" s="506"/>
      <c r="B373" s="230"/>
      <c r="C373" s="15"/>
      <c r="D373" s="15"/>
      <c r="E373" s="15"/>
      <c r="F373" s="15"/>
      <c r="G373" s="15"/>
      <c r="H373" s="15"/>
      <c r="I373" s="15"/>
      <c r="J373" s="507"/>
    </row>
    <row r="374" spans="1:10" ht="15">
      <c r="A374" s="490" t="s">
        <v>421</v>
      </c>
      <c r="B374" s="31" t="s">
        <v>7</v>
      </c>
      <c r="C374" s="26" t="s">
        <v>8</v>
      </c>
      <c r="D374" s="26" t="s">
        <v>9</v>
      </c>
      <c r="E374" s="1092" t="s">
        <v>92</v>
      </c>
      <c r="F374" s="1092"/>
      <c r="G374" s="31" t="s">
        <v>10</v>
      </c>
      <c r="H374" s="29" t="s">
        <v>11</v>
      </c>
      <c r="I374" s="29" t="s">
        <v>12</v>
      </c>
      <c r="J374" s="491" t="s">
        <v>14</v>
      </c>
    </row>
    <row r="375" spans="1:10">
      <c r="A375" s="522" t="s">
        <v>105</v>
      </c>
      <c r="B375" s="17" t="s">
        <v>303</v>
      </c>
      <c r="C375" s="28" t="s">
        <v>303</v>
      </c>
      <c r="D375" s="28" t="s">
        <v>305</v>
      </c>
      <c r="E375" s="1099" t="s">
        <v>108</v>
      </c>
      <c r="F375" s="1099"/>
      <c r="G375" s="17" t="s">
        <v>306</v>
      </c>
      <c r="H375" s="18">
        <v>1</v>
      </c>
      <c r="I375" s="19">
        <v>2554.84</v>
      </c>
      <c r="J375" s="523">
        <f>I375*H375</f>
        <v>2554.84</v>
      </c>
    </row>
    <row r="376" spans="1:10">
      <c r="A376" s="498"/>
      <c r="B376" s="20"/>
      <c r="C376" s="499"/>
      <c r="D376" s="499"/>
      <c r="E376" s="499" t="s">
        <v>116</v>
      </c>
      <c r="F376" s="500">
        <v>0</v>
      </c>
      <c r="G376" s="499" t="s">
        <v>117</v>
      </c>
      <c r="H376" s="500">
        <v>0</v>
      </c>
      <c r="I376" s="499" t="s">
        <v>118</v>
      </c>
      <c r="J376" s="501">
        <v>0</v>
      </c>
    </row>
    <row r="377" spans="1:10">
      <c r="A377" s="498"/>
      <c r="B377" s="20"/>
      <c r="C377" s="499"/>
      <c r="D377" s="499"/>
      <c r="E377" s="499" t="s">
        <v>119</v>
      </c>
      <c r="F377" s="500">
        <f>J377-J375</f>
        <v>358.18856800000049</v>
      </c>
      <c r="G377" s="499"/>
      <c r="H377" s="1082" t="s">
        <v>120</v>
      </c>
      <c r="I377" s="1082"/>
      <c r="J377" s="501">
        <f>J375*(1+H2)</f>
        <v>2913.0285680000006</v>
      </c>
    </row>
    <row r="378" spans="1:10" ht="15" thickBot="1">
      <c r="A378" s="503"/>
      <c r="B378" s="666"/>
      <c r="C378" s="14"/>
      <c r="D378" s="14"/>
      <c r="E378" s="14"/>
      <c r="F378" s="14"/>
      <c r="G378" s="14" t="s">
        <v>121</v>
      </c>
      <c r="H378" s="504">
        <f>'OBRA 03 - MEMÓRIA'!O71</f>
        <v>4.6724984799999998</v>
      </c>
      <c r="I378" s="14" t="s">
        <v>122</v>
      </c>
      <c r="J378" s="505">
        <f>TRUNC(H378*J377,2)</f>
        <v>13611.12</v>
      </c>
    </row>
    <row r="379" spans="1:10" ht="15" thickTop="1">
      <c r="A379" s="506"/>
      <c r="B379" s="230"/>
      <c r="C379" s="15"/>
      <c r="D379" s="15"/>
      <c r="E379" s="15"/>
      <c r="F379" s="15"/>
      <c r="G379" s="15"/>
      <c r="H379" s="15"/>
      <c r="I379" s="15"/>
      <c r="J379" s="507"/>
    </row>
    <row r="380" spans="1:10" ht="15">
      <c r="A380" s="490" t="s">
        <v>465</v>
      </c>
      <c r="B380" s="31" t="s">
        <v>7</v>
      </c>
      <c r="C380" s="26" t="s">
        <v>8</v>
      </c>
      <c r="D380" s="26" t="s">
        <v>9</v>
      </c>
      <c r="E380" s="1092" t="s">
        <v>92</v>
      </c>
      <c r="F380" s="1092"/>
      <c r="G380" s="31" t="s">
        <v>10</v>
      </c>
      <c r="H380" s="29" t="s">
        <v>11</v>
      </c>
      <c r="I380" s="29" t="s">
        <v>12</v>
      </c>
      <c r="J380" s="491" t="s">
        <v>14</v>
      </c>
    </row>
    <row r="381" spans="1:10">
      <c r="A381" s="522" t="s">
        <v>105</v>
      </c>
      <c r="B381" s="17" t="s">
        <v>303</v>
      </c>
      <c r="C381" s="28" t="s">
        <v>303</v>
      </c>
      <c r="D381" s="28" t="s">
        <v>310</v>
      </c>
      <c r="E381" s="1099" t="s">
        <v>108</v>
      </c>
      <c r="F381" s="1099"/>
      <c r="G381" s="17" t="s">
        <v>306</v>
      </c>
      <c r="H381" s="18">
        <v>1</v>
      </c>
      <c r="I381" s="19">
        <v>4028.54</v>
      </c>
      <c r="J381" s="523">
        <f>I381*H381</f>
        <v>4028.54</v>
      </c>
    </row>
    <row r="382" spans="1:10">
      <c r="A382" s="498"/>
      <c r="B382" s="20"/>
      <c r="C382" s="499"/>
      <c r="D382" s="499"/>
      <c r="E382" s="499" t="s">
        <v>116</v>
      </c>
      <c r="F382" s="500">
        <v>0</v>
      </c>
      <c r="G382" s="499" t="s">
        <v>117</v>
      </c>
      <c r="H382" s="500">
        <v>0</v>
      </c>
      <c r="I382" s="499" t="s">
        <v>118</v>
      </c>
      <c r="J382" s="501">
        <v>0</v>
      </c>
    </row>
    <row r="383" spans="1:10">
      <c r="A383" s="498"/>
      <c r="B383" s="20"/>
      <c r="C383" s="499"/>
      <c r="D383" s="499"/>
      <c r="E383" s="499" t="s">
        <v>119</v>
      </c>
      <c r="F383" s="500">
        <f>J383-J381</f>
        <v>564.80130800000006</v>
      </c>
      <c r="G383" s="499"/>
      <c r="H383" s="1082" t="s">
        <v>120</v>
      </c>
      <c r="I383" s="1082"/>
      <c r="J383" s="501">
        <f>J381*(1+H2)</f>
        <v>4593.341308</v>
      </c>
    </row>
    <row r="384" spans="1:10" ht="15" thickBot="1">
      <c r="A384" s="503"/>
      <c r="B384" s="666"/>
      <c r="C384" s="14"/>
      <c r="D384" s="14"/>
      <c r="E384" s="14"/>
      <c r="F384" s="14"/>
      <c r="G384" s="14" t="s">
        <v>121</v>
      </c>
      <c r="H384" s="504">
        <f>'OBRA 03 - MEMÓRIA'!O73</f>
        <v>27.815024028480007</v>
      </c>
      <c r="I384" s="14" t="s">
        <v>122</v>
      </c>
      <c r="J384" s="505">
        <f>TRUNC(H384*J383,2)</f>
        <v>127763.89</v>
      </c>
    </row>
    <row r="385" spans="1:10" ht="15" thickTop="1">
      <c r="A385" s="506"/>
      <c r="B385" s="230"/>
      <c r="C385" s="15"/>
      <c r="D385" s="15"/>
      <c r="E385" s="15"/>
      <c r="F385" s="15"/>
      <c r="G385" s="15"/>
      <c r="H385" s="15"/>
      <c r="I385" s="15"/>
      <c r="J385" s="507"/>
    </row>
    <row r="386" spans="1:10">
      <c r="A386" s="518" t="s">
        <v>71</v>
      </c>
      <c r="B386" s="229"/>
      <c r="C386" s="25"/>
      <c r="D386" s="25" t="s">
        <v>72</v>
      </c>
      <c r="E386" s="25"/>
      <c r="F386" s="1090"/>
      <c r="G386" s="1090"/>
      <c r="H386" s="1"/>
      <c r="I386" s="25"/>
      <c r="J386" s="519">
        <f>J396+J408</f>
        <v>398600.49</v>
      </c>
    </row>
    <row r="387" spans="1:10" ht="15">
      <c r="A387" s="490" t="s">
        <v>73</v>
      </c>
      <c r="B387" s="31" t="s">
        <v>7</v>
      </c>
      <c r="C387" s="26" t="s">
        <v>8</v>
      </c>
      <c r="D387" s="26" t="s">
        <v>9</v>
      </c>
      <c r="E387" s="1092" t="s">
        <v>92</v>
      </c>
      <c r="F387" s="1092"/>
      <c r="G387" s="31" t="s">
        <v>10</v>
      </c>
      <c r="H387" s="29" t="s">
        <v>11</v>
      </c>
      <c r="I387" s="29" t="s">
        <v>12</v>
      </c>
      <c r="J387" s="491" t="s">
        <v>14</v>
      </c>
    </row>
    <row r="388" spans="1:10" ht="51">
      <c r="A388" s="492" t="s">
        <v>93</v>
      </c>
      <c r="B388" s="4" t="s">
        <v>74</v>
      </c>
      <c r="C388" s="27" t="s">
        <v>24</v>
      </c>
      <c r="D388" s="27" t="s">
        <v>75</v>
      </c>
      <c r="E388" s="1079" t="s">
        <v>275</v>
      </c>
      <c r="F388" s="1079"/>
      <c r="G388" s="4" t="s">
        <v>76</v>
      </c>
      <c r="H388" s="5">
        <v>1</v>
      </c>
      <c r="I388" s="6">
        <v>54.54</v>
      </c>
      <c r="J388" s="493">
        <f>SUM(J389:J393)</f>
        <v>50.003387999999994</v>
      </c>
    </row>
    <row r="389" spans="1:10" ht="25.5">
      <c r="A389" s="494" t="s">
        <v>95</v>
      </c>
      <c r="B389" s="8" t="s">
        <v>130</v>
      </c>
      <c r="C389" s="23" t="s">
        <v>24</v>
      </c>
      <c r="D389" s="23" t="s">
        <v>131</v>
      </c>
      <c r="E389" s="1080" t="s">
        <v>101</v>
      </c>
      <c r="F389" s="1080"/>
      <c r="G389" s="8" t="s">
        <v>102</v>
      </c>
      <c r="H389" s="9">
        <v>0.2296</v>
      </c>
      <c r="I389" s="10">
        <v>26.5</v>
      </c>
      <c r="J389" s="495">
        <f>I389*H389</f>
        <v>6.0843999999999996</v>
      </c>
    </row>
    <row r="390" spans="1:10" ht="25.5">
      <c r="A390" s="494" t="s">
        <v>95</v>
      </c>
      <c r="B390" s="8" t="s">
        <v>103</v>
      </c>
      <c r="C390" s="23" t="s">
        <v>24</v>
      </c>
      <c r="D390" s="23" t="s">
        <v>104</v>
      </c>
      <c r="E390" s="1080" t="s">
        <v>101</v>
      </c>
      <c r="F390" s="1080"/>
      <c r="G390" s="8" t="s">
        <v>102</v>
      </c>
      <c r="H390" s="9">
        <v>0.2296</v>
      </c>
      <c r="I390" s="10">
        <v>21.05</v>
      </c>
      <c r="J390" s="495">
        <f t="shared" ref="J390:J393" si="15">I390*H390</f>
        <v>4.8330799999999998</v>
      </c>
    </row>
    <row r="391" spans="1:10" ht="25.5">
      <c r="A391" s="494" t="s">
        <v>95</v>
      </c>
      <c r="B391" s="8" t="s">
        <v>276</v>
      </c>
      <c r="C391" s="23" t="s">
        <v>24</v>
      </c>
      <c r="D391" s="23" t="s">
        <v>277</v>
      </c>
      <c r="E391" s="1080" t="s">
        <v>101</v>
      </c>
      <c r="F391" s="1080"/>
      <c r="G391" s="8" t="s">
        <v>28</v>
      </c>
      <c r="H391" s="9">
        <v>1.8E-3</v>
      </c>
      <c r="I391" s="10">
        <v>657.56</v>
      </c>
      <c r="J391" s="495">
        <f t="shared" si="15"/>
        <v>1.1836079999999998</v>
      </c>
    </row>
    <row r="392" spans="1:10" ht="25.5">
      <c r="A392" s="496" t="s">
        <v>105</v>
      </c>
      <c r="B392" s="11" t="s">
        <v>243</v>
      </c>
      <c r="C392" s="24" t="s">
        <v>24</v>
      </c>
      <c r="D392" s="24" t="s">
        <v>244</v>
      </c>
      <c r="E392" s="1087" t="s">
        <v>108</v>
      </c>
      <c r="F392" s="1087"/>
      <c r="G392" s="11" t="s">
        <v>28</v>
      </c>
      <c r="H392" s="12">
        <v>6.6E-3</v>
      </c>
      <c r="I392" s="13">
        <v>130</v>
      </c>
      <c r="J392" s="497">
        <f t="shared" si="15"/>
        <v>0.85799999999999998</v>
      </c>
    </row>
    <row r="393" spans="1:10" ht="25.5">
      <c r="A393" s="496" t="s">
        <v>105</v>
      </c>
      <c r="B393" s="11" t="s">
        <v>278</v>
      </c>
      <c r="C393" s="24" t="s">
        <v>24</v>
      </c>
      <c r="D393" s="24" t="s">
        <v>279</v>
      </c>
      <c r="E393" s="1087" t="s">
        <v>108</v>
      </c>
      <c r="F393" s="1087"/>
      <c r="G393" s="11" t="s">
        <v>76</v>
      </c>
      <c r="H393" s="12">
        <v>1.0049999999999999</v>
      </c>
      <c r="I393" s="13">
        <v>36.86</v>
      </c>
      <c r="J393" s="497">
        <f t="shared" si="15"/>
        <v>37.044299999999993</v>
      </c>
    </row>
    <row r="394" spans="1:10">
      <c r="A394" s="498"/>
      <c r="B394" s="20"/>
      <c r="C394" s="499"/>
      <c r="D394" s="499"/>
      <c r="E394" s="499" t="s">
        <v>116</v>
      </c>
      <c r="F394" s="500">
        <v>8.69</v>
      </c>
      <c r="G394" s="499" t="s">
        <v>117</v>
      </c>
      <c r="H394" s="500">
        <v>0</v>
      </c>
      <c r="I394" s="499" t="s">
        <v>118</v>
      </c>
      <c r="J394" s="501">
        <v>8.69</v>
      </c>
    </row>
    <row r="395" spans="1:10">
      <c r="A395" s="498"/>
      <c r="B395" s="20"/>
      <c r="C395" s="499"/>
      <c r="D395" s="499"/>
      <c r="E395" s="499" t="s">
        <v>119</v>
      </c>
      <c r="F395" s="500">
        <f>J395-J388</f>
        <v>10.4857104636</v>
      </c>
      <c r="G395" s="499"/>
      <c r="H395" s="1082" t="s">
        <v>120</v>
      </c>
      <c r="I395" s="1082"/>
      <c r="J395" s="501">
        <f>J388*(1+G2)</f>
        <v>60.489098463599994</v>
      </c>
    </row>
    <row r="396" spans="1:10" ht="15" thickBot="1">
      <c r="A396" s="503"/>
      <c r="B396" s="666"/>
      <c r="C396" s="14"/>
      <c r="D396" s="14"/>
      <c r="E396" s="14"/>
      <c r="F396" s="14"/>
      <c r="G396" s="14" t="s">
        <v>121</v>
      </c>
      <c r="H396" s="504">
        <f>'OBRA 03 - MEMÓRIA'!O76</f>
        <v>3595.0539999999996</v>
      </c>
      <c r="I396" s="14" t="s">
        <v>122</v>
      </c>
      <c r="J396" s="505">
        <f>TRUNC(H396*J395,2)</f>
        <v>217461.57</v>
      </c>
    </row>
    <row r="397" spans="1:10" ht="15" thickTop="1">
      <c r="A397" s="506"/>
      <c r="B397" s="230"/>
      <c r="C397" s="15"/>
      <c r="D397" s="15"/>
      <c r="E397" s="15"/>
      <c r="F397" s="15"/>
      <c r="G397" s="15"/>
      <c r="H397" s="15"/>
      <c r="I397" s="15"/>
      <c r="J397" s="507"/>
    </row>
    <row r="398" spans="1:10" ht="15">
      <c r="A398" s="490" t="s">
        <v>77</v>
      </c>
      <c r="B398" s="31" t="s">
        <v>7</v>
      </c>
      <c r="C398" s="26" t="s">
        <v>8</v>
      </c>
      <c r="D398" s="26" t="s">
        <v>9</v>
      </c>
      <c r="E398" s="1092" t="s">
        <v>92</v>
      </c>
      <c r="F398" s="1092"/>
      <c r="G398" s="31" t="s">
        <v>10</v>
      </c>
      <c r="H398" s="29" t="s">
        <v>11</v>
      </c>
      <c r="I398" s="29" t="s">
        <v>12</v>
      </c>
      <c r="J398" s="491" t="s">
        <v>14</v>
      </c>
    </row>
    <row r="399" spans="1:10" ht="25.5">
      <c r="A399" s="492" t="s">
        <v>93</v>
      </c>
      <c r="B399" s="4" t="s">
        <v>78</v>
      </c>
      <c r="C399" s="27" t="s">
        <v>24</v>
      </c>
      <c r="D399" s="27" t="s">
        <v>79</v>
      </c>
      <c r="E399" s="1079" t="s">
        <v>275</v>
      </c>
      <c r="F399" s="1079"/>
      <c r="G399" s="4" t="s">
        <v>76</v>
      </c>
      <c r="H399" s="5">
        <v>1</v>
      </c>
      <c r="I399" s="6">
        <v>40.520000000000003</v>
      </c>
      <c r="J399" s="493">
        <f>SUM(J400:J405)</f>
        <v>41.651311</v>
      </c>
    </row>
    <row r="400" spans="1:10" ht="25.5">
      <c r="A400" s="494" t="s">
        <v>95</v>
      </c>
      <c r="B400" s="8" t="s">
        <v>130</v>
      </c>
      <c r="C400" s="23" t="s">
        <v>24</v>
      </c>
      <c r="D400" s="23" t="s">
        <v>131</v>
      </c>
      <c r="E400" s="1080" t="s">
        <v>101</v>
      </c>
      <c r="F400" s="1080"/>
      <c r="G400" s="8" t="s">
        <v>102</v>
      </c>
      <c r="H400" s="9">
        <v>0.23799999999999999</v>
      </c>
      <c r="I400" s="10">
        <v>26.5</v>
      </c>
      <c r="J400" s="495">
        <f>I400*H400</f>
        <v>6.3069999999999995</v>
      </c>
    </row>
    <row r="401" spans="1:10" ht="25.5">
      <c r="A401" s="494" t="s">
        <v>95</v>
      </c>
      <c r="B401" s="8" t="s">
        <v>103</v>
      </c>
      <c r="C401" s="23" t="s">
        <v>24</v>
      </c>
      <c r="D401" s="23" t="s">
        <v>104</v>
      </c>
      <c r="E401" s="1080" t="s">
        <v>101</v>
      </c>
      <c r="F401" s="1080"/>
      <c r="G401" s="8" t="s">
        <v>102</v>
      </c>
      <c r="H401" s="9">
        <v>0.23799999999999999</v>
      </c>
      <c r="I401" s="10">
        <v>21.05</v>
      </c>
      <c r="J401" s="495">
        <f t="shared" ref="J401:J405" si="16">I401*H401</f>
        <v>5.0099</v>
      </c>
    </row>
    <row r="402" spans="1:10" ht="25.5">
      <c r="A402" s="496" t="s">
        <v>105</v>
      </c>
      <c r="B402" s="11" t="s">
        <v>243</v>
      </c>
      <c r="C402" s="24" t="s">
        <v>24</v>
      </c>
      <c r="D402" s="24" t="s">
        <v>244</v>
      </c>
      <c r="E402" s="1087" t="s">
        <v>108</v>
      </c>
      <c r="F402" s="1087"/>
      <c r="G402" s="11" t="s">
        <v>28</v>
      </c>
      <c r="H402" s="12">
        <v>1.49E-2</v>
      </c>
      <c r="I402" s="13">
        <v>130</v>
      </c>
      <c r="J402" s="497">
        <f t="shared" si="16"/>
        <v>1.9370000000000001</v>
      </c>
    </row>
    <row r="403" spans="1:10" ht="25.5">
      <c r="A403" s="496" t="s">
        <v>105</v>
      </c>
      <c r="B403" s="11" t="s">
        <v>280</v>
      </c>
      <c r="C403" s="24" t="s">
        <v>24</v>
      </c>
      <c r="D403" s="24" t="s">
        <v>281</v>
      </c>
      <c r="E403" s="1087" t="s">
        <v>108</v>
      </c>
      <c r="F403" s="1087"/>
      <c r="G403" s="11" t="s">
        <v>76</v>
      </c>
      <c r="H403" s="12">
        <v>0.2</v>
      </c>
      <c r="I403" s="13">
        <v>3.73</v>
      </c>
      <c r="J403" s="497">
        <f t="shared" si="16"/>
        <v>0.746</v>
      </c>
    </row>
    <row r="404" spans="1:10" ht="25.5">
      <c r="A404" s="496" t="s">
        <v>105</v>
      </c>
      <c r="B404" s="11" t="s">
        <v>282</v>
      </c>
      <c r="C404" s="24" t="s">
        <v>24</v>
      </c>
      <c r="D404" s="24" t="s">
        <v>283</v>
      </c>
      <c r="E404" s="1087" t="s">
        <v>108</v>
      </c>
      <c r="F404" s="1087"/>
      <c r="G404" s="11" t="s">
        <v>76</v>
      </c>
      <c r="H404" s="12">
        <v>8.3299999999999999E-2</v>
      </c>
      <c r="I404" s="13">
        <v>17.670000000000002</v>
      </c>
      <c r="J404" s="497">
        <f t="shared" si="16"/>
        <v>1.4719110000000002</v>
      </c>
    </row>
    <row r="405" spans="1:10" ht="38.25">
      <c r="A405" s="496" t="s">
        <v>105</v>
      </c>
      <c r="B405" s="11" t="s">
        <v>284</v>
      </c>
      <c r="C405" s="24" t="s">
        <v>24</v>
      </c>
      <c r="D405" s="24" t="s">
        <v>285</v>
      </c>
      <c r="E405" s="1087" t="s">
        <v>108</v>
      </c>
      <c r="F405" s="1087"/>
      <c r="G405" s="11" t="s">
        <v>28</v>
      </c>
      <c r="H405" s="12">
        <v>5.6300000000000003E-2</v>
      </c>
      <c r="I405" s="13">
        <v>465</v>
      </c>
      <c r="J405" s="497">
        <f t="shared" si="16"/>
        <v>26.179500000000001</v>
      </c>
    </row>
    <row r="406" spans="1:10">
      <c r="A406" s="498"/>
      <c r="B406" s="20"/>
      <c r="C406" s="499"/>
      <c r="D406" s="499"/>
      <c r="E406" s="499" t="s">
        <v>116</v>
      </c>
      <c r="F406" s="500">
        <v>8.77</v>
      </c>
      <c r="G406" s="499" t="s">
        <v>117</v>
      </c>
      <c r="H406" s="500">
        <v>0</v>
      </c>
      <c r="I406" s="499" t="s">
        <v>118</v>
      </c>
      <c r="J406" s="501">
        <v>8.77</v>
      </c>
    </row>
    <row r="407" spans="1:10">
      <c r="A407" s="498"/>
      <c r="B407" s="20"/>
      <c r="C407" s="499"/>
      <c r="D407" s="499"/>
      <c r="E407" s="499" t="s">
        <v>119</v>
      </c>
      <c r="F407" s="500">
        <f>J407-J399</f>
        <v>8.7342799166999967</v>
      </c>
      <c r="G407" s="499"/>
      <c r="H407" s="1082" t="s">
        <v>120</v>
      </c>
      <c r="I407" s="1082"/>
      <c r="J407" s="501">
        <f>J399*(1+G2)</f>
        <v>50.385590916699996</v>
      </c>
    </row>
    <row r="408" spans="1:10" ht="15" thickBot="1">
      <c r="A408" s="503"/>
      <c r="B408" s="666"/>
      <c r="C408" s="14"/>
      <c r="D408" s="14"/>
      <c r="E408" s="14"/>
      <c r="F408" s="14"/>
      <c r="G408" s="14" t="s">
        <v>121</v>
      </c>
      <c r="H408" s="504">
        <f>'OBRA 03 - MEMÓRIA'!O81</f>
        <v>3595.0539999999996</v>
      </c>
      <c r="I408" s="14" t="s">
        <v>122</v>
      </c>
      <c r="J408" s="505">
        <f>TRUNC(H408*J407,2)</f>
        <v>181138.92</v>
      </c>
    </row>
    <row r="409" spans="1:10" ht="15" thickTop="1">
      <c r="A409" s="663">
        <v>5</v>
      </c>
      <c r="B409" s="670"/>
      <c r="C409" s="249"/>
      <c r="D409" s="249" t="s">
        <v>81</v>
      </c>
      <c r="E409" s="249"/>
      <c r="F409" s="249"/>
      <c r="G409" s="249"/>
      <c r="H409" s="249"/>
      <c r="I409" s="249"/>
      <c r="J409" s="664">
        <f>J423+J436+J446+J454</f>
        <v>501695.23000000004</v>
      </c>
    </row>
    <row r="410" spans="1:10" ht="15">
      <c r="A410" s="490" t="s">
        <v>529</v>
      </c>
      <c r="B410" s="31" t="s">
        <v>7</v>
      </c>
      <c r="C410" s="26" t="s">
        <v>8</v>
      </c>
      <c r="D410" s="26" t="s">
        <v>9</v>
      </c>
      <c r="E410" s="1092" t="s">
        <v>92</v>
      </c>
      <c r="F410" s="1092"/>
      <c r="G410" s="31" t="s">
        <v>10</v>
      </c>
      <c r="H410" s="29" t="s">
        <v>11</v>
      </c>
      <c r="I410" s="29" t="s">
        <v>12</v>
      </c>
      <c r="J410" s="491" t="s">
        <v>14</v>
      </c>
    </row>
    <row r="411" spans="1:10" ht="25.5">
      <c r="A411" s="492" t="s">
        <v>93</v>
      </c>
      <c r="B411" s="4" t="s">
        <v>82</v>
      </c>
      <c r="C411" s="27" t="s">
        <v>24</v>
      </c>
      <c r="D411" s="27" t="s">
        <v>83</v>
      </c>
      <c r="E411" s="1079" t="s">
        <v>204</v>
      </c>
      <c r="F411" s="1079"/>
      <c r="G411" s="4" t="s">
        <v>21</v>
      </c>
      <c r="H411" s="5">
        <v>1</v>
      </c>
      <c r="I411" s="6">
        <v>82.46</v>
      </c>
      <c r="J411" s="493">
        <f>SUM(J412:J420)</f>
        <v>81.545006000000001</v>
      </c>
    </row>
    <row r="412" spans="1:10" ht="25.5">
      <c r="A412" s="494" t="s">
        <v>95</v>
      </c>
      <c r="B412" s="8" t="s">
        <v>237</v>
      </c>
      <c r="C412" s="23" t="s">
        <v>24</v>
      </c>
      <c r="D412" s="23" t="s">
        <v>238</v>
      </c>
      <c r="E412" s="1080" t="s">
        <v>101</v>
      </c>
      <c r="F412" s="1080"/>
      <c r="G412" s="8" t="s">
        <v>102</v>
      </c>
      <c r="H412" s="9">
        <v>0.3725</v>
      </c>
      <c r="I412" s="10">
        <v>26.26</v>
      </c>
      <c r="J412" s="495">
        <f>I412*H412</f>
        <v>9.7818500000000004</v>
      </c>
    </row>
    <row r="413" spans="1:10" ht="25.5">
      <c r="A413" s="494" t="s">
        <v>95</v>
      </c>
      <c r="B413" s="8" t="s">
        <v>103</v>
      </c>
      <c r="C413" s="23" t="s">
        <v>24</v>
      </c>
      <c r="D413" s="23" t="s">
        <v>104</v>
      </c>
      <c r="E413" s="1080" t="s">
        <v>101</v>
      </c>
      <c r="F413" s="1080"/>
      <c r="G413" s="8" t="s">
        <v>102</v>
      </c>
      <c r="H413" s="9">
        <v>0.3725</v>
      </c>
      <c r="I413" s="10">
        <v>21.05</v>
      </c>
      <c r="J413" s="495">
        <f t="shared" ref="J413:J420" si="17">I413*H413</f>
        <v>7.8411249999999999</v>
      </c>
    </row>
    <row r="414" spans="1:10" ht="38.25">
      <c r="A414" s="494" t="s">
        <v>95</v>
      </c>
      <c r="B414" s="8" t="s">
        <v>239</v>
      </c>
      <c r="C414" s="23" t="s">
        <v>24</v>
      </c>
      <c r="D414" s="23" t="s">
        <v>240</v>
      </c>
      <c r="E414" s="1080" t="s">
        <v>125</v>
      </c>
      <c r="F414" s="1080"/>
      <c r="G414" s="8" t="s">
        <v>126</v>
      </c>
      <c r="H414" s="9">
        <v>4.1000000000000003E-3</v>
      </c>
      <c r="I414" s="10">
        <v>9.94</v>
      </c>
      <c r="J414" s="495">
        <f t="shared" si="17"/>
        <v>4.0753999999999999E-2</v>
      </c>
    </row>
    <row r="415" spans="1:10" ht="38.25">
      <c r="A415" s="494" t="s">
        <v>95</v>
      </c>
      <c r="B415" s="8" t="s">
        <v>241</v>
      </c>
      <c r="C415" s="23" t="s">
        <v>24</v>
      </c>
      <c r="D415" s="23" t="s">
        <v>242</v>
      </c>
      <c r="E415" s="1080" t="s">
        <v>125</v>
      </c>
      <c r="F415" s="1080"/>
      <c r="G415" s="8" t="s">
        <v>129</v>
      </c>
      <c r="H415" s="9">
        <v>0.18210000000000001</v>
      </c>
      <c r="I415" s="10">
        <v>0.71</v>
      </c>
      <c r="J415" s="495">
        <f t="shared" si="17"/>
        <v>0.12929099999999999</v>
      </c>
    </row>
    <row r="416" spans="1:10" ht="51">
      <c r="A416" s="494" t="s">
        <v>95</v>
      </c>
      <c r="B416" s="8" t="s">
        <v>132</v>
      </c>
      <c r="C416" s="23" t="s">
        <v>24</v>
      </c>
      <c r="D416" s="23" t="s">
        <v>133</v>
      </c>
      <c r="E416" s="1080" t="s">
        <v>125</v>
      </c>
      <c r="F416" s="1080"/>
      <c r="G416" s="8" t="s">
        <v>126</v>
      </c>
      <c r="H416" s="9">
        <v>4.9099999999999998E-2</v>
      </c>
      <c r="I416" s="10">
        <v>10.55</v>
      </c>
      <c r="J416" s="495">
        <f t="shared" si="17"/>
        <v>0.51800500000000005</v>
      </c>
    </row>
    <row r="417" spans="1:11" ht="51">
      <c r="A417" s="494" t="s">
        <v>95</v>
      </c>
      <c r="B417" s="8" t="s">
        <v>134</v>
      </c>
      <c r="C417" s="23" t="s">
        <v>24</v>
      </c>
      <c r="D417" s="23" t="s">
        <v>135</v>
      </c>
      <c r="E417" s="1080" t="s">
        <v>125</v>
      </c>
      <c r="F417" s="1080"/>
      <c r="G417" s="8" t="s">
        <v>129</v>
      </c>
      <c r="H417" s="9">
        <v>0.1371</v>
      </c>
      <c r="I417" s="10">
        <v>0.97</v>
      </c>
      <c r="J417" s="495">
        <f t="shared" si="17"/>
        <v>0.13298699999999999</v>
      </c>
    </row>
    <row r="418" spans="1:11" ht="25.5">
      <c r="A418" s="496" t="s">
        <v>105</v>
      </c>
      <c r="B418" s="11" t="s">
        <v>243</v>
      </c>
      <c r="C418" s="24" t="s">
        <v>24</v>
      </c>
      <c r="D418" s="24" t="s">
        <v>244</v>
      </c>
      <c r="E418" s="1087" t="s">
        <v>108</v>
      </c>
      <c r="F418" s="1087"/>
      <c r="G418" s="11" t="s">
        <v>28</v>
      </c>
      <c r="H418" s="12">
        <v>5.6800000000000003E-2</v>
      </c>
      <c r="I418" s="13">
        <v>130</v>
      </c>
      <c r="J418" s="497">
        <f t="shared" si="17"/>
        <v>7.3840000000000003</v>
      </c>
    </row>
    <row r="419" spans="1:11">
      <c r="A419" s="496" t="s">
        <v>105</v>
      </c>
      <c r="B419" s="11" t="s">
        <v>245</v>
      </c>
      <c r="C419" s="24" t="s">
        <v>24</v>
      </c>
      <c r="D419" s="24" t="s">
        <v>246</v>
      </c>
      <c r="E419" s="1087" t="s">
        <v>108</v>
      </c>
      <c r="F419" s="1087"/>
      <c r="G419" s="11" t="s">
        <v>28</v>
      </c>
      <c r="H419" s="12">
        <v>9.7999999999999997E-3</v>
      </c>
      <c r="I419" s="13">
        <v>95.03</v>
      </c>
      <c r="J419" s="497">
        <f t="shared" si="17"/>
        <v>0.93129399999999996</v>
      </c>
    </row>
    <row r="420" spans="1:11" ht="38.25">
      <c r="A420" s="496" t="s">
        <v>105</v>
      </c>
      <c r="B420" s="11" t="s">
        <v>286</v>
      </c>
      <c r="C420" s="24" t="s">
        <v>24</v>
      </c>
      <c r="D420" s="24" t="s">
        <v>287</v>
      </c>
      <c r="E420" s="1087" t="s">
        <v>108</v>
      </c>
      <c r="F420" s="1087"/>
      <c r="G420" s="11" t="s">
        <v>21</v>
      </c>
      <c r="H420" s="12">
        <v>1.03</v>
      </c>
      <c r="I420" s="13">
        <v>53.19</v>
      </c>
      <c r="J420" s="497">
        <f t="shared" si="17"/>
        <v>54.785699999999999</v>
      </c>
    </row>
    <row r="421" spans="1:11">
      <c r="A421" s="498"/>
      <c r="B421" s="20"/>
      <c r="C421" s="499"/>
      <c r="D421" s="499"/>
      <c r="E421" s="499" t="s">
        <v>116</v>
      </c>
      <c r="F421" s="500">
        <v>13.64</v>
      </c>
      <c r="G421" s="499" t="s">
        <v>117</v>
      </c>
      <c r="H421" s="500">
        <v>0</v>
      </c>
      <c r="I421" s="499" t="s">
        <v>118</v>
      </c>
      <c r="J421" s="501">
        <v>13.64</v>
      </c>
    </row>
    <row r="422" spans="1:11">
      <c r="A422" s="498"/>
      <c r="B422" s="20"/>
      <c r="C422" s="499"/>
      <c r="D422" s="499"/>
      <c r="E422" s="499" t="s">
        <v>119</v>
      </c>
      <c r="F422" s="500">
        <f>J422-J411</f>
        <v>17.099987758200001</v>
      </c>
      <c r="G422" s="499"/>
      <c r="H422" s="1082" t="s">
        <v>120</v>
      </c>
      <c r="I422" s="1082"/>
      <c r="J422" s="501">
        <f>J411*(1+G2)</f>
        <v>98.644993758200002</v>
      </c>
    </row>
    <row r="423" spans="1:11" ht="15" thickBot="1">
      <c r="A423" s="503"/>
      <c r="B423" s="666"/>
      <c r="C423" s="14"/>
      <c r="D423" s="14"/>
      <c r="E423" s="14"/>
      <c r="F423" s="14"/>
      <c r="G423" s="14" t="s">
        <v>121</v>
      </c>
      <c r="H423" s="504">
        <f>'OBRA 03 - MEMÓRIA'!O87</f>
        <v>4559.7273999999998</v>
      </c>
      <c r="I423" s="14" t="s">
        <v>122</v>
      </c>
      <c r="J423" s="505">
        <f>TRUNC(H423*J422,2)</f>
        <v>449794.28</v>
      </c>
    </row>
    <row r="424" spans="1:11" ht="15" thickTop="1">
      <c r="A424" s="506"/>
      <c r="B424" s="230"/>
      <c r="C424" s="15"/>
      <c r="D424" s="15"/>
      <c r="E424" s="15"/>
      <c r="F424" s="15"/>
      <c r="G424" s="15"/>
      <c r="H424" s="15"/>
      <c r="I424" s="15"/>
      <c r="J424" s="507"/>
    </row>
    <row r="425" spans="1:11" ht="15">
      <c r="A425" s="490" t="s">
        <v>598</v>
      </c>
      <c r="B425" s="31" t="s">
        <v>7</v>
      </c>
      <c r="C425" s="26" t="s">
        <v>8</v>
      </c>
      <c r="D425" s="26" t="s">
        <v>9</v>
      </c>
      <c r="E425" s="1092" t="s">
        <v>92</v>
      </c>
      <c r="F425" s="1092"/>
      <c r="G425" s="31" t="s">
        <v>10</v>
      </c>
      <c r="H425" s="29" t="s">
        <v>11</v>
      </c>
      <c r="I425" s="29" t="s">
        <v>12</v>
      </c>
      <c r="J425" s="491" t="s">
        <v>14</v>
      </c>
    </row>
    <row r="426" spans="1:11" ht="38.25">
      <c r="A426" s="492" t="s">
        <v>93</v>
      </c>
      <c r="B426" s="4" t="s">
        <v>472</v>
      </c>
      <c r="C426" s="27" t="s">
        <v>30</v>
      </c>
      <c r="D426" s="27" t="s">
        <v>567</v>
      </c>
      <c r="E426" s="1079" t="s">
        <v>489</v>
      </c>
      <c r="F426" s="1079"/>
      <c r="G426" s="4" t="s">
        <v>84</v>
      </c>
      <c r="H426" s="5">
        <v>1</v>
      </c>
      <c r="I426" s="6">
        <v>348.44</v>
      </c>
      <c r="J426" s="493">
        <f>SUM(J427:J433)</f>
        <v>414.82760000000007</v>
      </c>
    </row>
    <row r="427" spans="1:11" ht="25.5">
      <c r="A427" s="494" t="s">
        <v>95</v>
      </c>
      <c r="B427" s="8" t="s">
        <v>490</v>
      </c>
      <c r="C427" s="23" t="s">
        <v>30</v>
      </c>
      <c r="D427" s="23" t="s">
        <v>491</v>
      </c>
      <c r="E427" s="1080" t="s">
        <v>492</v>
      </c>
      <c r="F427" s="1080"/>
      <c r="G427" s="8" t="s">
        <v>21</v>
      </c>
      <c r="H427" s="9">
        <v>1.2</v>
      </c>
      <c r="I427" s="10">
        <v>8.77</v>
      </c>
      <c r="J427" s="495">
        <f>I427*H427</f>
        <v>10.523999999999999</v>
      </c>
    </row>
    <row r="428" spans="1:11" ht="25.5">
      <c r="A428" s="494" t="s">
        <v>95</v>
      </c>
      <c r="B428" s="8" t="s">
        <v>493</v>
      </c>
      <c r="C428" s="23" t="s">
        <v>30</v>
      </c>
      <c r="D428" s="23" t="s">
        <v>494</v>
      </c>
      <c r="E428" s="1080" t="s">
        <v>495</v>
      </c>
      <c r="F428" s="1080"/>
      <c r="G428" s="8" t="s">
        <v>28</v>
      </c>
      <c r="H428" s="9">
        <v>0.4</v>
      </c>
      <c r="I428" s="10">
        <v>52.56</v>
      </c>
      <c r="J428" s="495">
        <f t="shared" ref="J428:J433" si="18">I428*H428</f>
        <v>21.024000000000001</v>
      </c>
    </row>
    <row r="429" spans="1:11" ht="25.5">
      <c r="A429" s="494" t="s">
        <v>95</v>
      </c>
      <c r="B429" s="8" t="s">
        <v>496</v>
      </c>
      <c r="C429" s="23" t="s">
        <v>30</v>
      </c>
      <c r="D429" s="23" t="s">
        <v>497</v>
      </c>
      <c r="E429" s="1080" t="s">
        <v>498</v>
      </c>
      <c r="F429" s="1080"/>
      <c r="G429" s="8" t="s">
        <v>31</v>
      </c>
      <c r="H429" s="9">
        <v>2.2000000000000002</v>
      </c>
      <c r="I429" s="10">
        <v>17.329999999999998</v>
      </c>
      <c r="J429" s="495">
        <f t="shared" si="18"/>
        <v>38.125999999999998</v>
      </c>
    </row>
    <row r="430" spans="1:11" ht="25.5">
      <c r="A430" s="494" t="s">
        <v>95</v>
      </c>
      <c r="B430" s="8" t="s">
        <v>499</v>
      </c>
      <c r="C430" s="23" t="s">
        <v>30</v>
      </c>
      <c r="D430" s="23" t="s">
        <v>500</v>
      </c>
      <c r="E430" s="1080" t="s">
        <v>501</v>
      </c>
      <c r="F430" s="1080"/>
      <c r="G430" s="8" t="s">
        <v>21</v>
      </c>
      <c r="H430" s="9">
        <v>2.64</v>
      </c>
      <c r="I430" s="10">
        <v>16.149999999999999</v>
      </c>
      <c r="J430" s="495">
        <f t="shared" si="18"/>
        <v>42.635999999999996</v>
      </c>
      <c r="K430">
        <v>501.81694771999997</v>
      </c>
    </row>
    <row r="431" spans="1:11" ht="25.5">
      <c r="A431" s="494" t="s">
        <v>95</v>
      </c>
      <c r="B431" s="8" t="s">
        <v>502</v>
      </c>
      <c r="C431" s="23" t="s">
        <v>30</v>
      </c>
      <c r="D431" s="23" t="s">
        <v>503</v>
      </c>
      <c r="E431" s="1080" t="s">
        <v>504</v>
      </c>
      <c r="F431" s="1080"/>
      <c r="G431" s="8" t="s">
        <v>28</v>
      </c>
      <c r="H431" s="9">
        <v>0.4</v>
      </c>
      <c r="I431" s="10">
        <v>184.56</v>
      </c>
      <c r="J431" s="495">
        <f t="shared" si="18"/>
        <v>73.823999999999998</v>
      </c>
    </row>
    <row r="432" spans="1:11" ht="25.5">
      <c r="A432" s="494" t="s">
        <v>95</v>
      </c>
      <c r="B432" s="8" t="s">
        <v>505</v>
      </c>
      <c r="C432" s="23" t="s">
        <v>30</v>
      </c>
      <c r="D432" s="23" t="s">
        <v>506</v>
      </c>
      <c r="E432" s="1080" t="s">
        <v>173</v>
      </c>
      <c r="F432" s="1080"/>
      <c r="G432" s="8" t="s">
        <v>28</v>
      </c>
      <c r="H432" s="9">
        <v>0.17</v>
      </c>
      <c r="I432" s="222">
        <v>427.12</v>
      </c>
      <c r="J432" s="495">
        <f t="shared" si="18"/>
        <v>72.610400000000013</v>
      </c>
    </row>
    <row r="433" spans="1:10" ht="25.5">
      <c r="A433" s="494" t="s">
        <v>95</v>
      </c>
      <c r="B433" s="8" t="s">
        <v>507</v>
      </c>
      <c r="C433" s="23" t="s">
        <v>30</v>
      </c>
      <c r="D433" s="23" t="s">
        <v>508</v>
      </c>
      <c r="E433" s="1080" t="s">
        <v>509</v>
      </c>
      <c r="F433" s="1080"/>
      <c r="G433" s="8" t="s">
        <v>28</v>
      </c>
      <c r="H433" s="9">
        <v>0.26</v>
      </c>
      <c r="I433" s="10">
        <v>600.32000000000005</v>
      </c>
      <c r="J433" s="495">
        <f t="shared" si="18"/>
        <v>156.08320000000001</v>
      </c>
    </row>
    <row r="434" spans="1:10" ht="15" customHeight="1">
      <c r="A434" s="498"/>
      <c r="B434" s="20"/>
      <c r="C434" s="499"/>
      <c r="D434" s="499"/>
      <c r="E434" s="499" t="s">
        <v>116</v>
      </c>
      <c r="F434" s="500">
        <v>105.04</v>
      </c>
      <c r="G434" s="499" t="s">
        <v>117</v>
      </c>
      <c r="H434" s="500">
        <v>0</v>
      </c>
      <c r="I434" s="499" t="s">
        <v>118</v>
      </c>
      <c r="J434" s="501">
        <v>105.04</v>
      </c>
    </row>
    <row r="435" spans="1:10">
      <c r="A435" s="498"/>
      <c r="B435" s="20"/>
      <c r="C435" s="499"/>
      <c r="D435" s="499"/>
      <c r="E435" s="499" t="s">
        <v>119</v>
      </c>
      <c r="F435" s="500">
        <f>J435-J426</f>
        <v>86.989347720000012</v>
      </c>
      <c r="G435" s="499"/>
      <c r="H435" s="1082" t="s">
        <v>120</v>
      </c>
      <c r="I435" s="1082"/>
      <c r="J435" s="502">
        <f>J426*(1+G2)</f>
        <v>501.81694772000009</v>
      </c>
    </row>
    <row r="436" spans="1:10" ht="15" thickBot="1">
      <c r="A436" s="503"/>
      <c r="B436" s="666"/>
      <c r="C436" s="14"/>
      <c r="D436" s="14"/>
      <c r="E436" s="14"/>
      <c r="F436" s="14"/>
      <c r="G436" s="14" t="s">
        <v>121</v>
      </c>
      <c r="H436" s="504">
        <f>'OBRA 03 - MEMÓRIA'!O89</f>
        <v>43</v>
      </c>
      <c r="I436" s="14" t="s">
        <v>122</v>
      </c>
      <c r="J436" s="505">
        <f>TRUNC(H436*J435,2)</f>
        <v>21578.12</v>
      </c>
    </row>
    <row r="437" spans="1:10" ht="15" thickTop="1">
      <c r="A437" s="506"/>
      <c r="B437" s="230"/>
      <c r="C437" s="15"/>
      <c r="D437" s="15"/>
      <c r="E437" s="15"/>
      <c r="F437" s="15"/>
      <c r="G437" s="15"/>
      <c r="H437" s="15"/>
      <c r="I437" s="15"/>
      <c r="J437" s="507"/>
    </row>
    <row r="438" spans="1:10" ht="15">
      <c r="A438" s="490" t="s">
        <v>599</v>
      </c>
      <c r="B438" s="31" t="s">
        <v>7</v>
      </c>
      <c r="C438" s="26" t="s">
        <v>8</v>
      </c>
      <c r="D438" s="26" t="s">
        <v>9</v>
      </c>
      <c r="E438" s="1092" t="s">
        <v>92</v>
      </c>
      <c r="F438" s="1092"/>
      <c r="G438" s="31" t="s">
        <v>10</v>
      </c>
      <c r="H438" s="29" t="s">
        <v>11</v>
      </c>
      <c r="I438" s="29" t="s">
        <v>12</v>
      </c>
      <c r="J438" s="491" t="s">
        <v>14</v>
      </c>
    </row>
    <row r="439" spans="1:10" ht="51">
      <c r="A439" s="492" t="s">
        <v>93</v>
      </c>
      <c r="B439" s="4" t="s">
        <v>42</v>
      </c>
      <c r="C439" s="27" t="s">
        <v>24</v>
      </c>
      <c r="D439" s="27" t="s">
        <v>667</v>
      </c>
      <c r="E439" s="1079" t="s">
        <v>184</v>
      </c>
      <c r="F439" s="1079"/>
      <c r="G439" s="4" t="s">
        <v>28</v>
      </c>
      <c r="H439" s="5">
        <v>1</v>
      </c>
      <c r="I439" s="6">
        <v>7.67</v>
      </c>
      <c r="J439" s="493">
        <f>SUM(J440:J443)</f>
        <v>7.8073019999999991</v>
      </c>
    </row>
    <row r="440" spans="1:10" ht="51">
      <c r="A440" s="494" t="s">
        <v>95</v>
      </c>
      <c r="B440" s="8" t="s">
        <v>185</v>
      </c>
      <c r="C440" s="23" t="s">
        <v>24</v>
      </c>
      <c r="D440" s="23" t="s">
        <v>186</v>
      </c>
      <c r="E440" s="1080" t="s">
        <v>125</v>
      </c>
      <c r="F440" s="1080"/>
      <c r="G440" s="8" t="s">
        <v>126</v>
      </c>
      <c r="H440" s="9">
        <v>2.2499999999999999E-2</v>
      </c>
      <c r="I440" s="10">
        <v>186.94</v>
      </c>
      <c r="J440" s="495">
        <f>I440*H440</f>
        <v>4.2061500000000001</v>
      </c>
    </row>
    <row r="441" spans="1:10" ht="39" customHeight="1">
      <c r="A441" s="494" t="s">
        <v>95</v>
      </c>
      <c r="B441" s="8" t="s">
        <v>187</v>
      </c>
      <c r="C441" s="23" t="s">
        <v>24</v>
      </c>
      <c r="D441" s="23" t="s">
        <v>188</v>
      </c>
      <c r="E441" s="1080" t="s">
        <v>125</v>
      </c>
      <c r="F441" s="1080"/>
      <c r="G441" s="8" t="s">
        <v>129</v>
      </c>
      <c r="H441" s="9">
        <v>1.8499999999999999E-2</v>
      </c>
      <c r="I441" s="10">
        <v>62.47</v>
      </c>
      <c r="J441" s="495">
        <f t="shared" ref="J441:J443" si="19">I441*H441</f>
        <v>1.1556949999999999</v>
      </c>
    </row>
    <row r="442" spans="1:10" ht="30" customHeight="1">
      <c r="A442" s="494" t="s">
        <v>95</v>
      </c>
      <c r="B442" s="8" t="s">
        <v>200</v>
      </c>
      <c r="C442" s="23" t="s">
        <v>24</v>
      </c>
      <c r="D442" s="23" t="s">
        <v>201</v>
      </c>
      <c r="E442" s="1080" t="s">
        <v>125</v>
      </c>
      <c r="F442" s="1080"/>
      <c r="G442" s="8" t="s">
        <v>126</v>
      </c>
      <c r="H442" s="9">
        <v>4.1999999999999997E-3</v>
      </c>
      <c r="I442" s="10">
        <v>257.7</v>
      </c>
      <c r="J442" s="495">
        <f t="shared" si="19"/>
        <v>1.0823399999999999</v>
      </c>
    </row>
    <row r="443" spans="1:10" ht="30" customHeight="1">
      <c r="A443" s="494" t="s">
        <v>95</v>
      </c>
      <c r="B443" s="8" t="s">
        <v>202</v>
      </c>
      <c r="C443" s="23" t="s">
        <v>24</v>
      </c>
      <c r="D443" s="23" t="s">
        <v>203</v>
      </c>
      <c r="E443" s="1080" t="s">
        <v>125</v>
      </c>
      <c r="F443" s="1080"/>
      <c r="G443" s="8" t="s">
        <v>129</v>
      </c>
      <c r="H443" s="9">
        <v>1.3299999999999999E-2</v>
      </c>
      <c r="I443" s="10">
        <v>102.49</v>
      </c>
      <c r="J443" s="495">
        <f t="shared" si="19"/>
        <v>1.3631169999999999</v>
      </c>
    </row>
    <row r="444" spans="1:10" ht="15" customHeight="1">
      <c r="A444" s="498"/>
      <c r="B444" s="20"/>
      <c r="C444" s="499"/>
      <c r="D444" s="499"/>
      <c r="E444" s="499" t="s">
        <v>116</v>
      </c>
      <c r="F444" s="500">
        <v>1.4</v>
      </c>
      <c r="G444" s="499" t="s">
        <v>117</v>
      </c>
      <c r="H444" s="500">
        <v>0</v>
      </c>
      <c r="I444" s="499" t="s">
        <v>118</v>
      </c>
      <c r="J444" s="501">
        <v>1.4</v>
      </c>
    </row>
    <row r="445" spans="1:10" ht="15" customHeight="1">
      <c r="A445" s="498"/>
      <c r="B445" s="20"/>
      <c r="C445" s="499"/>
      <c r="D445" s="499"/>
      <c r="E445" s="499" t="s">
        <v>119</v>
      </c>
      <c r="F445" s="500">
        <f>J445-J439</f>
        <v>1.6371912293999999</v>
      </c>
      <c r="G445" s="499"/>
      <c r="H445" s="1082" t="s">
        <v>120</v>
      </c>
      <c r="I445" s="1082"/>
      <c r="J445" s="501">
        <f>J439*(1+G2)</f>
        <v>9.444493229399999</v>
      </c>
    </row>
    <row r="446" spans="1:10" ht="15" customHeight="1">
      <c r="A446" s="503"/>
      <c r="B446" s="666"/>
      <c r="C446" s="14"/>
      <c r="D446" s="14"/>
      <c r="E446" s="14"/>
      <c r="F446" s="14"/>
      <c r="G446" s="14" t="s">
        <v>121</v>
      </c>
      <c r="H446" s="504">
        <f>'OBRA 03 - MEMÓRIA'!O91</f>
        <v>303.67784483999998</v>
      </c>
      <c r="I446" s="14" t="s">
        <v>122</v>
      </c>
      <c r="J446" s="505">
        <f>TRUNC(H446*J445,2)</f>
        <v>2868.08</v>
      </c>
    </row>
    <row r="447" spans="1:10" ht="25.5">
      <c r="A447" s="492" t="s">
        <v>93</v>
      </c>
      <c r="B447" s="4" t="s">
        <v>56</v>
      </c>
      <c r="C447" s="27" t="s">
        <v>24</v>
      </c>
      <c r="D447" s="27" t="s">
        <v>57</v>
      </c>
      <c r="E447" s="1079" t="s">
        <v>184</v>
      </c>
      <c r="F447" s="1079"/>
      <c r="G447" s="4" t="s">
        <v>36</v>
      </c>
      <c r="H447" s="5">
        <v>1</v>
      </c>
      <c r="I447" s="6">
        <v>2.46</v>
      </c>
      <c r="J447" s="493">
        <f>SUM(J448:J449)</f>
        <v>2.4911820000000002</v>
      </c>
    </row>
    <row r="448" spans="1:10" ht="15">
      <c r="A448" s="490" t="s">
        <v>600</v>
      </c>
      <c r="B448" s="31" t="s">
        <v>7</v>
      </c>
      <c r="C448" s="26" t="s">
        <v>8</v>
      </c>
      <c r="D448" s="26" t="s">
        <v>9</v>
      </c>
      <c r="E448" s="1092" t="s">
        <v>92</v>
      </c>
      <c r="F448" s="1092"/>
      <c r="G448" s="31" t="s">
        <v>10</v>
      </c>
      <c r="H448" s="29" t="s">
        <v>11</v>
      </c>
      <c r="I448" s="29" t="s">
        <v>12</v>
      </c>
      <c r="J448" s="491" t="s">
        <v>14</v>
      </c>
    </row>
    <row r="449" spans="1:11" ht="25.5">
      <c r="A449" s="492" t="s">
        <v>93</v>
      </c>
      <c r="B449" s="4" t="s">
        <v>56</v>
      </c>
      <c r="C449" s="27" t="s">
        <v>24</v>
      </c>
      <c r="D449" s="27" t="s">
        <v>57</v>
      </c>
      <c r="E449" s="1079" t="s">
        <v>184</v>
      </c>
      <c r="F449" s="1079"/>
      <c r="G449" s="4" t="s">
        <v>36</v>
      </c>
      <c r="H449" s="5">
        <v>1</v>
      </c>
      <c r="I449" s="6">
        <v>2.46</v>
      </c>
      <c r="J449" s="493">
        <f>SUM(J450:J451)</f>
        <v>2.4911820000000002</v>
      </c>
    </row>
    <row r="450" spans="1:11" ht="51">
      <c r="A450" s="494" t="s">
        <v>95</v>
      </c>
      <c r="B450" s="8" t="s">
        <v>233</v>
      </c>
      <c r="C450" s="23" t="s">
        <v>24</v>
      </c>
      <c r="D450" s="23" t="s">
        <v>234</v>
      </c>
      <c r="E450" s="1080" t="s">
        <v>125</v>
      </c>
      <c r="F450" s="1080"/>
      <c r="G450" s="8" t="s">
        <v>126</v>
      </c>
      <c r="H450" s="9">
        <v>8.3000000000000001E-3</v>
      </c>
      <c r="I450" s="10">
        <v>268.74</v>
      </c>
      <c r="J450" s="495">
        <f>I450*H450</f>
        <v>2.2305420000000002</v>
      </c>
    </row>
    <row r="451" spans="1:11" ht="51">
      <c r="A451" s="494" t="s">
        <v>95</v>
      </c>
      <c r="B451" s="8" t="s">
        <v>235</v>
      </c>
      <c r="C451" s="23" t="s">
        <v>24</v>
      </c>
      <c r="D451" s="23" t="s">
        <v>236</v>
      </c>
      <c r="E451" s="1080" t="s">
        <v>125</v>
      </c>
      <c r="F451" s="1080"/>
      <c r="G451" s="8" t="s">
        <v>129</v>
      </c>
      <c r="H451" s="9">
        <v>3.5999999999999999E-3</v>
      </c>
      <c r="I451" s="10">
        <v>72.400000000000006</v>
      </c>
      <c r="J451" s="495">
        <f>I451*H451</f>
        <v>0.26064000000000004</v>
      </c>
    </row>
    <row r="452" spans="1:11">
      <c r="A452" s="498"/>
      <c r="B452" s="20"/>
      <c r="C452" s="499"/>
      <c r="D452" s="499"/>
      <c r="E452" s="499" t="s">
        <v>116</v>
      </c>
      <c r="F452" s="500">
        <v>0.24000000000000002</v>
      </c>
      <c r="G452" s="499" t="s">
        <v>117</v>
      </c>
      <c r="H452" s="500">
        <v>0</v>
      </c>
      <c r="I452" s="499" t="s">
        <v>118</v>
      </c>
      <c r="J452" s="501">
        <v>0.24000000000000002</v>
      </c>
    </row>
    <row r="453" spans="1:11">
      <c r="A453" s="498"/>
      <c r="B453" s="20"/>
      <c r="C453" s="499"/>
      <c r="D453" s="499"/>
      <c r="E453" s="499" t="s">
        <v>119</v>
      </c>
      <c r="F453" s="500">
        <f>J453-J449</f>
        <v>0.52240086539999986</v>
      </c>
      <c r="G453" s="499"/>
      <c r="H453" s="1082" t="s">
        <v>120</v>
      </c>
      <c r="I453" s="1082"/>
      <c r="J453" s="501">
        <f>J449*(1+G2)</f>
        <v>3.0135828654000001</v>
      </c>
    </row>
    <row r="454" spans="1:11" ht="15" thickBot="1">
      <c r="A454" s="503"/>
      <c r="B454" s="666"/>
      <c r="C454" s="14"/>
      <c r="D454" s="14"/>
      <c r="E454" s="14"/>
      <c r="F454" s="14"/>
      <c r="G454" s="14" t="s">
        <v>121</v>
      </c>
      <c r="H454" s="504">
        <f>'OBRA 03 - MEMÓRIA'!O94</f>
        <v>9110.3353451999992</v>
      </c>
      <c r="I454" s="14" t="s">
        <v>122</v>
      </c>
      <c r="J454" s="505">
        <f>TRUNC(H454*J453,2)</f>
        <v>27454.75</v>
      </c>
    </row>
    <row r="455" spans="1:11" ht="15" thickTop="1">
      <c r="A455" s="506"/>
      <c r="B455" s="230"/>
      <c r="C455" s="15"/>
      <c r="D455" s="15"/>
      <c r="E455" s="15"/>
      <c r="F455" s="15"/>
      <c r="G455" s="15"/>
      <c r="H455" s="15"/>
      <c r="I455" s="15"/>
      <c r="J455" s="507"/>
    </row>
    <row r="456" spans="1:11">
      <c r="A456" s="518" t="s">
        <v>475</v>
      </c>
      <c r="B456" s="229"/>
      <c r="C456" s="25"/>
      <c r="D456" s="25" t="s">
        <v>476</v>
      </c>
      <c r="E456" s="25"/>
      <c r="F456" s="1090"/>
      <c r="G456" s="1090"/>
      <c r="H456" s="1"/>
      <c r="I456" s="25"/>
      <c r="J456" s="519">
        <f>J464+J470</f>
        <v>4713.5300000000007</v>
      </c>
    </row>
    <row r="457" spans="1:11" ht="15">
      <c r="A457" s="490" t="s">
        <v>85</v>
      </c>
      <c r="B457" s="31" t="s">
        <v>7</v>
      </c>
      <c r="C457" s="26" t="s">
        <v>8</v>
      </c>
      <c r="D457" s="26" t="s">
        <v>9</v>
      </c>
      <c r="E457" s="1092" t="s">
        <v>92</v>
      </c>
      <c r="F457" s="1092"/>
      <c r="G457" s="31" t="s">
        <v>10</v>
      </c>
      <c r="H457" s="29" t="s">
        <v>11</v>
      </c>
      <c r="I457" s="29" t="s">
        <v>12</v>
      </c>
      <c r="J457" s="491" t="s">
        <v>14</v>
      </c>
    </row>
    <row r="458" spans="1:11" ht="25.5">
      <c r="A458" s="492" t="s">
        <v>93</v>
      </c>
      <c r="B458" s="4" t="s">
        <v>477</v>
      </c>
      <c r="C458" s="27" t="s">
        <v>24</v>
      </c>
      <c r="D458" s="27" t="s">
        <v>478</v>
      </c>
      <c r="E458" s="1079" t="s">
        <v>510</v>
      </c>
      <c r="F458" s="1079"/>
      <c r="G458" s="4" t="s">
        <v>21</v>
      </c>
      <c r="H458" s="5">
        <v>1</v>
      </c>
      <c r="I458" s="6">
        <v>26.49</v>
      </c>
      <c r="J458" s="493">
        <f>SUM(J459:J461)</f>
        <v>26.613711000000002</v>
      </c>
      <c r="K458">
        <v>32.194606196700001</v>
      </c>
    </row>
    <row r="459" spans="1:11" ht="25.5">
      <c r="A459" s="494" t="s">
        <v>95</v>
      </c>
      <c r="B459" s="8" t="s">
        <v>103</v>
      </c>
      <c r="C459" s="23" t="s">
        <v>24</v>
      </c>
      <c r="D459" s="23" t="s">
        <v>104</v>
      </c>
      <c r="E459" s="1080" t="s">
        <v>101</v>
      </c>
      <c r="F459" s="1080"/>
      <c r="G459" s="8" t="s">
        <v>102</v>
      </c>
      <c r="H459" s="9">
        <v>0.15640000000000001</v>
      </c>
      <c r="I459" s="10">
        <v>21.05</v>
      </c>
      <c r="J459" s="495">
        <f>I459*H459</f>
        <v>3.2922200000000004</v>
      </c>
    </row>
    <row r="460" spans="1:11" ht="25.5">
      <c r="A460" s="494" t="s">
        <v>95</v>
      </c>
      <c r="B460" s="8" t="s">
        <v>511</v>
      </c>
      <c r="C460" s="23" t="s">
        <v>24</v>
      </c>
      <c r="D460" s="23" t="s">
        <v>512</v>
      </c>
      <c r="E460" s="1080" t="s">
        <v>101</v>
      </c>
      <c r="F460" s="1080"/>
      <c r="G460" s="8" t="s">
        <v>102</v>
      </c>
      <c r="H460" s="9">
        <v>3.9100000000000003E-2</v>
      </c>
      <c r="I460" s="10">
        <v>21.01</v>
      </c>
      <c r="J460" s="495">
        <f t="shared" ref="J460:J461" si="20">I460*H460</f>
        <v>0.82149100000000008</v>
      </c>
    </row>
    <row r="461" spans="1:11" ht="25.5">
      <c r="A461" s="496" t="s">
        <v>105</v>
      </c>
      <c r="B461" s="11" t="s">
        <v>480</v>
      </c>
      <c r="C461" s="24" t="s">
        <v>24</v>
      </c>
      <c r="D461" s="24" t="s">
        <v>481</v>
      </c>
      <c r="E461" s="1087" t="s">
        <v>108</v>
      </c>
      <c r="F461" s="1087"/>
      <c r="G461" s="11" t="s">
        <v>21</v>
      </c>
      <c r="H461" s="12">
        <v>1</v>
      </c>
      <c r="I461" s="13">
        <v>22.5</v>
      </c>
      <c r="J461" s="497">
        <f t="shared" si="20"/>
        <v>22.5</v>
      </c>
    </row>
    <row r="462" spans="1:11">
      <c r="A462" s="498"/>
      <c r="B462" s="20"/>
      <c r="C462" s="499"/>
      <c r="D462" s="499"/>
      <c r="E462" s="499" t="s">
        <v>116</v>
      </c>
      <c r="F462" s="500">
        <v>3.03</v>
      </c>
      <c r="G462" s="499" t="s">
        <v>117</v>
      </c>
      <c r="H462" s="500">
        <v>0</v>
      </c>
      <c r="I462" s="499" t="s">
        <v>118</v>
      </c>
      <c r="J462" s="501">
        <v>3.03</v>
      </c>
    </row>
    <row r="463" spans="1:11">
      <c r="A463" s="498"/>
      <c r="B463" s="20"/>
      <c r="C463" s="499"/>
      <c r="D463" s="499"/>
      <c r="E463" s="499" t="s">
        <v>119</v>
      </c>
      <c r="F463" s="500">
        <f>J463-J458</f>
        <v>5.5808951966999985</v>
      </c>
      <c r="G463" s="499"/>
      <c r="H463" s="1082" t="s">
        <v>120</v>
      </c>
      <c r="I463" s="1082"/>
      <c r="J463" s="508">
        <f>J458*(1+G2)</f>
        <v>32.194606196700001</v>
      </c>
    </row>
    <row r="464" spans="1:11" ht="15" thickBot="1">
      <c r="A464" s="503"/>
      <c r="B464" s="666"/>
      <c r="C464" s="14"/>
      <c r="D464" s="14"/>
      <c r="E464" s="14"/>
      <c r="F464" s="14"/>
      <c r="G464" s="14" t="s">
        <v>121</v>
      </c>
      <c r="H464" s="504">
        <f>'OBRA 03 - MEMÓRIA'!O97</f>
        <v>81.48</v>
      </c>
      <c r="I464" s="14" t="s">
        <v>122</v>
      </c>
      <c r="J464" s="505">
        <f>TRUNC(H464*J463,2)</f>
        <v>2623.21</v>
      </c>
      <c r="K464">
        <v>25.654499999999999</v>
      </c>
    </row>
    <row r="465" spans="1:10" ht="15" thickTop="1">
      <c r="A465" s="506"/>
      <c r="B465" s="230"/>
      <c r="C465" s="15"/>
      <c r="D465" s="15"/>
      <c r="E465" s="15"/>
      <c r="F465" s="15"/>
      <c r="G465" s="15"/>
      <c r="H465" s="15"/>
      <c r="I465" s="15"/>
      <c r="J465" s="507"/>
    </row>
    <row r="466" spans="1:10" ht="15">
      <c r="A466" s="490" t="s">
        <v>479</v>
      </c>
      <c r="B466" s="31" t="s">
        <v>7</v>
      </c>
      <c r="C466" s="26" t="s">
        <v>8</v>
      </c>
      <c r="D466" s="26" t="s">
        <v>9</v>
      </c>
      <c r="E466" s="1092" t="s">
        <v>92</v>
      </c>
      <c r="F466" s="1092"/>
      <c r="G466" s="31" t="s">
        <v>10</v>
      </c>
      <c r="H466" s="29" t="s">
        <v>11</v>
      </c>
      <c r="I466" s="29" t="s">
        <v>12</v>
      </c>
      <c r="J466" s="491" t="s">
        <v>14</v>
      </c>
    </row>
    <row r="467" spans="1:10" ht="25.5">
      <c r="A467" s="522" t="s">
        <v>105</v>
      </c>
      <c r="B467" s="17" t="s">
        <v>480</v>
      </c>
      <c r="C467" s="28" t="s">
        <v>24</v>
      </c>
      <c r="D467" s="28" t="s">
        <v>481</v>
      </c>
      <c r="E467" s="1099" t="s">
        <v>108</v>
      </c>
      <c r="F467" s="1099"/>
      <c r="G467" s="17" t="s">
        <v>21</v>
      </c>
      <c r="H467" s="18">
        <v>1</v>
      </c>
      <c r="I467" s="19">
        <v>22.5</v>
      </c>
      <c r="J467" s="523">
        <f>I467*H467</f>
        <v>22.5</v>
      </c>
    </row>
    <row r="468" spans="1:10">
      <c r="A468" s="498"/>
      <c r="B468" s="20"/>
      <c r="C468" s="499"/>
      <c r="D468" s="499"/>
      <c r="E468" s="499" t="s">
        <v>116</v>
      </c>
      <c r="F468" s="500">
        <v>0</v>
      </c>
      <c r="G468" s="499" t="s">
        <v>117</v>
      </c>
      <c r="H468" s="500">
        <v>0</v>
      </c>
      <c r="I468" s="499" t="s">
        <v>118</v>
      </c>
      <c r="J468" s="501">
        <v>0</v>
      </c>
    </row>
    <row r="469" spans="1:10">
      <c r="A469" s="498"/>
      <c r="B469" s="20"/>
      <c r="C469" s="499"/>
      <c r="D469" s="499"/>
      <c r="E469" s="499" t="s">
        <v>119</v>
      </c>
      <c r="F469" s="500">
        <v>5.62</v>
      </c>
      <c r="G469" s="499"/>
      <c r="H469" s="1082" t="s">
        <v>120</v>
      </c>
      <c r="I469" s="1082"/>
      <c r="J469" s="665">
        <f>J467*(1+H2)</f>
        <v>25.654500000000002</v>
      </c>
    </row>
    <row r="470" spans="1:10" ht="15" thickBot="1">
      <c r="A470" s="503"/>
      <c r="B470" s="666"/>
      <c r="C470" s="14"/>
      <c r="D470" s="14"/>
      <c r="E470" s="14"/>
      <c r="F470" s="14"/>
      <c r="G470" s="14" t="s">
        <v>121</v>
      </c>
      <c r="H470" s="504">
        <f>'OBRA 03 - MEMÓRIA'!O99</f>
        <v>81.48</v>
      </c>
      <c r="I470" s="14" t="s">
        <v>122</v>
      </c>
      <c r="J470" s="505">
        <f>TRUNC(H470*J469,2)</f>
        <v>2090.3200000000002</v>
      </c>
    </row>
    <row r="471" spans="1:10" ht="15" thickTop="1">
      <c r="A471" s="506"/>
      <c r="B471" s="230"/>
      <c r="C471" s="15"/>
      <c r="D471" s="15"/>
      <c r="E471" s="15"/>
      <c r="F471" s="15"/>
      <c r="G471" s="15"/>
      <c r="H471" s="15"/>
      <c r="I471" s="15"/>
      <c r="J471" s="507"/>
    </row>
    <row r="472" spans="1:10">
      <c r="A472" s="518" t="s">
        <v>482</v>
      </c>
      <c r="B472" s="229"/>
      <c r="C472" s="25"/>
      <c r="D472" s="25" t="s">
        <v>329</v>
      </c>
      <c r="E472" s="25"/>
      <c r="F472" s="1090"/>
      <c r="G472" s="1090"/>
      <c r="H472" s="1"/>
      <c r="I472" s="25"/>
      <c r="J472" s="519">
        <f>J485</f>
        <v>15995.28</v>
      </c>
    </row>
    <row r="473" spans="1:10" ht="15">
      <c r="A473" s="490" t="s">
        <v>86</v>
      </c>
      <c r="B473" s="31" t="s">
        <v>7</v>
      </c>
      <c r="C473" s="26" t="s">
        <v>8</v>
      </c>
      <c r="D473" s="26" t="s">
        <v>9</v>
      </c>
      <c r="E473" s="1092" t="s">
        <v>92</v>
      </c>
      <c r="F473" s="1092"/>
      <c r="G473" s="31" t="s">
        <v>10</v>
      </c>
      <c r="H473" s="29" t="s">
        <v>11</v>
      </c>
      <c r="I473" s="29" t="s">
        <v>12</v>
      </c>
      <c r="J473" s="491" t="s">
        <v>14</v>
      </c>
    </row>
    <row r="474" spans="1:10" ht="51">
      <c r="A474" s="492" t="s">
        <v>93</v>
      </c>
      <c r="B474" s="4" t="s">
        <v>330</v>
      </c>
      <c r="C474" s="27" t="s">
        <v>24</v>
      </c>
      <c r="D474" s="27" t="s">
        <v>331</v>
      </c>
      <c r="E474" s="1079" t="s">
        <v>346</v>
      </c>
      <c r="F474" s="1079"/>
      <c r="G474" s="4" t="s">
        <v>76</v>
      </c>
      <c r="H474" s="5">
        <v>1</v>
      </c>
      <c r="I474" s="6">
        <v>6.62</v>
      </c>
      <c r="J474" s="493">
        <f>SUM(J475:J482)</f>
        <v>6.3876930000000005</v>
      </c>
    </row>
    <row r="475" spans="1:10" ht="25.5">
      <c r="A475" s="494" t="s">
        <v>95</v>
      </c>
      <c r="B475" s="8" t="s">
        <v>347</v>
      </c>
      <c r="C475" s="23" t="s">
        <v>24</v>
      </c>
      <c r="D475" s="23" t="s">
        <v>348</v>
      </c>
      <c r="E475" s="1080" t="s">
        <v>101</v>
      </c>
      <c r="F475" s="1080"/>
      <c r="G475" s="8" t="s">
        <v>102</v>
      </c>
      <c r="H475" s="9">
        <v>3.4000000000000002E-2</v>
      </c>
      <c r="I475" s="10">
        <v>27.98</v>
      </c>
      <c r="J475" s="495">
        <f>I475*H475</f>
        <v>0.95132000000000005</v>
      </c>
    </row>
    <row r="476" spans="1:10" ht="25.5">
      <c r="A476" s="494" t="s">
        <v>95</v>
      </c>
      <c r="B476" s="8" t="s">
        <v>103</v>
      </c>
      <c r="C476" s="23" t="s">
        <v>24</v>
      </c>
      <c r="D476" s="23" t="s">
        <v>104</v>
      </c>
      <c r="E476" s="1080" t="s">
        <v>101</v>
      </c>
      <c r="F476" s="1080"/>
      <c r="G476" s="8" t="s">
        <v>102</v>
      </c>
      <c r="H476" s="9">
        <v>1.4E-2</v>
      </c>
      <c r="I476" s="10">
        <v>21.05</v>
      </c>
      <c r="J476" s="495">
        <f t="shared" ref="J476:J482" si="21">I476*H476</f>
        <v>0.29470000000000002</v>
      </c>
    </row>
    <row r="477" spans="1:10" ht="25.5">
      <c r="A477" s="494" t="s">
        <v>95</v>
      </c>
      <c r="B477" s="8" t="s">
        <v>349</v>
      </c>
      <c r="C477" s="23" t="s">
        <v>24</v>
      </c>
      <c r="D477" s="23" t="s">
        <v>350</v>
      </c>
      <c r="E477" s="1080" t="s">
        <v>125</v>
      </c>
      <c r="F477" s="1080"/>
      <c r="G477" s="8" t="s">
        <v>126</v>
      </c>
      <c r="H477" s="9">
        <v>2.9999999999999997E-4</v>
      </c>
      <c r="I477" s="10">
        <v>187.61</v>
      </c>
      <c r="J477" s="495">
        <f t="shared" si="21"/>
        <v>5.6283E-2</v>
      </c>
    </row>
    <row r="478" spans="1:10" ht="25.5">
      <c r="A478" s="494" t="s">
        <v>95</v>
      </c>
      <c r="B478" s="8" t="s">
        <v>351</v>
      </c>
      <c r="C478" s="23" t="s">
        <v>24</v>
      </c>
      <c r="D478" s="23" t="s">
        <v>352</v>
      </c>
      <c r="E478" s="1080" t="s">
        <v>125</v>
      </c>
      <c r="F478" s="1080"/>
      <c r="G478" s="8" t="s">
        <v>129</v>
      </c>
      <c r="H478" s="9">
        <v>3.3399999999999999E-2</v>
      </c>
      <c r="I478" s="10">
        <v>99</v>
      </c>
      <c r="J478" s="495">
        <f t="shared" si="21"/>
        <v>3.3066</v>
      </c>
    </row>
    <row r="479" spans="1:10">
      <c r="A479" s="496" t="s">
        <v>105</v>
      </c>
      <c r="B479" s="11" t="s">
        <v>353</v>
      </c>
      <c r="C479" s="24" t="s">
        <v>24</v>
      </c>
      <c r="D479" s="24" t="s">
        <v>354</v>
      </c>
      <c r="E479" s="1087" t="s">
        <v>108</v>
      </c>
      <c r="F479" s="1087"/>
      <c r="G479" s="11" t="s">
        <v>288</v>
      </c>
      <c r="H479" s="12">
        <v>2E-3</v>
      </c>
      <c r="I479" s="13">
        <v>25.98</v>
      </c>
      <c r="J479" s="497">
        <f t="shared" si="21"/>
        <v>5.1959999999999999E-2</v>
      </c>
    </row>
    <row r="480" spans="1:10" ht="25.5">
      <c r="A480" s="496" t="s">
        <v>105</v>
      </c>
      <c r="B480" s="11" t="s">
        <v>355</v>
      </c>
      <c r="C480" s="24" t="s">
        <v>24</v>
      </c>
      <c r="D480" s="24" t="s">
        <v>356</v>
      </c>
      <c r="E480" s="1087" t="s">
        <v>108</v>
      </c>
      <c r="F480" s="1087"/>
      <c r="G480" s="11" t="s">
        <v>288</v>
      </c>
      <c r="H480" s="12">
        <v>4.2999999999999997E-2</v>
      </c>
      <c r="I480" s="13">
        <v>32.49</v>
      </c>
      <c r="J480" s="497">
        <f t="shared" si="21"/>
        <v>1.39707</v>
      </c>
    </row>
    <row r="481" spans="1:10" ht="25.5">
      <c r="A481" s="496" t="s">
        <v>105</v>
      </c>
      <c r="B481" s="11" t="s">
        <v>357</v>
      </c>
      <c r="C481" s="24" t="s">
        <v>24</v>
      </c>
      <c r="D481" s="24" t="s">
        <v>358</v>
      </c>
      <c r="E481" s="1087" t="s">
        <v>108</v>
      </c>
      <c r="F481" s="1087"/>
      <c r="G481" s="11" t="s">
        <v>113</v>
      </c>
      <c r="H481" s="12">
        <v>2.5000000000000001E-2</v>
      </c>
      <c r="I481" s="13">
        <v>9.16</v>
      </c>
      <c r="J481" s="497">
        <f t="shared" si="21"/>
        <v>0.22900000000000001</v>
      </c>
    </row>
    <row r="482" spans="1:10" ht="25.5">
      <c r="A482" s="496" t="s">
        <v>105</v>
      </c>
      <c r="B482" s="11" t="s">
        <v>359</v>
      </c>
      <c r="C482" s="24" t="s">
        <v>24</v>
      </c>
      <c r="D482" s="24" t="s">
        <v>360</v>
      </c>
      <c r="E482" s="1087" t="s">
        <v>108</v>
      </c>
      <c r="F482" s="1087"/>
      <c r="G482" s="11" t="s">
        <v>113</v>
      </c>
      <c r="H482" s="12">
        <v>1.0999999999999999E-2</v>
      </c>
      <c r="I482" s="13">
        <v>9.16</v>
      </c>
      <c r="J482" s="497">
        <f t="shared" si="21"/>
        <v>0.10076</v>
      </c>
    </row>
    <row r="483" spans="1:10">
      <c r="A483" s="498"/>
      <c r="B483" s="20"/>
      <c r="C483" s="499"/>
      <c r="D483" s="499"/>
      <c r="E483" s="499" t="s">
        <v>116</v>
      </c>
      <c r="F483" s="500">
        <v>1.92</v>
      </c>
      <c r="G483" s="499" t="s">
        <v>117</v>
      </c>
      <c r="H483" s="500">
        <v>0</v>
      </c>
      <c r="I483" s="499" t="s">
        <v>118</v>
      </c>
      <c r="J483" s="501">
        <v>1.92</v>
      </c>
    </row>
    <row r="484" spans="1:10">
      <c r="A484" s="498"/>
      <c r="B484" s="20"/>
      <c r="C484" s="499"/>
      <c r="D484" s="499"/>
      <c r="E484" s="499" t="s">
        <v>119</v>
      </c>
      <c r="F484" s="500">
        <f>J484-J474</f>
        <v>1.3394992220999997</v>
      </c>
      <c r="G484" s="499"/>
      <c r="H484" s="1082" t="s">
        <v>120</v>
      </c>
      <c r="I484" s="1082"/>
      <c r="J484" s="501">
        <f>J474*(1+G2)</f>
        <v>7.7271922221000002</v>
      </c>
    </row>
    <row r="485" spans="1:10" ht="15" thickBot="1">
      <c r="A485" s="503"/>
      <c r="B485" s="666"/>
      <c r="C485" s="14"/>
      <c r="D485" s="14"/>
      <c r="E485" s="14"/>
      <c r="F485" s="14"/>
      <c r="G485" s="14" t="s">
        <v>121</v>
      </c>
      <c r="H485" s="504">
        <f>'OBRA 03 - MEMÓRIA'!O102</f>
        <v>2070</v>
      </c>
      <c r="I485" s="14" t="s">
        <v>122</v>
      </c>
      <c r="J485" s="505">
        <f>TRUNC(H485*J484,2)</f>
        <v>15995.28</v>
      </c>
    </row>
    <row r="486" spans="1:10" ht="15" thickTop="1">
      <c r="A486" s="506"/>
      <c r="B486" s="230"/>
      <c r="C486" s="15"/>
      <c r="D486" s="15"/>
      <c r="E486" s="15"/>
      <c r="F486" s="15"/>
      <c r="G486" s="15"/>
      <c r="H486" s="15"/>
      <c r="I486" s="15"/>
      <c r="J486" s="507"/>
    </row>
    <row r="487" spans="1:10">
      <c r="A487" s="518" t="s">
        <v>513</v>
      </c>
      <c r="B487" s="229"/>
      <c r="C487" s="25"/>
      <c r="D487" s="25" t="s">
        <v>87</v>
      </c>
      <c r="E487" s="25"/>
      <c r="F487" s="1090"/>
      <c r="G487" s="1090"/>
      <c r="H487" s="1"/>
      <c r="I487" s="25"/>
      <c r="J487" s="519">
        <f>J498</f>
        <v>195957.95</v>
      </c>
    </row>
    <row r="488" spans="1:10" ht="15">
      <c r="A488" s="490" t="s">
        <v>483</v>
      </c>
      <c r="B488" s="31" t="s">
        <v>7</v>
      </c>
      <c r="C488" s="26" t="s">
        <v>8</v>
      </c>
      <c r="D488" s="26" t="s">
        <v>9</v>
      </c>
      <c r="E488" s="1092" t="s">
        <v>92</v>
      </c>
      <c r="F488" s="1092"/>
      <c r="G488" s="31" t="s">
        <v>10</v>
      </c>
      <c r="H488" s="29" t="s">
        <v>11</v>
      </c>
      <c r="I488" s="29" t="s">
        <v>12</v>
      </c>
      <c r="J488" s="491" t="s">
        <v>14</v>
      </c>
    </row>
    <row r="489" spans="1:10">
      <c r="A489" s="492" t="s">
        <v>93</v>
      </c>
      <c r="B489" s="4" t="s">
        <v>88</v>
      </c>
      <c r="C489" s="27" t="s">
        <v>19</v>
      </c>
      <c r="D489" s="27" t="s">
        <v>89</v>
      </c>
      <c r="E489" s="1079" t="s">
        <v>101</v>
      </c>
      <c r="F489" s="1079"/>
      <c r="G489" s="4" t="s">
        <v>90</v>
      </c>
      <c r="H489" s="5">
        <v>1</v>
      </c>
      <c r="I489" s="6">
        <v>50804.55</v>
      </c>
      <c r="J489" s="493">
        <f>SUM(J490:J495)</f>
        <v>50939.899999999994</v>
      </c>
    </row>
    <row r="490" spans="1:10" ht="25.5">
      <c r="A490" s="494" t="s">
        <v>95</v>
      </c>
      <c r="B490" s="8" t="s">
        <v>289</v>
      </c>
      <c r="C490" s="23" t="s">
        <v>24</v>
      </c>
      <c r="D490" s="23" t="s">
        <v>290</v>
      </c>
      <c r="E490" s="1080" t="s">
        <v>101</v>
      </c>
      <c r="F490" s="1080"/>
      <c r="G490" s="8" t="s">
        <v>291</v>
      </c>
      <c r="H490" s="9">
        <v>1</v>
      </c>
      <c r="I490" s="10">
        <v>22082.95</v>
      </c>
      <c r="J490" s="495">
        <f>I490*H490</f>
        <v>22082.95</v>
      </c>
    </row>
    <row r="491" spans="1:10" ht="25.5">
      <c r="A491" s="494" t="s">
        <v>95</v>
      </c>
      <c r="B491" s="8" t="s">
        <v>292</v>
      </c>
      <c r="C491" s="23" t="s">
        <v>24</v>
      </c>
      <c r="D491" s="23" t="s">
        <v>293</v>
      </c>
      <c r="E491" s="1080" t="s">
        <v>101</v>
      </c>
      <c r="F491" s="1080"/>
      <c r="G491" s="8" t="s">
        <v>291</v>
      </c>
      <c r="H491" s="9">
        <v>1</v>
      </c>
      <c r="I491" s="10">
        <v>9574.6200000000008</v>
      </c>
      <c r="J491" s="495">
        <f t="shared" ref="J491:J495" si="22">I491*H491</f>
        <v>9574.6200000000008</v>
      </c>
    </row>
    <row r="492" spans="1:10" ht="25.5">
      <c r="A492" s="494" t="s">
        <v>95</v>
      </c>
      <c r="B492" s="8" t="s">
        <v>294</v>
      </c>
      <c r="C492" s="23" t="s">
        <v>24</v>
      </c>
      <c r="D492" s="23" t="s">
        <v>295</v>
      </c>
      <c r="E492" s="1080" t="s">
        <v>101</v>
      </c>
      <c r="F492" s="1080"/>
      <c r="G492" s="8" t="s">
        <v>291</v>
      </c>
      <c r="H492" s="9">
        <v>1</v>
      </c>
      <c r="I492" s="10">
        <v>6318.43</v>
      </c>
      <c r="J492" s="495">
        <f t="shared" si="22"/>
        <v>6318.43</v>
      </c>
    </row>
    <row r="493" spans="1:10" ht="25.5">
      <c r="A493" s="494" t="s">
        <v>95</v>
      </c>
      <c r="B493" s="8" t="s">
        <v>296</v>
      </c>
      <c r="C493" s="23" t="s">
        <v>24</v>
      </c>
      <c r="D493" s="23" t="s">
        <v>297</v>
      </c>
      <c r="E493" s="1080" t="s">
        <v>101</v>
      </c>
      <c r="F493" s="1080"/>
      <c r="G493" s="8" t="s">
        <v>291</v>
      </c>
      <c r="H493" s="9">
        <v>1</v>
      </c>
      <c r="I493" s="10">
        <v>5095.74</v>
      </c>
      <c r="J493" s="495">
        <f t="shared" si="22"/>
        <v>5095.74</v>
      </c>
    </row>
    <row r="494" spans="1:10" ht="25.5">
      <c r="A494" s="494" t="s">
        <v>95</v>
      </c>
      <c r="B494" s="8" t="s">
        <v>298</v>
      </c>
      <c r="C494" s="23" t="s">
        <v>24</v>
      </c>
      <c r="D494" s="23" t="s">
        <v>299</v>
      </c>
      <c r="E494" s="1080" t="s">
        <v>101</v>
      </c>
      <c r="F494" s="1080"/>
      <c r="G494" s="8" t="s">
        <v>291</v>
      </c>
      <c r="H494" s="9">
        <v>1</v>
      </c>
      <c r="I494" s="10">
        <v>4096.0200000000004</v>
      </c>
      <c r="J494" s="495">
        <f t="shared" si="22"/>
        <v>4096.0200000000004</v>
      </c>
    </row>
    <row r="495" spans="1:10" ht="25.5">
      <c r="A495" s="494" t="s">
        <v>95</v>
      </c>
      <c r="B495" s="8" t="s">
        <v>300</v>
      </c>
      <c r="C495" s="23" t="s">
        <v>24</v>
      </c>
      <c r="D495" s="23" t="s">
        <v>301</v>
      </c>
      <c r="E495" s="1080" t="s">
        <v>101</v>
      </c>
      <c r="F495" s="1080"/>
      <c r="G495" s="8" t="s">
        <v>291</v>
      </c>
      <c r="H495" s="9">
        <v>1</v>
      </c>
      <c r="I495" s="10">
        <v>3772.14</v>
      </c>
      <c r="J495" s="495">
        <f t="shared" si="22"/>
        <v>3772.14</v>
      </c>
    </row>
    <row r="496" spans="1:10">
      <c r="A496" s="498"/>
      <c r="B496" s="20"/>
      <c r="C496" s="499"/>
      <c r="D496" s="499"/>
      <c r="E496" s="499" t="s">
        <v>116</v>
      </c>
      <c r="F496" s="500">
        <v>47655.799999999996</v>
      </c>
      <c r="G496" s="499" t="s">
        <v>117</v>
      </c>
      <c r="H496" s="500">
        <v>0</v>
      </c>
      <c r="I496" s="499" t="s">
        <v>118</v>
      </c>
      <c r="J496" s="501">
        <v>47655.799999999996</v>
      </c>
    </row>
    <row r="497" spans="1:10">
      <c r="A497" s="498"/>
      <c r="B497" s="20"/>
      <c r="C497" s="499"/>
      <c r="D497" s="499"/>
      <c r="E497" s="499" t="s">
        <v>119</v>
      </c>
      <c r="F497" s="500">
        <f>J497-J489</f>
        <v>10682.097029999997</v>
      </c>
      <c r="G497" s="499"/>
      <c r="H497" s="1082" t="s">
        <v>120</v>
      </c>
      <c r="I497" s="1082"/>
      <c r="J497" s="501">
        <f>J489*(1+G2)</f>
        <v>61621.997029999991</v>
      </c>
    </row>
    <row r="498" spans="1:10" ht="15" thickBot="1">
      <c r="A498" s="503"/>
      <c r="B498" s="666"/>
      <c r="C498" s="14"/>
      <c r="D498" s="14"/>
      <c r="E498" s="14"/>
      <c r="F498" s="14"/>
      <c r="G498" s="14" t="s">
        <v>121</v>
      </c>
      <c r="H498" s="504">
        <f>'OBRA 03 - MEMÓRIA'!O104</f>
        <v>3.18</v>
      </c>
      <c r="I498" s="14" t="s">
        <v>122</v>
      </c>
      <c r="J498" s="505">
        <f>TRUNC(H498*J497,2)</f>
        <v>195957.95</v>
      </c>
    </row>
    <row r="499" spans="1:10" ht="15" thickTop="1">
      <c r="A499" s="506"/>
      <c r="B499" s="230"/>
      <c r="C499" s="15"/>
      <c r="D499" s="15"/>
      <c r="E499" s="15"/>
      <c r="F499" s="15"/>
      <c r="G499" s="15"/>
      <c r="H499" s="15"/>
      <c r="I499" s="15"/>
      <c r="J499" s="507"/>
    </row>
    <row r="500" spans="1:10">
      <c r="A500" s="527"/>
      <c r="B500" s="20"/>
      <c r="C500" s="20"/>
      <c r="D500" s="20"/>
      <c r="E500" s="20"/>
      <c r="F500" s="20"/>
      <c r="G500" s="20"/>
      <c r="H500" s="20"/>
      <c r="I500" s="20"/>
      <c r="J500" s="528"/>
    </row>
    <row r="501" spans="1:10">
      <c r="A501" s="1156"/>
      <c r="B501" s="1157"/>
      <c r="C501" s="1157"/>
      <c r="D501" s="614"/>
      <c r="E501" s="613"/>
      <c r="F501" s="1157" t="s">
        <v>328</v>
      </c>
      <c r="G501" s="1157"/>
      <c r="H501" s="1158">
        <f>J487+J472+J456+J409+J386+J151+J109+J6</f>
        <v>2672308.81</v>
      </c>
      <c r="I501" s="1158"/>
      <c r="J501" s="1159"/>
    </row>
  </sheetData>
  <mergeCells count="457">
    <mergeCell ref="H80:I80"/>
    <mergeCell ref="H81:I81"/>
    <mergeCell ref="A82:E82"/>
    <mergeCell ref="F82:I82"/>
    <mergeCell ref="G83:I83"/>
    <mergeCell ref="A86:E86"/>
    <mergeCell ref="F86:I86"/>
    <mergeCell ref="H88:I88"/>
    <mergeCell ref="E447:F447"/>
    <mergeCell ref="E443:F443"/>
    <mergeCell ref="H445:I445"/>
    <mergeCell ref="E428:F428"/>
    <mergeCell ref="E429:F429"/>
    <mergeCell ref="E430:F430"/>
    <mergeCell ref="E431:F431"/>
    <mergeCell ref="E432:F432"/>
    <mergeCell ref="E433:F433"/>
    <mergeCell ref="E425:F425"/>
    <mergeCell ref="E426:F426"/>
    <mergeCell ref="E427:F427"/>
    <mergeCell ref="E417:F417"/>
    <mergeCell ref="E418:F418"/>
    <mergeCell ref="E419:F419"/>
    <mergeCell ref="E420:F420"/>
    <mergeCell ref="A71:E71"/>
    <mergeCell ref="F71:I71"/>
    <mergeCell ref="A72:E72"/>
    <mergeCell ref="F72:I72"/>
    <mergeCell ref="C62:C63"/>
    <mergeCell ref="D62:D63"/>
    <mergeCell ref="E62:E63"/>
    <mergeCell ref="F62:G62"/>
    <mergeCell ref="H62:I62"/>
    <mergeCell ref="J33:J34"/>
    <mergeCell ref="A36:E36"/>
    <mergeCell ref="F36:I36"/>
    <mergeCell ref="J62:J63"/>
    <mergeCell ref="A67:E67"/>
    <mergeCell ref="F67:I67"/>
    <mergeCell ref="F68:I68"/>
    <mergeCell ref="A70:E70"/>
    <mergeCell ref="F70:I70"/>
    <mergeCell ref="A44:E44"/>
    <mergeCell ref="F44:I44"/>
    <mergeCell ref="A45:E45"/>
    <mergeCell ref="F45:I45"/>
    <mergeCell ref="H47:I47"/>
    <mergeCell ref="E60:F60"/>
    <mergeCell ref="A40:E40"/>
    <mergeCell ref="F40:I40"/>
    <mergeCell ref="A41:E41"/>
    <mergeCell ref="F41:I41"/>
    <mergeCell ref="A42:E42"/>
    <mergeCell ref="F42:I42"/>
    <mergeCell ref="A43:E43"/>
    <mergeCell ref="F43:I43"/>
    <mergeCell ref="E54:F54"/>
    <mergeCell ref="E55:F55"/>
    <mergeCell ref="H57:I57"/>
    <mergeCell ref="E494:F494"/>
    <mergeCell ref="E495:F495"/>
    <mergeCell ref="H497:I497"/>
    <mergeCell ref="A501:C501"/>
    <mergeCell ref="F501:G501"/>
    <mergeCell ref="H501:J501"/>
    <mergeCell ref="E488:F488"/>
    <mergeCell ref="E489:F489"/>
    <mergeCell ref="E490:F490"/>
    <mergeCell ref="E491:F491"/>
    <mergeCell ref="E492:F492"/>
    <mergeCell ref="E493:F493"/>
    <mergeCell ref="E479:F479"/>
    <mergeCell ref="E480:F480"/>
    <mergeCell ref="E481:F481"/>
    <mergeCell ref="E482:F482"/>
    <mergeCell ref="H484:I484"/>
    <mergeCell ref="F487:G487"/>
    <mergeCell ref="E473:F473"/>
    <mergeCell ref="E474:F474"/>
    <mergeCell ref="E475:F475"/>
    <mergeCell ref="E476:F476"/>
    <mergeCell ref="E477:F477"/>
    <mergeCell ref="E478:F478"/>
    <mergeCell ref="E461:F461"/>
    <mergeCell ref="H463:I463"/>
    <mergeCell ref="E466:F466"/>
    <mergeCell ref="E467:F467"/>
    <mergeCell ref="H469:I469"/>
    <mergeCell ref="F472:G472"/>
    <mergeCell ref="H453:I453"/>
    <mergeCell ref="F456:G456"/>
    <mergeCell ref="E457:F457"/>
    <mergeCell ref="E458:F458"/>
    <mergeCell ref="E459:F459"/>
    <mergeCell ref="E460:F460"/>
    <mergeCell ref="E448:F448"/>
    <mergeCell ref="E449:F449"/>
    <mergeCell ref="E450:F450"/>
    <mergeCell ref="E451:F451"/>
    <mergeCell ref="H435:I435"/>
    <mergeCell ref="E438:F438"/>
    <mergeCell ref="E439:F439"/>
    <mergeCell ref="E440:F440"/>
    <mergeCell ref="E441:F441"/>
    <mergeCell ref="E442:F442"/>
    <mergeCell ref="H422:I422"/>
    <mergeCell ref="E411:F411"/>
    <mergeCell ref="E412:F412"/>
    <mergeCell ref="E413:F413"/>
    <mergeCell ref="E414:F414"/>
    <mergeCell ref="E415:F415"/>
    <mergeCell ref="E416:F416"/>
    <mergeCell ref="E410:F410"/>
    <mergeCell ref="E403:F403"/>
    <mergeCell ref="E404:F404"/>
    <mergeCell ref="E405:F405"/>
    <mergeCell ref="H407:I407"/>
    <mergeCell ref="H395:I395"/>
    <mergeCell ref="E398:F398"/>
    <mergeCell ref="E399:F399"/>
    <mergeCell ref="E400:F400"/>
    <mergeCell ref="E401:F401"/>
    <mergeCell ref="E402:F402"/>
    <mergeCell ref="E388:F388"/>
    <mergeCell ref="E389:F389"/>
    <mergeCell ref="E390:F390"/>
    <mergeCell ref="E391:F391"/>
    <mergeCell ref="E392:F392"/>
    <mergeCell ref="E393:F393"/>
    <mergeCell ref="H377:I377"/>
    <mergeCell ref="E380:F380"/>
    <mergeCell ref="E381:F381"/>
    <mergeCell ref="H383:I383"/>
    <mergeCell ref="F386:G386"/>
    <mergeCell ref="E387:F387"/>
    <mergeCell ref="H365:I365"/>
    <mergeCell ref="E368:F368"/>
    <mergeCell ref="E369:F369"/>
    <mergeCell ref="H371:I371"/>
    <mergeCell ref="E374:F374"/>
    <mergeCell ref="E375:F375"/>
    <mergeCell ref="E355:F355"/>
    <mergeCell ref="E356:F356"/>
    <mergeCell ref="H358:I358"/>
    <mergeCell ref="E361:F361"/>
    <mergeCell ref="E362:F362"/>
    <mergeCell ref="E363:F363"/>
    <mergeCell ref="E346:F346"/>
    <mergeCell ref="E347:F347"/>
    <mergeCell ref="E348:F348"/>
    <mergeCell ref="H350:I350"/>
    <mergeCell ref="E353:F353"/>
    <mergeCell ref="E354:F354"/>
    <mergeCell ref="E337:F337"/>
    <mergeCell ref="E338:F338"/>
    <mergeCell ref="E339:F339"/>
    <mergeCell ref="E340:F340"/>
    <mergeCell ref="H342:I342"/>
    <mergeCell ref="E345:F345"/>
    <mergeCell ref="E328:F328"/>
    <mergeCell ref="E329:F329"/>
    <mergeCell ref="E330:F330"/>
    <mergeCell ref="E331:F331"/>
    <mergeCell ref="E332:F332"/>
    <mergeCell ref="H334:I334"/>
    <mergeCell ref="E319:F319"/>
    <mergeCell ref="E320:F320"/>
    <mergeCell ref="E321:F321"/>
    <mergeCell ref="E322:F322"/>
    <mergeCell ref="H324:I324"/>
    <mergeCell ref="E327:F327"/>
    <mergeCell ref="A310:E310"/>
    <mergeCell ref="F310:I310"/>
    <mergeCell ref="G311:I311"/>
    <mergeCell ref="A314:E314"/>
    <mergeCell ref="F314:I314"/>
    <mergeCell ref="H316:I316"/>
    <mergeCell ref="G305:I305"/>
    <mergeCell ref="G306:I306"/>
    <mergeCell ref="A307:E307"/>
    <mergeCell ref="F307:I307"/>
    <mergeCell ref="H308:I308"/>
    <mergeCell ref="H309:I309"/>
    <mergeCell ref="A302:E302"/>
    <mergeCell ref="F302:I302"/>
    <mergeCell ref="A303:E303"/>
    <mergeCell ref="F303:I303"/>
    <mergeCell ref="A304:E304"/>
    <mergeCell ref="F304:I304"/>
    <mergeCell ref="A299:E299"/>
    <mergeCell ref="F299:I299"/>
    <mergeCell ref="A300:E300"/>
    <mergeCell ref="F300:I300"/>
    <mergeCell ref="A301:E301"/>
    <mergeCell ref="F301:I301"/>
    <mergeCell ref="H290:I290"/>
    <mergeCell ref="J290:J291"/>
    <mergeCell ref="A295:E295"/>
    <mergeCell ref="F295:I295"/>
    <mergeCell ref="F296:I296"/>
    <mergeCell ref="A298:E298"/>
    <mergeCell ref="F298:I298"/>
    <mergeCell ref="E289:F289"/>
    <mergeCell ref="A290:A291"/>
    <mergeCell ref="B290:B291"/>
    <mergeCell ref="C290:C291"/>
    <mergeCell ref="D290:D291"/>
    <mergeCell ref="E290:E291"/>
    <mergeCell ref="F290:G290"/>
    <mergeCell ref="G281:I281"/>
    <mergeCell ref="G282:I282"/>
    <mergeCell ref="A283:E283"/>
    <mergeCell ref="F283:I283"/>
    <mergeCell ref="H285:I285"/>
    <mergeCell ref="E288:F288"/>
    <mergeCell ref="A278:E278"/>
    <mergeCell ref="F278:I278"/>
    <mergeCell ref="A279:E279"/>
    <mergeCell ref="F279:I279"/>
    <mergeCell ref="A280:E280"/>
    <mergeCell ref="F280:I280"/>
    <mergeCell ref="A275:E275"/>
    <mergeCell ref="F275:I275"/>
    <mergeCell ref="A276:E276"/>
    <mergeCell ref="F276:I276"/>
    <mergeCell ref="A277:E277"/>
    <mergeCell ref="F277:I277"/>
    <mergeCell ref="H267:I267"/>
    <mergeCell ref="J267:J268"/>
    <mergeCell ref="A271:E271"/>
    <mergeCell ref="F271:I271"/>
    <mergeCell ref="F272:I272"/>
    <mergeCell ref="A274:E274"/>
    <mergeCell ref="F274:I274"/>
    <mergeCell ref="E266:F266"/>
    <mergeCell ref="A267:A268"/>
    <mergeCell ref="B267:B268"/>
    <mergeCell ref="C267:C268"/>
    <mergeCell ref="D267:D268"/>
    <mergeCell ref="E267:E268"/>
    <mergeCell ref="F267:G267"/>
    <mergeCell ref="G258:I258"/>
    <mergeCell ref="G259:I259"/>
    <mergeCell ref="A260:E260"/>
    <mergeCell ref="F260:I260"/>
    <mergeCell ref="H262:I262"/>
    <mergeCell ref="E265:F265"/>
    <mergeCell ref="A255:E255"/>
    <mergeCell ref="F255:I255"/>
    <mergeCell ref="A256:E256"/>
    <mergeCell ref="F256:I256"/>
    <mergeCell ref="A257:E257"/>
    <mergeCell ref="F257:I257"/>
    <mergeCell ref="A252:E252"/>
    <mergeCell ref="F252:I252"/>
    <mergeCell ref="A253:E253"/>
    <mergeCell ref="F253:I253"/>
    <mergeCell ref="A254:E254"/>
    <mergeCell ref="F254:I254"/>
    <mergeCell ref="H244:I244"/>
    <mergeCell ref="J244:J245"/>
    <mergeCell ref="A248:E248"/>
    <mergeCell ref="F248:I248"/>
    <mergeCell ref="F249:I249"/>
    <mergeCell ref="A251:E251"/>
    <mergeCell ref="F251:I251"/>
    <mergeCell ref="A244:A245"/>
    <mergeCell ref="B244:B245"/>
    <mergeCell ref="C244:C245"/>
    <mergeCell ref="D244:D245"/>
    <mergeCell ref="E244:E245"/>
    <mergeCell ref="F244:G244"/>
    <mergeCell ref="E235:F235"/>
    <mergeCell ref="E236:F236"/>
    <mergeCell ref="E237:F237"/>
    <mergeCell ref="H239:I239"/>
    <mergeCell ref="E242:F242"/>
    <mergeCell ref="E243:F243"/>
    <mergeCell ref="E229:F229"/>
    <mergeCell ref="E230:F230"/>
    <mergeCell ref="E231:F231"/>
    <mergeCell ref="E232:F232"/>
    <mergeCell ref="E233:F233"/>
    <mergeCell ref="E234:F234"/>
    <mergeCell ref="E220:F220"/>
    <mergeCell ref="E221:F221"/>
    <mergeCell ref="H223:I223"/>
    <mergeCell ref="F226:G226"/>
    <mergeCell ref="E227:F227"/>
    <mergeCell ref="E228:F228"/>
    <mergeCell ref="E211:F211"/>
    <mergeCell ref="E212:F212"/>
    <mergeCell ref="E213:F213"/>
    <mergeCell ref="H215:I215"/>
    <mergeCell ref="E218:F218"/>
    <mergeCell ref="E219:F219"/>
    <mergeCell ref="E202:F202"/>
    <mergeCell ref="E203:F203"/>
    <mergeCell ref="H205:I205"/>
    <mergeCell ref="E208:F208"/>
    <mergeCell ref="E209:F209"/>
    <mergeCell ref="E210:F210"/>
    <mergeCell ref="E196:F196"/>
    <mergeCell ref="E197:F197"/>
    <mergeCell ref="E198:F198"/>
    <mergeCell ref="E199:F199"/>
    <mergeCell ref="E200:F200"/>
    <mergeCell ref="E201:F201"/>
    <mergeCell ref="E187:F187"/>
    <mergeCell ref="H189:I189"/>
    <mergeCell ref="E192:F192"/>
    <mergeCell ref="E193:F193"/>
    <mergeCell ref="E194:F194"/>
    <mergeCell ref="E195:F195"/>
    <mergeCell ref="E178:F178"/>
    <mergeCell ref="E179:F179"/>
    <mergeCell ref="E180:F180"/>
    <mergeCell ref="E181:F181"/>
    <mergeCell ref="H183:I183"/>
    <mergeCell ref="E186:F186"/>
    <mergeCell ref="E172:F172"/>
    <mergeCell ref="E173:F173"/>
    <mergeCell ref="E174:F174"/>
    <mergeCell ref="E175:F175"/>
    <mergeCell ref="E176:F176"/>
    <mergeCell ref="E177:F177"/>
    <mergeCell ref="E166:F166"/>
    <mergeCell ref="E167:F167"/>
    <mergeCell ref="E168:F168"/>
    <mergeCell ref="E169:F169"/>
    <mergeCell ref="E170:F170"/>
    <mergeCell ref="E171:F171"/>
    <mergeCell ref="E157:F157"/>
    <mergeCell ref="E158:F158"/>
    <mergeCell ref="E159:F159"/>
    <mergeCell ref="E160:F160"/>
    <mergeCell ref="E161:F161"/>
    <mergeCell ref="H163:I163"/>
    <mergeCell ref="F151:G151"/>
    <mergeCell ref="F152:G152"/>
    <mergeCell ref="E153:F153"/>
    <mergeCell ref="E154:F154"/>
    <mergeCell ref="E155:F155"/>
    <mergeCell ref="E156:F156"/>
    <mergeCell ref="H140:I140"/>
    <mergeCell ref="E143:F143"/>
    <mergeCell ref="E144:F144"/>
    <mergeCell ref="E145:F145"/>
    <mergeCell ref="E146:F146"/>
    <mergeCell ref="H148:I148"/>
    <mergeCell ref="A136:E136"/>
    <mergeCell ref="F136:I136"/>
    <mergeCell ref="A137:E137"/>
    <mergeCell ref="F137:I137"/>
    <mergeCell ref="A138:E138"/>
    <mergeCell ref="F138:I138"/>
    <mergeCell ref="A133:E133"/>
    <mergeCell ref="F133:I133"/>
    <mergeCell ref="A134:E134"/>
    <mergeCell ref="F134:I134"/>
    <mergeCell ref="A135:E135"/>
    <mergeCell ref="F135:I135"/>
    <mergeCell ref="H122:I122"/>
    <mergeCell ref="J122:J123"/>
    <mergeCell ref="A129:E129"/>
    <mergeCell ref="F129:I129"/>
    <mergeCell ref="F130:I130"/>
    <mergeCell ref="A132:E132"/>
    <mergeCell ref="F132:I132"/>
    <mergeCell ref="E121:F121"/>
    <mergeCell ref="A122:A123"/>
    <mergeCell ref="B122:B123"/>
    <mergeCell ref="C122:C123"/>
    <mergeCell ref="D122:D123"/>
    <mergeCell ref="E122:E123"/>
    <mergeCell ref="F122:G122"/>
    <mergeCell ref="E112:F112"/>
    <mergeCell ref="E113:F113"/>
    <mergeCell ref="E114:F114"/>
    <mergeCell ref="E115:F115"/>
    <mergeCell ref="H117:I117"/>
    <mergeCell ref="E120:F120"/>
    <mergeCell ref="E103:F103"/>
    <mergeCell ref="E104:F104"/>
    <mergeCell ref="H106:I106"/>
    <mergeCell ref="F109:G109"/>
    <mergeCell ref="E110:F110"/>
    <mergeCell ref="E111:F111"/>
    <mergeCell ref="E94:F94"/>
    <mergeCell ref="E95:F95"/>
    <mergeCell ref="E96:F96"/>
    <mergeCell ref="H98:I98"/>
    <mergeCell ref="E101:F101"/>
    <mergeCell ref="E102:F102"/>
    <mergeCell ref="E91:F91"/>
    <mergeCell ref="E92:F92"/>
    <mergeCell ref="E93:F93"/>
    <mergeCell ref="E26:F26"/>
    <mergeCell ref="H28:I28"/>
    <mergeCell ref="E50:F50"/>
    <mergeCell ref="E51:F51"/>
    <mergeCell ref="E52:F52"/>
    <mergeCell ref="E53:F53"/>
    <mergeCell ref="A73:E73"/>
    <mergeCell ref="F73:I73"/>
    <mergeCell ref="A74:E74"/>
    <mergeCell ref="F74:I74"/>
    <mergeCell ref="A75:E75"/>
    <mergeCell ref="F75:I75"/>
    <mergeCell ref="A76:E76"/>
    <mergeCell ref="F76:I76"/>
    <mergeCell ref="G77:I77"/>
    <mergeCell ref="G78:I78"/>
    <mergeCell ref="A79:E79"/>
    <mergeCell ref="F79:I79"/>
    <mergeCell ref="E61:F61"/>
    <mergeCell ref="A62:A63"/>
    <mergeCell ref="B62:B63"/>
    <mergeCell ref="E15:F15"/>
    <mergeCell ref="E31:F31"/>
    <mergeCell ref="E32:F32"/>
    <mergeCell ref="F37:I37"/>
    <mergeCell ref="A39:E39"/>
    <mergeCell ref="F39:I39"/>
    <mergeCell ref="A33:A34"/>
    <mergeCell ref="B33:B34"/>
    <mergeCell ref="C33:C34"/>
    <mergeCell ref="D33:D34"/>
    <mergeCell ref="E33:E34"/>
    <mergeCell ref="F33:G33"/>
    <mergeCell ref="H33:I33"/>
    <mergeCell ref="H17:I17"/>
    <mergeCell ref="E20:F20"/>
    <mergeCell ref="E21:F21"/>
    <mergeCell ref="E22:F22"/>
    <mergeCell ref="E23:F23"/>
    <mergeCell ref="E24:F24"/>
    <mergeCell ref="E25:F25"/>
    <mergeCell ref="F6:G6"/>
    <mergeCell ref="E7:F7"/>
    <mergeCell ref="E8:F8"/>
    <mergeCell ref="E9:F9"/>
    <mergeCell ref="E10:F10"/>
    <mergeCell ref="E11:F11"/>
    <mergeCell ref="E12:F12"/>
    <mergeCell ref="E13:F13"/>
    <mergeCell ref="E14:F14"/>
    <mergeCell ref="A5:J5"/>
    <mergeCell ref="A1:C2"/>
    <mergeCell ref="D1:F1"/>
    <mergeCell ref="G1:H1"/>
    <mergeCell ref="I1:J2"/>
    <mergeCell ref="D2:F2"/>
    <mergeCell ref="A3:D3"/>
    <mergeCell ref="E3:J3"/>
    <mergeCell ref="A4:D4"/>
    <mergeCell ref="E4:J4"/>
  </mergeCells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5"/>
  <sheetViews>
    <sheetView topLeftCell="A14" workbookViewId="0">
      <selection activeCell="AN14" sqref="AN14"/>
    </sheetView>
  </sheetViews>
  <sheetFormatPr defaultRowHeight="14.25"/>
  <cols>
    <col min="1" max="1" width="6" customWidth="1"/>
    <col min="2" max="2" width="24.75" customWidth="1"/>
    <col min="3" max="3" width="13.875" bestFit="1" customWidth="1"/>
    <col min="4" max="4" width="13.75" hidden="1" customWidth="1"/>
    <col min="5" max="5" width="13.25" hidden="1" customWidth="1"/>
    <col min="6" max="6" width="8.875" bestFit="1" customWidth="1"/>
    <col min="7" max="21" width="6.375" bestFit="1" customWidth="1"/>
    <col min="22" max="38" width="0" hidden="1" customWidth="1"/>
  </cols>
  <sheetData>
    <row r="1" spans="1:38" ht="114" customHeight="1" thickBot="1">
      <c r="A1" s="1195"/>
      <c r="B1" s="857"/>
      <c r="C1" s="857"/>
      <c r="D1" s="857"/>
      <c r="E1" s="857"/>
      <c r="F1" s="857"/>
      <c r="G1" s="857"/>
      <c r="H1" s="857"/>
      <c r="I1" s="857"/>
      <c r="J1" s="857"/>
      <c r="K1" s="857"/>
      <c r="L1" s="857"/>
      <c r="M1" s="857"/>
      <c r="N1" s="857"/>
      <c r="O1" s="857"/>
      <c r="P1" s="857"/>
      <c r="Q1" s="857"/>
      <c r="R1" s="857"/>
      <c r="S1" s="857"/>
      <c r="T1" s="857"/>
      <c r="U1" s="858"/>
    </row>
    <row r="2" spans="1:38" ht="14.45" customHeight="1">
      <c r="A2" s="1190" t="s">
        <v>689</v>
      </c>
      <c r="B2" s="862"/>
      <c r="C2" s="862"/>
      <c r="D2" s="862"/>
      <c r="E2" s="862"/>
      <c r="F2" s="862"/>
      <c r="G2" s="862"/>
      <c r="H2" s="862"/>
      <c r="I2" s="862"/>
      <c r="J2" s="862"/>
      <c r="K2" s="862"/>
      <c r="L2" s="862"/>
      <c r="M2" s="862"/>
      <c r="N2" s="862"/>
      <c r="O2" s="862"/>
      <c r="P2" s="862"/>
      <c r="Q2" s="862"/>
      <c r="R2" s="862"/>
      <c r="S2" s="862"/>
      <c r="T2" s="862"/>
      <c r="U2" s="1191"/>
      <c r="W2" s="332"/>
      <c r="X2" s="332"/>
      <c r="Y2" s="332"/>
      <c r="Z2" s="332"/>
      <c r="AE2" s="332"/>
      <c r="AF2" s="332"/>
      <c r="AG2" s="332"/>
      <c r="AH2" s="332"/>
    </row>
    <row r="3" spans="1:38" ht="14.45" customHeight="1" thickBot="1">
      <c r="A3" s="1192"/>
      <c r="B3" s="1193"/>
      <c r="C3" s="1193"/>
      <c r="D3" s="1193"/>
      <c r="E3" s="1193"/>
      <c r="F3" s="1193"/>
      <c r="G3" s="1193"/>
      <c r="H3" s="1193"/>
      <c r="I3" s="1193"/>
      <c r="J3" s="1193"/>
      <c r="K3" s="1193"/>
      <c r="L3" s="1193"/>
      <c r="M3" s="1193"/>
      <c r="N3" s="1193"/>
      <c r="O3" s="1193"/>
      <c r="P3" s="1193"/>
      <c r="Q3" s="1193"/>
      <c r="R3" s="1193"/>
      <c r="S3" s="1193"/>
      <c r="T3" s="1193"/>
      <c r="U3" s="1194"/>
      <c r="W3" s="332"/>
      <c r="X3" s="332"/>
      <c r="Y3" s="332"/>
      <c r="Z3" s="332"/>
      <c r="AE3" s="332"/>
      <c r="AF3" s="332"/>
      <c r="AG3" s="332"/>
      <c r="AH3" s="332"/>
    </row>
    <row r="4" spans="1:38" ht="13.9" customHeight="1" thickBot="1">
      <c r="A4" s="1200" t="s">
        <v>547</v>
      </c>
      <c r="B4" s="873" t="s">
        <v>690</v>
      </c>
      <c r="C4" s="316" t="s">
        <v>686</v>
      </c>
      <c r="D4" s="316" t="s">
        <v>697</v>
      </c>
      <c r="E4" s="316"/>
      <c r="F4" s="1166" t="s">
        <v>698</v>
      </c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201"/>
      <c r="W4" s="332"/>
      <c r="X4" s="332"/>
      <c r="Y4" s="332"/>
      <c r="Z4" s="332"/>
      <c r="AE4" s="332"/>
      <c r="AF4" s="332"/>
      <c r="AG4" s="332"/>
      <c r="AH4" s="332"/>
    </row>
    <row r="5" spans="1:38" ht="14.45" customHeight="1" thickBot="1">
      <c r="A5" s="1200"/>
      <c r="B5" s="873"/>
      <c r="C5" s="316"/>
      <c r="D5" s="316"/>
      <c r="E5" s="316"/>
      <c r="F5" s="1166" t="s">
        <v>703</v>
      </c>
      <c r="G5" s="1167"/>
      <c r="H5" s="1167"/>
      <c r="I5" s="1168"/>
      <c r="J5" s="1166" t="s">
        <v>704</v>
      </c>
      <c r="K5" s="1167"/>
      <c r="L5" s="1167"/>
      <c r="M5" s="1168"/>
      <c r="N5" s="1166" t="s">
        <v>705</v>
      </c>
      <c r="O5" s="1167"/>
      <c r="P5" s="1167"/>
      <c r="Q5" s="1168"/>
      <c r="R5" s="1166" t="s">
        <v>706</v>
      </c>
      <c r="S5" s="1167"/>
      <c r="T5" s="1167"/>
      <c r="U5" s="1201"/>
      <c r="W5" s="332"/>
      <c r="X5" s="332"/>
      <c r="Y5" s="332"/>
      <c r="Z5" s="332"/>
      <c r="AE5" s="332"/>
      <c r="AF5" s="332"/>
      <c r="AG5" s="332"/>
      <c r="AH5" s="332"/>
    </row>
    <row r="6" spans="1:38" ht="15.75" thickBot="1">
      <c r="A6" s="1200"/>
      <c r="B6" s="873"/>
      <c r="C6" s="316" t="s">
        <v>687</v>
      </c>
      <c r="D6" s="316" t="s">
        <v>681</v>
      </c>
      <c r="E6" s="316"/>
      <c r="F6" s="336" t="s">
        <v>699</v>
      </c>
      <c r="G6" s="336" t="s">
        <v>700</v>
      </c>
      <c r="H6" s="336" t="s">
        <v>701</v>
      </c>
      <c r="I6" s="336" t="s">
        <v>702</v>
      </c>
      <c r="J6" s="336" t="s">
        <v>699</v>
      </c>
      <c r="K6" s="336" t="s">
        <v>700</v>
      </c>
      <c r="L6" s="336" t="s">
        <v>701</v>
      </c>
      <c r="M6" s="336" t="s">
        <v>702</v>
      </c>
      <c r="N6" s="336" t="s">
        <v>699</v>
      </c>
      <c r="O6" s="336" t="s">
        <v>700</v>
      </c>
      <c r="P6" s="336" t="s">
        <v>701</v>
      </c>
      <c r="Q6" s="336" t="s">
        <v>702</v>
      </c>
      <c r="R6" s="336" t="s">
        <v>699</v>
      </c>
      <c r="S6" s="336" t="s">
        <v>700</v>
      </c>
      <c r="T6" s="336" t="s">
        <v>701</v>
      </c>
      <c r="U6" s="640" t="s">
        <v>702</v>
      </c>
      <c r="W6" s="332">
        <v>1</v>
      </c>
      <c r="X6" s="332">
        <v>2</v>
      </c>
      <c r="Y6" s="332">
        <v>3</v>
      </c>
      <c r="Z6" s="332">
        <v>4</v>
      </c>
      <c r="AA6">
        <v>5</v>
      </c>
      <c r="AB6">
        <v>6</v>
      </c>
      <c r="AC6">
        <v>7</v>
      </c>
      <c r="AD6">
        <v>8</v>
      </c>
      <c r="AE6" s="332">
        <v>9</v>
      </c>
      <c r="AF6" s="332">
        <v>10</v>
      </c>
      <c r="AG6" s="332">
        <v>11</v>
      </c>
      <c r="AH6" s="332">
        <v>12</v>
      </c>
      <c r="AI6">
        <v>13</v>
      </c>
      <c r="AJ6">
        <v>14</v>
      </c>
      <c r="AK6">
        <v>15</v>
      </c>
      <c r="AL6">
        <v>16</v>
      </c>
    </row>
    <row r="7" spans="1:38" ht="15.75" thickBot="1">
      <c r="A7" s="1196">
        <v>1</v>
      </c>
      <c r="B7" s="898" t="s">
        <v>17</v>
      </c>
      <c r="C7" s="899">
        <f>'OBRA 03 - SINTÉTICA'!I7</f>
        <v>287800.69</v>
      </c>
      <c r="D7" s="901">
        <f>C7/$C$31</f>
        <v>0.10769739220371016</v>
      </c>
      <c r="E7" s="1197">
        <f>D7</f>
        <v>0.10769739220371016</v>
      </c>
      <c r="F7" s="342">
        <f t="shared" ref="F7:M7" si="0">W7</f>
        <v>1</v>
      </c>
      <c r="G7" s="342">
        <f t="shared" si="0"/>
        <v>1</v>
      </c>
      <c r="H7" s="342">
        <f t="shared" si="0"/>
        <v>1</v>
      </c>
      <c r="I7" s="342">
        <f t="shared" si="0"/>
        <v>1</v>
      </c>
      <c r="J7" s="342">
        <f t="shared" si="0"/>
        <v>1</v>
      </c>
      <c r="K7" s="342">
        <f t="shared" si="0"/>
        <v>1</v>
      </c>
      <c r="L7" s="342">
        <f t="shared" si="0"/>
        <v>1</v>
      </c>
      <c r="M7" s="342">
        <f t="shared" si="0"/>
        <v>1</v>
      </c>
      <c r="N7" s="342">
        <f t="shared" ref="N7:U7" si="1">AE7</f>
        <v>1</v>
      </c>
      <c r="O7" s="342">
        <f t="shared" si="1"/>
        <v>1</v>
      </c>
      <c r="P7" s="342">
        <f t="shared" si="1"/>
        <v>0</v>
      </c>
      <c r="Q7" s="342">
        <f t="shared" si="1"/>
        <v>0</v>
      </c>
      <c r="R7" s="342">
        <f t="shared" si="1"/>
        <v>0</v>
      </c>
      <c r="S7" s="342">
        <f t="shared" si="1"/>
        <v>0</v>
      </c>
      <c r="T7" s="342">
        <f t="shared" si="1"/>
        <v>0</v>
      </c>
      <c r="U7" s="641">
        <f t="shared" si="1"/>
        <v>0</v>
      </c>
      <c r="V7">
        <f>SUM(W7:AL7)</f>
        <v>10</v>
      </c>
      <c r="W7" s="332">
        <v>1</v>
      </c>
      <c r="X7" s="332">
        <v>1</v>
      </c>
      <c r="Y7" s="332">
        <v>1</v>
      </c>
      <c r="Z7" s="332">
        <v>1</v>
      </c>
      <c r="AA7">
        <v>1</v>
      </c>
      <c r="AB7">
        <v>1</v>
      </c>
      <c r="AC7">
        <v>1</v>
      </c>
      <c r="AD7">
        <v>1</v>
      </c>
      <c r="AE7" s="332">
        <v>1</v>
      </c>
      <c r="AF7" s="332">
        <v>1</v>
      </c>
      <c r="AG7" s="332">
        <v>0</v>
      </c>
      <c r="AH7" s="332">
        <v>0</v>
      </c>
      <c r="AI7">
        <v>0</v>
      </c>
      <c r="AJ7">
        <v>0</v>
      </c>
      <c r="AK7">
        <v>0</v>
      </c>
      <c r="AL7">
        <v>0</v>
      </c>
    </row>
    <row r="8" spans="1:38" ht="15.75" thickBot="1">
      <c r="A8" s="1196"/>
      <c r="B8" s="898"/>
      <c r="C8" s="900"/>
      <c r="D8" s="902"/>
      <c r="E8" s="1198"/>
      <c r="F8" s="886">
        <f>SUM(F7:I7)/$V$7</f>
        <v>0.4</v>
      </c>
      <c r="G8" s="887"/>
      <c r="H8" s="887"/>
      <c r="I8" s="887"/>
      <c r="J8" s="886">
        <f>SUM(J7:M7)/$V$7</f>
        <v>0.4</v>
      </c>
      <c r="K8" s="887"/>
      <c r="L8" s="887"/>
      <c r="M8" s="887"/>
      <c r="N8" s="886">
        <f>SUM(N7:Q7)/$V$7</f>
        <v>0.2</v>
      </c>
      <c r="O8" s="887"/>
      <c r="P8" s="887"/>
      <c r="Q8" s="887"/>
      <c r="R8" s="886">
        <f>SUM(R7:U7)/$V$7</f>
        <v>0</v>
      </c>
      <c r="S8" s="887"/>
      <c r="T8" s="887"/>
      <c r="U8" s="1202"/>
      <c r="W8" s="332"/>
      <c r="X8" s="332"/>
      <c r="Y8" s="332"/>
      <c r="Z8" s="332"/>
      <c r="AE8" s="332"/>
      <c r="AF8" s="332"/>
      <c r="AG8" s="332"/>
      <c r="AH8" s="332"/>
    </row>
    <row r="9" spans="1:38" ht="15.75" thickBot="1">
      <c r="A9" s="1196"/>
      <c r="B9" s="898"/>
      <c r="C9" s="900"/>
      <c r="D9" s="902"/>
      <c r="E9" s="1199"/>
      <c r="F9" s="892">
        <f>F8*$C$7/$C$31</f>
        <v>4.3078956881484075E-2</v>
      </c>
      <c r="G9" s="892"/>
      <c r="H9" s="892"/>
      <c r="I9" s="892"/>
      <c r="J9" s="892">
        <f>F30+J8*$C$7/$C$31</f>
        <v>0.23993983296414015</v>
      </c>
      <c r="K9" s="892"/>
      <c r="L9" s="892"/>
      <c r="M9" s="892"/>
      <c r="N9" s="892">
        <f>J30+N8*C7/C31</f>
        <v>0.61769881677709249</v>
      </c>
      <c r="O9" s="892"/>
      <c r="P9" s="892"/>
      <c r="Q9" s="892"/>
      <c r="R9" s="894">
        <f>N30+R8*C7/C31</f>
        <v>0.97480024305274804</v>
      </c>
      <c r="S9" s="895"/>
      <c r="T9" s="895"/>
      <c r="U9" s="1228"/>
      <c r="W9" s="332"/>
      <c r="X9" s="332"/>
      <c r="Y9" s="332"/>
      <c r="Z9" s="332"/>
      <c r="AE9" s="332"/>
      <c r="AF9" s="332"/>
      <c r="AG9" s="332"/>
      <c r="AH9" s="332"/>
    </row>
    <row r="10" spans="1:38" ht="15.75" thickBot="1">
      <c r="A10" s="1196">
        <v>2</v>
      </c>
      <c r="B10" s="898" t="s">
        <v>38</v>
      </c>
      <c r="C10" s="899">
        <f>'OBRA 03 - SINTÉTICA'!I15</f>
        <v>229096.46000000002</v>
      </c>
      <c r="D10" s="901">
        <f>C10/$C$31</f>
        <v>8.5729785099200428E-2</v>
      </c>
      <c r="E10" s="1197">
        <f>D10+E7</f>
        <v>0.19342717730291059</v>
      </c>
      <c r="F10" s="342">
        <f t="shared" ref="F10:M10" si="2">W10</f>
        <v>0</v>
      </c>
      <c r="G10" s="342">
        <f t="shared" si="2"/>
        <v>1.3333333333333333</v>
      </c>
      <c r="H10" s="342">
        <f t="shared" si="2"/>
        <v>1.3333333333333333</v>
      </c>
      <c r="I10" s="342">
        <f t="shared" si="2"/>
        <v>1.3333333333333333</v>
      </c>
      <c r="J10" s="342">
        <f t="shared" si="2"/>
        <v>0</v>
      </c>
      <c r="K10" s="342">
        <f t="shared" si="2"/>
        <v>0</v>
      </c>
      <c r="L10" s="342">
        <f t="shared" si="2"/>
        <v>0</v>
      </c>
      <c r="M10" s="342">
        <f t="shared" si="2"/>
        <v>0</v>
      </c>
      <c r="N10" s="342">
        <f t="shared" ref="N10:U10" si="3">AE10</f>
        <v>0</v>
      </c>
      <c r="O10" s="342">
        <f t="shared" si="3"/>
        <v>0</v>
      </c>
      <c r="P10" s="342">
        <f t="shared" si="3"/>
        <v>0</v>
      </c>
      <c r="Q10" s="342">
        <f t="shared" si="3"/>
        <v>0</v>
      </c>
      <c r="R10" s="342">
        <f t="shared" si="3"/>
        <v>0</v>
      </c>
      <c r="S10" s="342">
        <f t="shared" si="3"/>
        <v>0</v>
      </c>
      <c r="T10" s="342">
        <f t="shared" si="3"/>
        <v>0</v>
      </c>
      <c r="U10" s="641">
        <f t="shared" si="3"/>
        <v>0</v>
      </c>
      <c r="V10">
        <f>SUM(W10:AL10)</f>
        <v>4</v>
      </c>
      <c r="W10" s="332">
        <v>0</v>
      </c>
      <c r="X10" s="332">
        <f>4/3</f>
        <v>1.3333333333333333</v>
      </c>
      <c r="Y10" s="332">
        <f>4/3</f>
        <v>1.3333333333333333</v>
      </c>
      <c r="Z10" s="332">
        <f>4/3</f>
        <v>1.3333333333333333</v>
      </c>
      <c r="AA10">
        <v>0</v>
      </c>
      <c r="AB10">
        <v>0</v>
      </c>
      <c r="AC10">
        <v>0</v>
      </c>
      <c r="AD10">
        <v>0</v>
      </c>
      <c r="AE10" s="332">
        <v>0</v>
      </c>
      <c r="AF10" s="332">
        <v>0</v>
      </c>
      <c r="AG10" s="332">
        <v>0</v>
      </c>
      <c r="AH10" s="332">
        <v>0</v>
      </c>
      <c r="AI10">
        <v>0</v>
      </c>
      <c r="AJ10">
        <v>0</v>
      </c>
      <c r="AK10">
        <v>0</v>
      </c>
      <c r="AL10">
        <v>0</v>
      </c>
    </row>
    <row r="11" spans="1:38" ht="15.75" thickBot="1">
      <c r="A11" s="1196"/>
      <c r="B11" s="898"/>
      <c r="C11" s="900"/>
      <c r="D11" s="902"/>
      <c r="E11" s="1198"/>
      <c r="F11" s="886">
        <f>SUM(F10:I10)/$V$10</f>
        <v>1</v>
      </c>
      <c r="G11" s="887"/>
      <c r="H11" s="887"/>
      <c r="I11" s="887"/>
      <c r="J11" s="886">
        <f>SUM(J10:M10)/$V$10</f>
        <v>0</v>
      </c>
      <c r="K11" s="887"/>
      <c r="L11" s="887"/>
      <c r="M11" s="887"/>
      <c r="N11" s="886">
        <f>SUM(N10:Q10)/$V$10</f>
        <v>0</v>
      </c>
      <c r="O11" s="887"/>
      <c r="P11" s="887"/>
      <c r="Q11" s="887"/>
      <c r="R11" s="886">
        <f>SUM(R10:U10)/$V$10</f>
        <v>0</v>
      </c>
      <c r="S11" s="887"/>
      <c r="T11" s="887"/>
      <c r="U11" s="1202"/>
      <c r="W11" s="332"/>
      <c r="X11" s="332"/>
      <c r="Y11" s="332"/>
      <c r="Z11" s="332"/>
      <c r="AE11" s="332"/>
      <c r="AF11" s="332"/>
      <c r="AG11" s="332"/>
      <c r="AH11" s="332"/>
    </row>
    <row r="12" spans="1:38" ht="15.75" thickBot="1">
      <c r="A12" s="1196"/>
      <c r="B12" s="898"/>
      <c r="C12" s="900"/>
      <c r="D12" s="902"/>
      <c r="E12" s="1199"/>
      <c r="F12" s="1203">
        <f>F9+(F11*C10/C31)</f>
        <v>0.12880874198068451</v>
      </c>
      <c r="G12" s="910"/>
      <c r="H12" s="910"/>
      <c r="I12" s="910"/>
      <c r="J12" s="914">
        <f>J9+J11*$C$10/$C$31</f>
        <v>0.23993983296414015</v>
      </c>
      <c r="K12" s="914"/>
      <c r="L12" s="914"/>
      <c r="M12" s="914"/>
      <c r="N12" s="894">
        <f>N9+N11*C10/C31</f>
        <v>0.61769881677709249</v>
      </c>
      <c r="O12" s="895"/>
      <c r="P12" s="895"/>
      <c r="Q12" s="963"/>
      <c r="R12" s="894">
        <f>R9+R11*C10/C31</f>
        <v>0.97480024305274804</v>
      </c>
      <c r="S12" s="895"/>
      <c r="T12" s="895"/>
      <c r="U12" s="1228"/>
      <c r="W12" s="332"/>
      <c r="X12" s="332"/>
      <c r="Y12" s="332"/>
      <c r="Z12" s="332"/>
      <c r="AE12" s="332"/>
      <c r="AF12" s="332"/>
      <c r="AG12" s="332"/>
      <c r="AH12" s="332"/>
    </row>
    <row r="13" spans="1:38" ht="15.75" thickBot="1">
      <c r="A13" s="1196">
        <v>3</v>
      </c>
      <c r="B13" s="898" t="s">
        <v>59</v>
      </c>
      <c r="C13" s="899">
        <f>'OBRA 03 - SINTÉTICA'!I19</f>
        <v>1038449.18</v>
      </c>
      <c r="D13" s="901">
        <f>C13/$C$31</f>
        <v>0.3885962490989206</v>
      </c>
      <c r="E13" s="1197">
        <f t="shared" ref="E13" si="4">D13+E10</f>
        <v>0.58202342640183113</v>
      </c>
      <c r="F13" s="342">
        <f t="shared" ref="F13:M13" si="5">W13</f>
        <v>0</v>
      </c>
      <c r="G13" s="342">
        <f t="shared" si="5"/>
        <v>0</v>
      </c>
      <c r="H13" s="342">
        <f t="shared" si="5"/>
        <v>0</v>
      </c>
      <c r="I13" s="342">
        <f t="shared" si="5"/>
        <v>0</v>
      </c>
      <c r="J13" s="342">
        <f t="shared" si="5"/>
        <v>1</v>
      </c>
      <c r="K13" s="342">
        <f t="shared" si="5"/>
        <v>1</v>
      </c>
      <c r="L13" s="342">
        <f t="shared" si="5"/>
        <v>1</v>
      </c>
      <c r="M13" s="342">
        <f t="shared" si="5"/>
        <v>1</v>
      </c>
      <c r="N13" s="342">
        <f t="shared" ref="N13:U13" si="6">AE13</f>
        <v>1</v>
      </c>
      <c r="O13" s="342">
        <f t="shared" si="6"/>
        <v>1</v>
      </c>
      <c r="P13" s="342">
        <f t="shared" si="6"/>
        <v>1</v>
      </c>
      <c r="Q13" s="342">
        <f t="shared" si="6"/>
        <v>1</v>
      </c>
      <c r="R13" s="342">
        <f t="shared" si="6"/>
        <v>0</v>
      </c>
      <c r="S13" s="342">
        <f t="shared" si="6"/>
        <v>0</v>
      </c>
      <c r="T13" s="342">
        <f t="shared" si="6"/>
        <v>0</v>
      </c>
      <c r="U13" s="641">
        <f t="shared" si="6"/>
        <v>0</v>
      </c>
      <c r="V13">
        <f>SUM(W13:AL13)</f>
        <v>8</v>
      </c>
      <c r="W13" s="332">
        <v>0</v>
      </c>
      <c r="X13" s="332">
        <v>0</v>
      </c>
      <c r="Y13" s="332">
        <v>0</v>
      </c>
      <c r="Z13" s="332">
        <v>0</v>
      </c>
      <c r="AA13">
        <v>1</v>
      </c>
      <c r="AB13">
        <v>1</v>
      </c>
      <c r="AC13">
        <v>1</v>
      </c>
      <c r="AD13">
        <v>1</v>
      </c>
      <c r="AE13" s="332">
        <v>1</v>
      </c>
      <c r="AF13" s="332">
        <v>1</v>
      </c>
      <c r="AG13" s="332">
        <v>1</v>
      </c>
      <c r="AH13" s="332">
        <v>1</v>
      </c>
      <c r="AI13">
        <v>0</v>
      </c>
      <c r="AJ13">
        <v>0</v>
      </c>
      <c r="AK13">
        <v>0</v>
      </c>
      <c r="AL13">
        <v>0</v>
      </c>
    </row>
    <row r="14" spans="1:38" ht="15.75" thickBot="1">
      <c r="A14" s="1196"/>
      <c r="B14" s="898"/>
      <c r="C14" s="900"/>
      <c r="D14" s="902"/>
      <c r="E14" s="1198"/>
      <c r="F14" s="886">
        <f>SUM(F13:I13)/V13</f>
        <v>0</v>
      </c>
      <c r="G14" s="887"/>
      <c r="H14" s="887"/>
      <c r="I14" s="887"/>
      <c r="J14" s="914">
        <f>SUM(AA13:AD13)/$V$13</f>
        <v>0.5</v>
      </c>
      <c r="K14" s="913"/>
      <c r="L14" s="913"/>
      <c r="M14" s="913"/>
      <c r="N14" s="914">
        <f>SUM(AE13:AH13)/$V$13</f>
        <v>0.5</v>
      </c>
      <c r="O14" s="913"/>
      <c r="P14" s="913"/>
      <c r="Q14" s="913"/>
      <c r="R14" s="914">
        <f>SUM(AI13:AL13)/$V$13</f>
        <v>0</v>
      </c>
      <c r="S14" s="913"/>
      <c r="T14" s="913"/>
      <c r="U14" s="1229"/>
      <c r="W14" s="332"/>
      <c r="X14" s="332"/>
      <c r="Y14" s="332"/>
      <c r="Z14" s="332"/>
      <c r="AE14" s="332"/>
      <c r="AF14" s="332"/>
      <c r="AG14" s="332"/>
      <c r="AH14" s="332"/>
    </row>
    <row r="15" spans="1:38" ht="15.75" thickBot="1">
      <c r="A15" s="1196"/>
      <c r="B15" s="898"/>
      <c r="C15" s="900"/>
      <c r="D15" s="902"/>
      <c r="E15" s="1199"/>
      <c r="F15" s="1203">
        <f>F12+(F14*C13/C31)</f>
        <v>0.12880874198068451</v>
      </c>
      <c r="G15" s="910"/>
      <c r="H15" s="910"/>
      <c r="I15" s="910"/>
      <c r="J15" s="892">
        <f>J12+J14*C13/C31</f>
        <v>0.43423795751360045</v>
      </c>
      <c r="K15" s="892"/>
      <c r="L15" s="892"/>
      <c r="M15" s="892"/>
      <c r="N15" s="892">
        <f>N12+N14*C13/C31</f>
        <v>0.81199694132655276</v>
      </c>
      <c r="O15" s="892"/>
      <c r="P15" s="892"/>
      <c r="Q15" s="892"/>
      <c r="R15" s="892">
        <f>N30+R14*K13/$C$31</f>
        <v>0.97480024305274804</v>
      </c>
      <c r="S15" s="892"/>
      <c r="T15" s="892"/>
      <c r="U15" s="1210"/>
      <c r="V15">
        <f>SUM(W15:AL15)</f>
        <v>12</v>
      </c>
      <c r="W15" s="332">
        <v>0</v>
      </c>
      <c r="X15" s="332">
        <v>0</v>
      </c>
      <c r="Y15" s="332">
        <v>0</v>
      </c>
      <c r="Z15" s="332">
        <v>4</v>
      </c>
      <c r="AA15">
        <v>1</v>
      </c>
      <c r="AB15" s="332">
        <v>1</v>
      </c>
      <c r="AC15" s="332">
        <v>1</v>
      </c>
      <c r="AD15" s="332">
        <v>1</v>
      </c>
      <c r="AE15" s="332">
        <v>2</v>
      </c>
      <c r="AF15" s="332">
        <v>2</v>
      </c>
      <c r="AG15" s="332">
        <v>0</v>
      </c>
      <c r="AH15" s="332">
        <v>0</v>
      </c>
      <c r="AI15" s="332">
        <v>0</v>
      </c>
      <c r="AJ15" s="332">
        <v>0</v>
      </c>
      <c r="AK15" s="332">
        <v>0</v>
      </c>
      <c r="AL15" s="332">
        <v>0</v>
      </c>
    </row>
    <row r="16" spans="1:38" ht="15.75" thickBot="1">
      <c r="A16" s="1196">
        <v>4</v>
      </c>
      <c r="B16" s="898" t="s">
        <v>695</v>
      </c>
      <c r="C16" s="899">
        <f>'OBRA 03 - SINTÉTICA'!I41</f>
        <v>398600.49</v>
      </c>
      <c r="D16" s="901">
        <f>C16/$C$31</f>
        <v>0.14915959132732118</v>
      </c>
      <c r="E16" s="1197">
        <f t="shared" ref="E16" si="7">D16+E13</f>
        <v>0.73118301772915228</v>
      </c>
      <c r="F16" s="342">
        <f t="shared" ref="F16:M16" si="8">W15</f>
        <v>0</v>
      </c>
      <c r="G16" s="342">
        <f t="shared" si="8"/>
        <v>0</v>
      </c>
      <c r="H16" s="342">
        <f t="shared" si="8"/>
        <v>0</v>
      </c>
      <c r="I16" s="342">
        <f t="shared" si="8"/>
        <v>4</v>
      </c>
      <c r="J16" s="342">
        <f t="shared" si="8"/>
        <v>1</v>
      </c>
      <c r="K16" s="342">
        <f t="shared" si="8"/>
        <v>1</v>
      </c>
      <c r="L16" s="342">
        <f t="shared" si="8"/>
        <v>1</v>
      </c>
      <c r="M16" s="342">
        <f t="shared" si="8"/>
        <v>1</v>
      </c>
      <c r="N16" s="342">
        <f t="shared" ref="N16:U16" si="9">AE15</f>
        <v>2</v>
      </c>
      <c r="O16" s="342">
        <f t="shared" si="9"/>
        <v>2</v>
      </c>
      <c r="P16" s="342">
        <f t="shared" si="9"/>
        <v>0</v>
      </c>
      <c r="Q16" s="342">
        <f t="shared" si="9"/>
        <v>0</v>
      </c>
      <c r="R16" s="342">
        <f t="shared" si="9"/>
        <v>0</v>
      </c>
      <c r="S16" s="342">
        <f t="shared" si="9"/>
        <v>0</v>
      </c>
      <c r="T16" s="342">
        <f t="shared" si="9"/>
        <v>0</v>
      </c>
      <c r="U16" s="641">
        <f t="shared" si="9"/>
        <v>0</v>
      </c>
      <c r="W16" s="332"/>
      <c r="X16" s="332"/>
      <c r="Y16" s="332"/>
      <c r="Z16" s="332"/>
      <c r="AE16" s="332"/>
      <c r="AF16" s="332"/>
      <c r="AG16" s="332"/>
      <c r="AH16" s="332"/>
    </row>
    <row r="17" spans="1:38" ht="15.75" thickBot="1">
      <c r="A17" s="1196"/>
      <c r="B17" s="898"/>
      <c r="C17" s="900"/>
      <c r="D17" s="902"/>
      <c r="E17" s="1198"/>
      <c r="F17" s="886">
        <f>SUM(F16:I16)/$V$15</f>
        <v>0.33333333333333331</v>
      </c>
      <c r="G17" s="887"/>
      <c r="H17" s="887"/>
      <c r="I17" s="887"/>
      <c r="J17" s="886">
        <f>SUM(J16:M16)/$V$15</f>
        <v>0.33333333333333331</v>
      </c>
      <c r="K17" s="887"/>
      <c r="L17" s="887"/>
      <c r="M17" s="887"/>
      <c r="N17" s="886">
        <f>SUM(N16:Q16)/$V$15</f>
        <v>0.33333333333333331</v>
      </c>
      <c r="O17" s="887"/>
      <c r="P17" s="887"/>
      <c r="Q17" s="887"/>
      <c r="R17" s="886">
        <f>SUM(R16:U16)/$V$15</f>
        <v>0</v>
      </c>
      <c r="S17" s="887"/>
      <c r="T17" s="887"/>
      <c r="U17" s="1202"/>
      <c r="W17" s="332"/>
      <c r="X17" s="332"/>
      <c r="Y17" s="332"/>
      <c r="Z17" s="332"/>
      <c r="AE17" s="332"/>
      <c r="AF17" s="332"/>
      <c r="AG17" s="332"/>
      <c r="AH17" s="332"/>
    </row>
    <row r="18" spans="1:38" ht="15.75" thickBot="1">
      <c r="A18" s="1196"/>
      <c r="B18" s="898"/>
      <c r="C18" s="900"/>
      <c r="D18" s="902"/>
      <c r="E18" s="1199"/>
      <c r="F18" s="1204">
        <f>F15+(F17*C16/C31)</f>
        <v>0.17852860575645824</v>
      </c>
      <c r="G18" s="913"/>
      <c r="H18" s="913"/>
      <c r="I18" s="913"/>
      <c r="J18" s="892">
        <f>J15+J17*C16/C31</f>
        <v>0.48395782128937415</v>
      </c>
      <c r="K18" s="892"/>
      <c r="L18" s="892"/>
      <c r="M18" s="892"/>
      <c r="N18" s="892">
        <f>N15+N17*C16/C31</f>
        <v>0.86171680510232651</v>
      </c>
      <c r="O18" s="892"/>
      <c r="P18" s="892"/>
      <c r="Q18" s="892"/>
      <c r="R18" s="892">
        <f>R15+R17*C16/C31</f>
        <v>0.97480024305274804</v>
      </c>
      <c r="S18" s="892"/>
      <c r="T18" s="892"/>
      <c r="U18" s="1210"/>
      <c r="W18" s="332"/>
      <c r="X18" s="332"/>
      <c r="Y18" s="332"/>
      <c r="Z18" s="332"/>
      <c r="AE18" s="332"/>
      <c r="AF18" s="332"/>
      <c r="AG18" s="332"/>
      <c r="AH18" s="332"/>
    </row>
    <row r="19" spans="1:38" ht="13.9" customHeight="1" thickBot="1">
      <c r="A19" s="1196">
        <v>5</v>
      </c>
      <c r="B19" s="898" t="s">
        <v>81</v>
      </c>
      <c r="C19" s="899">
        <f>'OBRA 03 - SINTÉTICA'!I44</f>
        <v>501695.23000000004</v>
      </c>
      <c r="D19" s="901">
        <f>C19/$C$31</f>
        <v>0.18773849344155702</v>
      </c>
      <c r="E19" s="1197">
        <f t="shared" ref="E19" si="10">D19+E16</f>
        <v>0.9189215111707093</v>
      </c>
      <c r="F19" s="342">
        <f t="shared" ref="F19:M19" si="11">W19</f>
        <v>0</v>
      </c>
      <c r="G19" s="342">
        <f t="shared" si="11"/>
        <v>0</v>
      </c>
      <c r="H19" s="342">
        <f t="shared" si="11"/>
        <v>0</v>
      </c>
      <c r="I19" s="342">
        <f t="shared" si="11"/>
        <v>0</v>
      </c>
      <c r="J19" s="342">
        <f t="shared" si="11"/>
        <v>1</v>
      </c>
      <c r="K19" s="342">
        <f t="shared" si="11"/>
        <v>1</v>
      </c>
      <c r="L19" s="342">
        <f t="shared" si="11"/>
        <v>1</v>
      </c>
      <c r="M19" s="342">
        <f t="shared" si="11"/>
        <v>1</v>
      </c>
      <c r="N19" s="342">
        <f t="shared" ref="N19:U19" si="12">AE19</f>
        <v>1</v>
      </c>
      <c r="O19" s="342">
        <f t="shared" si="12"/>
        <v>1</v>
      </c>
      <c r="P19" s="342">
        <f t="shared" si="12"/>
        <v>1</v>
      </c>
      <c r="Q19" s="342">
        <f t="shared" si="12"/>
        <v>1</v>
      </c>
      <c r="R19" s="342">
        <f t="shared" si="12"/>
        <v>0</v>
      </c>
      <c r="S19" s="342">
        <f t="shared" si="12"/>
        <v>0</v>
      </c>
      <c r="T19" s="342">
        <f t="shared" si="12"/>
        <v>0</v>
      </c>
      <c r="U19" s="641">
        <f t="shared" si="12"/>
        <v>0</v>
      </c>
      <c r="V19">
        <f>SUM(W19:AL19)</f>
        <v>8</v>
      </c>
      <c r="W19" s="332">
        <v>0</v>
      </c>
      <c r="X19" s="332">
        <v>0</v>
      </c>
      <c r="Y19" s="332">
        <v>0</v>
      </c>
      <c r="Z19" s="332">
        <v>0</v>
      </c>
      <c r="AA19">
        <v>1</v>
      </c>
      <c r="AB19">
        <v>1</v>
      </c>
      <c r="AC19">
        <v>1</v>
      </c>
      <c r="AD19">
        <v>1</v>
      </c>
      <c r="AE19" s="332">
        <v>1</v>
      </c>
      <c r="AF19" s="332">
        <v>1</v>
      </c>
      <c r="AG19" s="332">
        <v>1</v>
      </c>
      <c r="AH19" s="332">
        <v>1</v>
      </c>
      <c r="AI19">
        <v>0</v>
      </c>
      <c r="AJ19">
        <v>0</v>
      </c>
      <c r="AK19">
        <v>0</v>
      </c>
      <c r="AL19">
        <v>0</v>
      </c>
    </row>
    <row r="20" spans="1:38" ht="15.75" thickBot="1">
      <c r="A20" s="1196"/>
      <c r="B20" s="898"/>
      <c r="C20" s="900"/>
      <c r="D20" s="902"/>
      <c r="E20" s="1198"/>
      <c r="F20" s="886">
        <f>SUM(F19:I19)/V19</f>
        <v>0</v>
      </c>
      <c r="G20" s="887"/>
      <c r="H20" s="887"/>
      <c r="I20" s="887"/>
      <c r="J20" s="887">
        <f>SUM(J19:M19)/$V$19</f>
        <v>0.5</v>
      </c>
      <c r="K20" s="887"/>
      <c r="L20" s="887"/>
      <c r="M20" s="887"/>
      <c r="N20" s="887">
        <f>SUM(N19:Q19)/$V$19</f>
        <v>0.5</v>
      </c>
      <c r="O20" s="887"/>
      <c r="P20" s="887"/>
      <c r="Q20" s="887"/>
      <c r="R20" s="887">
        <f>SUM(R19:U19)/$V$19</f>
        <v>0</v>
      </c>
      <c r="S20" s="887"/>
      <c r="T20" s="887"/>
      <c r="U20" s="1202"/>
      <c r="W20" s="332"/>
      <c r="X20" s="332"/>
      <c r="Y20" s="332"/>
      <c r="Z20" s="332"/>
      <c r="AE20" s="332"/>
      <c r="AF20" s="332"/>
      <c r="AG20" s="332"/>
      <c r="AH20" s="332"/>
    </row>
    <row r="21" spans="1:38" ht="13.9" customHeight="1" thickBot="1">
      <c r="A21" s="1196"/>
      <c r="B21" s="898"/>
      <c r="C21" s="900"/>
      <c r="D21" s="902"/>
      <c r="E21" s="1199"/>
      <c r="F21" s="1204">
        <f>F18+F20*C19/C31</f>
        <v>0.17852860575645824</v>
      </c>
      <c r="G21" s="913"/>
      <c r="H21" s="913"/>
      <c r="I21" s="913"/>
      <c r="J21" s="892">
        <f>J18+J20*C19/C31</f>
        <v>0.57782706801015271</v>
      </c>
      <c r="K21" s="892"/>
      <c r="L21" s="892"/>
      <c r="M21" s="892"/>
      <c r="N21" s="892">
        <f>N18+N20*C19/C31</f>
        <v>0.95558605182310496</v>
      </c>
      <c r="O21" s="892"/>
      <c r="P21" s="892"/>
      <c r="Q21" s="892"/>
      <c r="R21" s="892">
        <f>R18+R20*C19/C31</f>
        <v>0.97480024305274804</v>
      </c>
      <c r="S21" s="892"/>
      <c r="T21" s="892"/>
      <c r="U21" s="1210"/>
      <c r="W21" s="332"/>
      <c r="X21" s="332"/>
      <c r="Y21" s="332"/>
      <c r="Z21" s="332"/>
      <c r="AE21" s="332"/>
      <c r="AF21" s="332"/>
      <c r="AG21" s="332"/>
      <c r="AH21" s="332"/>
    </row>
    <row r="22" spans="1:38" ht="15.75" thickBot="1">
      <c r="A22" s="1196">
        <v>6</v>
      </c>
      <c r="B22" s="898" t="s">
        <v>329</v>
      </c>
      <c r="C22" s="899">
        <f>'OBRA 03 - SINTÉTICA'!I52</f>
        <v>15995.28</v>
      </c>
      <c r="D22" s="901">
        <f>C22/$C$31</f>
        <v>5.9855657176088118E-3</v>
      </c>
      <c r="E22" s="1197">
        <f t="shared" ref="E22" si="13">D22+E19</f>
        <v>0.92490707688831808</v>
      </c>
      <c r="F22" s="342">
        <f t="shared" ref="F22:M22" si="14">W22</f>
        <v>0</v>
      </c>
      <c r="G22" s="342">
        <f t="shared" si="14"/>
        <v>0</v>
      </c>
      <c r="H22" s="342">
        <f t="shared" si="14"/>
        <v>0</v>
      </c>
      <c r="I22" s="342">
        <f t="shared" si="14"/>
        <v>0</v>
      </c>
      <c r="J22" s="342">
        <f t="shared" si="14"/>
        <v>0</v>
      </c>
      <c r="K22" s="342">
        <f t="shared" si="14"/>
        <v>0</v>
      </c>
      <c r="L22" s="342">
        <f t="shared" si="14"/>
        <v>0</v>
      </c>
      <c r="M22" s="342">
        <f t="shared" si="14"/>
        <v>0</v>
      </c>
      <c r="N22" s="342">
        <f t="shared" ref="N22:U22" si="15">AE22</f>
        <v>0</v>
      </c>
      <c r="O22" s="342">
        <f t="shared" si="15"/>
        <v>0</v>
      </c>
      <c r="P22" s="342">
        <f t="shared" si="15"/>
        <v>0</v>
      </c>
      <c r="Q22" s="342">
        <f t="shared" si="15"/>
        <v>0</v>
      </c>
      <c r="R22" s="342">
        <f t="shared" si="15"/>
        <v>4</v>
      </c>
      <c r="S22" s="342">
        <f t="shared" si="15"/>
        <v>0</v>
      </c>
      <c r="T22" s="342">
        <f t="shared" si="15"/>
        <v>0</v>
      </c>
      <c r="U22" s="641">
        <f t="shared" si="15"/>
        <v>0</v>
      </c>
      <c r="V22">
        <f>SUM(W22:AL22)</f>
        <v>4</v>
      </c>
      <c r="W22" s="332">
        <v>0</v>
      </c>
      <c r="X22" s="332">
        <v>0</v>
      </c>
      <c r="Y22" s="332">
        <v>0</v>
      </c>
      <c r="Z22" s="332">
        <v>0</v>
      </c>
      <c r="AA22" s="332">
        <v>0</v>
      </c>
      <c r="AB22" s="332">
        <v>0</v>
      </c>
      <c r="AC22" s="332">
        <v>0</v>
      </c>
      <c r="AD22" s="332">
        <v>0</v>
      </c>
      <c r="AE22" s="332">
        <v>0</v>
      </c>
      <c r="AF22" s="332">
        <v>0</v>
      </c>
      <c r="AG22" s="332">
        <v>0</v>
      </c>
      <c r="AH22" s="332">
        <v>0</v>
      </c>
      <c r="AI22" s="332">
        <v>4</v>
      </c>
      <c r="AJ22" s="332">
        <v>0</v>
      </c>
      <c r="AK22" s="332">
        <v>0</v>
      </c>
      <c r="AL22" s="332">
        <v>0</v>
      </c>
    </row>
    <row r="23" spans="1:38" ht="15.75" thickBot="1">
      <c r="A23" s="1196"/>
      <c r="B23" s="898"/>
      <c r="C23" s="900"/>
      <c r="D23" s="902"/>
      <c r="E23" s="1198"/>
      <c r="F23" s="1205">
        <f>SUM(F22:I22)/V22</f>
        <v>0</v>
      </c>
      <c r="G23" s="913"/>
      <c r="H23" s="913"/>
      <c r="I23" s="913"/>
      <c r="J23" s="887">
        <f>SUM(J22:M22)/$V$22</f>
        <v>0</v>
      </c>
      <c r="K23" s="887"/>
      <c r="L23" s="887"/>
      <c r="M23" s="887"/>
      <c r="N23" s="887">
        <f>SUM(N22:Q22)/$V$22</f>
        <v>0</v>
      </c>
      <c r="O23" s="887"/>
      <c r="P23" s="887"/>
      <c r="Q23" s="887"/>
      <c r="R23" s="887">
        <f>SUM(R22:U22)/$V$22</f>
        <v>1</v>
      </c>
      <c r="S23" s="887"/>
      <c r="T23" s="887"/>
      <c r="U23" s="1202"/>
      <c r="W23" s="332"/>
      <c r="X23" s="332"/>
      <c r="Y23" s="332"/>
      <c r="Z23" s="332"/>
      <c r="AE23" s="332"/>
      <c r="AF23" s="332"/>
      <c r="AG23" s="332"/>
      <c r="AH23" s="332"/>
    </row>
    <row r="24" spans="1:38" ht="15.75" thickBot="1">
      <c r="A24" s="1196"/>
      <c r="B24" s="898"/>
      <c r="C24" s="900"/>
      <c r="D24" s="902"/>
      <c r="E24" s="1199"/>
      <c r="F24" s="1204">
        <f>F21+F23*C22/C31</f>
        <v>0.17852860575645824</v>
      </c>
      <c r="G24" s="913"/>
      <c r="H24" s="913"/>
      <c r="I24" s="913"/>
      <c r="J24" s="892">
        <f>J21+J23*C22/C31</f>
        <v>0.57782706801015271</v>
      </c>
      <c r="K24" s="892"/>
      <c r="L24" s="892"/>
      <c r="M24" s="892"/>
      <c r="N24" s="892">
        <f>N21+N23*C22/C31</f>
        <v>0.95558605182310496</v>
      </c>
      <c r="O24" s="892"/>
      <c r="P24" s="892"/>
      <c r="Q24" s="892"/>
      <c r="R24" s="892">
        <f>R21+R23*C22/C31</f>
        <v>0.98078580877035682</v>
      </c>
      <c r="S24" s="892"/>
      <c r="T24" s="892"/>
      <c r="U24" s="1210"/>
      <c r="W24" s="332"/>
      <c r="X24" s="332"/>
      <c r="Y24" s="332"/>
      <c r="Z24" s="332"/>
      <c r="AE24" s="332"/>
      <c r="AF24" s="332"/>
      <c r="AG24" s="332"/>
      <c r="AH24" s="332"/>
    </row>
    <row r="25" spans="1:38" ht="15.75" thickBot="1">
      <c r="A25" s="1218">
        <v>7</v>
      </c>
      <c r="B25" s="928" t="s">
        <v>476</v>
      </c>
      <c r="C25" s="1221">
        <f>'OBRA 03 - SINTÉTICA'!I49</f>
        <v>4713.5300000000007</v>
      </c>
      <c r="D25" s="901">
        <f>C25/$C$31</f>
        <v>1.7638418068905743E-3</v>
      </c>
      <c r="E25" s="1197">
        <f t="shared" ref="E25" si="16">D25+E22</f>
        <v>0.92667091869520868</v>
      </c>
      <c r="F25" s="343">
        <f t="shared" ref="F25:M25" si="17">W25</f>
        <v>0</v>
      </c>
      <c r="G25" s="343">
        <f t="shared" si="17"/>
        <v>0</v>
      </c>
      <c r="H25" s="343">
        <f t="shared" si="17"/>
        <v>0</v>
      </c>
      <c r="I25" s="343">
        <f t="shared" si="17"/>
        <v>0</v>
      </c>
      <c r="J25" s="343">
        <f t="shared" si="17"/>
        <v>0</v>
      </c>
      <c r="K25" s="343">
        <f t="shared" si="17"/>
        <v>0</v>
      </c>
      <c r="L25" s="343">
        <f t="shared" si="17"/>
        <v>0</v>
      </c>
      <c r="M25" s="343">
        <f t="shared" si="17"/>
        <v>0</v>
      </c>
      <c r="N25" s="343">
        <f t="shared" ref="N25:U25" si="18">AE25</f>
        <v>0</v>
      </c>
      <c r="O25" s="343">
        <f t="shared" si="18"/>
        <v>0</v>
      </c>
      <c r="P25" s="343">
        <f t="shared" si="18"/>
        <v>0</v>
      </c>
      <c r="Q25" s="343">
        <f t="shared" si="18"/>
        <v>2</v>
      </c>
      <c r="R25" s="343">
        <f t="shared" si="18"/>
        <v>2</v>
      </c>
      <c r="S25" s="343">
        <f t="shared" si="18"/>
        <v>0</v>
      </c>
      <c r="T25" s="343">
        <f t="shared" si="18"/>
        <v>0</v>
      </c>
      <c r="U25" s="642">
        <f t="shared" si="18"/>
        <v>0</v>
      </c>
      <c r="V25" s="639">
        <f>SUM(W25:AL25)</f>
        <v>4</v>
      </c>
      <c r="W25" s="332">
        <v>0</v>
      </c>
      <c r="X25" s="332">
        <v>0</v>
      </c>
      <c r="Y25" s="332">
        <v>0</v>
      </c>
      <c r="Z25" s="332">
        <v>0</v>
      </c>
      <c r="AA25" s="332">
        <v>0</v>
      </c>
      <c r="AB25" s="332">
        <v>0</v>
      </c>
      <c r="AC25" s="332">
        <v>0</v>
      </c>
      <c r="AD25" s="332">
        <v>0</v>
      </c>
      <c r="AE25" s="332">
        <v>0</v>
      </c>
      <c r="AF25" s="332">
        <v>0</v>
      </c>
      <c r="AG25" s="332">
        <v>0</v>
      </c>
      <c r="AH25" s="332">
        <v>2</v>
      </c>
      <c r="AI25" s="332">
        <v>2</v>
      </c>
      <c r="AJ25" s="332">
        <v>0</v>
      </c>
      <c r="AK25" s="332">
        <v>0</v>
      </c>
      <c r="AL25" s="332">
        <v>0</v>
      </c>
    </row>
    <row r="26" spans="1:38" ht="15.75" thickBot="1">
      <c r="A26" s="1219"/>
      <c r="B26" s="929"/>
      <c r="C26" s="1222"/>
      <c r="D26" s="902"/>
      <c r="E26" s="1198"/>
      <c r="F26" s="920">
        <f>SUM(W25:Z25)/$V$25</f>
        <v>0</v>
      </c>
      <c r="G26" s="921"/>
      <c r="H26" s="921"/>
      <c r="I26" s="923"/>
      <c r="J26" s="920">
        <f>SUM(AA25:AD25)/$V$25</f>
        <v>0</v>
      </c>
      <c r="K26" s="921"/>
      <c r="L26" s="921"/>
      <c r="M26" s="923"/>
      <c r="N26" s="920">
        <f>SUM(AE25:AH25)/$V$25</f>
        <v>0.5</v>
      </c>
      <c r="O26" s="921"/>
      <c r="P26" s="921"/>
      <c r="Q26" s="923"/>
      <c r="R26" s="920">
        <f>SUM(AI25:AL25)/$V$25</f>
        <v>0.5</v>
      </c>
      <c r="S26" s="921"/>
      <c r="T26" s="921"/>
      <c r="U26" s="1226"/>
      <c r="W26" s="332"/>
      <c r="X26" s="332"/>
      <c r="Y26" s="332"/>
      <c r="Z26" s="332"/>
      <c r="AE26" s="332"/>
      <c r="AF26" s="332"/>
      <c r="AG26" s="332"/>
      <c r="AH26" s="332"/>
    </row>
    <row r="27" spans="1:38" ht="15.75" thickBot="1">
      <c r="A27" s="1220"/>
      <c r="B27" s="930"/>
      <c r="C27" s="1223"/>
      <c r="D27" s="902"/>
      <c r="E27" s="1199"/>
      <c r="F27" s="920">
        <f>F24+F26*$C$25</f>
        <v>0.17852860575645824</v>
      </c>
      <c r="G27" s="921"/>
      <c r="H27" s="921"/>
      <c r="I27" s="923"/>
      <c r="J27" s="893">
        <f>J24+J26*C25/C31</f>
        <v>0.57782706801015271</v>
      </c>
      <c r="K27" s="916"/>
      <c r="L27" s="916"/>
      <c r="M27" s="918"/>
      <c r="N27" s="893">
        <f>N24+N26*C25/C31</f>
        <v>0.95646797272655026</v>
      </c>
      <c r="O27" s="916"/>
      <c r="P27" s="916"/>
      <c r="Q27" s="918"/>
      <c r="R27" s="893">
        <f>R24+R26*C25/C31</f>
        <v>0.98166772967380211</v>
      </c>
      <c r="S27" s="916"/>
      <c r="T27" s="916"/>
      <c r="U27" s="1211"/>
      <c r="W27" s="332"/>
      <c r="X27" s="332"/>
      <c r="Y27" s="332"/>
      <c r="Z27" s="332"/>
      <c r="AE27" s="332"/>
      <c r="AF27" s="332"/>
      <c r="AG27" s="332"/>
      <c r="AH27" s="332"/>
    </row>
    <row r="28" spans="1:38" ht="15.75" thickBot="1">
      <c r="A28" s="1196">
        <v>8</v>
      </c>
      <c r="B28" s="938" t="s">
        <v>696</v>
      </c>
      <c r="C28" s="899">
        <f>'OBRA 03 - SINTÉTICA'!I54</f>
        <v>195957.95</v>
      </c>
      <c r="D28" s="901">
        <f>C28/$C$31</f>
        <v>7.3329081304791266E-2</v>
      </c>
      <c r="E28" s="1197">
        <f t="shared" ref="E28" si="19">D28+E25</f>
        <v>1</v>
      </c>
      <c r="F28" s="342">
        <f t="shared" ref="F28:M28" si="20">W29</f>
        <v>1</v>
      </c>
      <c r="G28" s="342">
        <f t="shared" si="20"/>
        <v>1</v>
      </c>
      <c r="H28" s="342">
        <f t="shared" si="20"/>
        <v>1</v>
      </c>
      <c r="I28" s="342">
        <f t="shared" si="20"/>
        <v>1</v>
      </c>
      <c r="J28" s="342">
        <f t="shared" si="20"/>
        <v>1</v>
      </c>
      <c r="K28" s="342">
        <f t="shared" si="20"/>
        <v>1</v>
      </c>
      <c r="L28" s="342">
        <f t="shared" si="20"/>
        <v>1</v>
      </c>
      <c r="M28" s="342">
        <f t="shared" si="20"/>
        <v>1</v>
      </c>
      <c r="N28" s="342">
        <f t="shared" ref="N28:R28" si="21">AE29</f>
        <v>1</v>
      </c>
      <c r="O28" s="342">
        <f t="shared" si="21"/>
        <v>1</v>
      </c>
      <c r="P28" s="342">
        <f t="shared" si="21"/>
        <v>1</v>
      </c>
      <c r="Q28" s="342">
        <f t="shared" si="21"/>
        <v>1</v>
      </c>
      <c r="R28" s="342">
        <f t="shared" si="21"/>
        <v>4</v>
      </c>
      <c r="S28" s="342">
        <f t="shared" ref="S28" si="22">AJ29</f>
        <v>0</v>
      </c>
      <c r="T28" s="342">
        <f t="shared" ref="T28" si="23">AK29</f>
        <v>0</v>
      </c>
      <c r="U28" s="641">
        <f t="shared" ref="U28" si="24">AL29</f>
        <v>0</v>
      </c>
      <c r="W28" s="332"/>
      <c r="X28" s="332"/>
      <c r="Y28" s="332"/>
      <c r="Z28" s="332"/>
      <c r="AE28" s="332"/>
      <c r="AF28" s="332"/>
      <c r="AG28" s="332"/>
      <c r="AH28" s="332"/>
    </row>
    <row r="29" spans="1:38" ht="15.75" thickBot="1">
      <c r="A29" s="1208"/>
      <c r="B29" s="938"/>
      <c r="C29" s="900"/>
      <c r="D29" s="902"/>
      <c r="E29" s="1198"/>
      <c r="F29" s="886">
        <f>SUM(F28:I28)/$V$29</f>
        <v>0.25</v>
      </c>
      <c r="G29" s="887"/>
      <c r="H29" s="887"/>
      <c r="I29" s="887"/>
      <c r="J29" s="886">
        <f>SUM(J28:M28)/$V$29</f>
        <v>0.25</v>
      </c>
      <c r="K29" s="887"/>
      <c r="L29" s="887"/>
      <c r="M29" s="887"/>
      <c r="N29" s="886">
        <f>SUM(N28:Q28)/$V$29</f>
        <v>0.25</v>
      </c>
      <c r="O29" s="887"/>
      <c r="P29" s="887"/>
      <c r="Q29" s="887"/>
      <c r="R29" s="886">
        <f>SUM(R28:U28)/$V$29</f>
        <v>0.25</v>
      </c>
      <c r="S29" s="887"/>
      <c r="T29" s="887"/>
      <c r="U29" s="1202"/>
      <c r="V29">
        <f>SUM(W29:AI29)</f>
        <v>16</v>
      </c>
      <c r="W29" s="332">
        <v>1</v>
      </c>
      <c r="X29" s="332">
        <v>1</v>
      </c>
      <c r="Y29" s="332">
        <v>1</v>
      </c>
      <c r="Z29" s="332">
        <v>1</v>
      </c>
      <c r="AA29" s="332">
        <v>1</v>
      </c>
      <c r="AB29" s="332">
        <v>1</v>
      </c>
      <c r="AC29" s="332">
        <v>1</v>
      </c>
      <c r="AD29" s="332">
        <v>1</v>
      </c>
      <c r="AE29" s="332">
        <v>1</v>
      </c>
      <c r="AF29" s="332">
        <v>1</v>
      </c>
      <c r="AG29" s="332">
        <v>1</v>
      </c>
      <c r="AH29" s="332">
        <v>1</v>
      </c>
      <c r="AI29" s="332">
        <v>4</v>
      </c>
    </row>
    <row r="30" spans="1:38" ht="15.75" thickBot="1">
      <c r="A30" s="1208"/>
      <c r="B30" s="938"/>
      <c r="C30" s="900"/>
      <c r="D30" s="902"/>
      <c r="E30" s="1199"/>
      <c r="F30" s="1204">
        <f>F27+F29*C28/C31</f>
        <v>0.19686087608265607</v>
      </c>
      <c r="G30" s="913"/>
      <c r="H30" s="913"/>
      <c r="I30" s="913"/>
      <c r="J30" s="892">
        <f>J27+J29*C28/C31</f>
        <v>0.59615933833635049</v>
      </c>
      <c r="K30" s="892"/>
      <c r="L30" s="892"/>
      <c r="M30" s="892"/>
      <c r="N30" s="892">
        <f>N27+N29*C28/C31</f>
        <v>0.97480024305274804</v>
      </c>
      <c r="O30" s="892"/>
      <c r="P30" s="892"/>
      <c r="Q30" s="892"/>
      <c r="R30" s="886">
        <f>R27+R29*C28/C31</f>
        <v>0.99999999999999989</v>
      </c>
      <c r="S30" s="886"/>
      <c r="T30" s="886"/>
      <c r="U30" s="1209"/>
      <c r="W30" s="332"/>
      <c r="X30" s="332"/>
      <c r="Y30" s="332"/>
      <c r="Z30" s="332"/>
      <c r="AE30" s="332"/>
      <c r="AF30" s="332"/>
      <c r="AG30" s="332"/>
      <c r="AH30" s="332"/>
    </row>
    <row r="31" spans="1:38" ht="15.75" thickBot="1">
      <c r="A31" s="643"/>
      <c r="B31" s="327" t="s">
        <v>688</v>
      </c>
      <c r="C31" s="328">
        <f>SUM(C7:C30)</f>
        <v>2672308.81</v>
      </c>
      <c r="D31" s="329">
        <f>SUM(D7:D30)</f>
        <v>1</v>
      </c>
      <c r="E31" s="329"/>
      <c r="F31" s="330"/>
      <c r="G31" s="330"/>
      <c r="H31" s="330"/>
      <c r="I31" s="330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644"/>
      <c r="W31" s="332"/>
      <c r="X31" s="332"/>
      <c r="Y31" s="332"/>
      <c r="Z31" s="332"/>
      <c r="AE31" s="332"/>
      <c r="AF31" s="332"/>
      <c r="AG31" s="332"/>
      <c r="AH31" s="332"/>
    </row>
    <row r="32" spans="1:38" ht="15.75" thickBot="1">
      <c r="A32" s="1206" t="s">
        <v>691</v>
      </c>
      <c r="B32" s="939"/>
      <c r="C32" s="331"/>
      <c r="D32" s="331"/>
      <c r="E32" s="331"/>
      <c r="F32" s="952">
        <f>F30*C31</f>
        <v>526073.05350000015</v>
      </c>
      <c r="G32" s="952"/>
      <c r="H32" s="952"/>
      <c r="I32" s="952"/>
      <c r="J32" s="952">
        <f>C31*(J30-F30)</f>
        <v>1067048.7985</v>
      </c>
      <c r="K32" s="952"/>
      <c r="L32" s="952"/>
      <c r="M32" s="952"/>
      <c r="N32" s="952">
        <f>C31*(N30-J30)</f>
        <v>1011845.4254999998</v>
      </c>
      <c r="O32" s="952"/>
      <c r="P32" s="952"/>
      <c r="Q32" s="952"/>
      <c r="R32" s="952">
        <f>C31*(R30-N30)</f>
        <v>67341.532499999827</v>
      </c>
      <c r="S32" s="952"/>
      <c r="T32" s="952"/>
      <c r="U32" s="1207"/>
      <c r="W32" s="332"/>
      <c r="X32" s="332"/>
      <c r="Y32" s="332"/>
      <c r="Z32" s="332"/>
      <c r="AE32" s="332"/>
      <c r="AF32" s="332"/>
      <c r="AG32" s="332"/>
      <c r="AH32" s="332"/>
    </row>
    <row r="33" spans="1:34" ht="15.75" thickBot="1">
      <c r="A33" s="1206" t="s">
        <v>692</v>
      </c>
      <c r="B33" s="939"/>
      <c r="C33" s="331"/>
      <c r="D33" s="331"/>
      <c r="E33" s="331"/>
      <c r="F33" s="960">
        <f>F32/C31</f>
        <v>0.19686087608265609</v>
      </c>
      <c r="G33" s="960"/>
      <c r="H33" s="960"/>
      <c r="I33" s="960"/>
      <c r="J33" s="960">
        <f>J30-F30</f>
        <v>0.39929846225369442</v>
      </c>
      <c r="K33" s="960"/>
      <c r="L33" s="960"/>
      <c r="M33" s="960"/>
      <c r="N33" s="960">
        <f>N30-J30</f>
        <v>0.37864090471639755</v>
      </c>
      <c r="O33" s="960"/>
      <c r="P33" s="960"/>
      <c r="Q33" s="960"/>
      <c r="R33" s="1224">
        <f>R30-N35</f>
        <v>2.519975694725185E-2</v>
      </c>
      <c r="S33" s="1224"/>
      <c r="T33" s="1224"/>
      <c r="U33" s="1225"/>
      <c r="W33" s="332"/>
      <c r="X33" s="332"/>
      <c r="Y33" s="332"/>
      <c r="Z33" s="332"/>
      <c r="AE33" s="332"/>
      <c r="AF33" s="332"/>
      <c r="AG33" s="332"/>
      <c r="AH33" s="332"/>
    </row>
    <row r="34" spans="1:34" ht="15.75" thickBot="1">
      <c r="A34" s="1206" t="s">
        <v>693</v>
      </c>
      <c r="B34" s="939"/>
      <c r="C34" s="331"/>
      <c r="D34" s="331"/>
      <c r="E34" s="331"/>
      <c r="F34" s="952">
        <f>F32</f>
        <v>526073.05350000015</v>
      </c>
      <c r="G34" s="952"/>
      <c r="H34" s="952"/>
      <c r="I34" s="952"/>
      <c r="J34" s="952">
        <f>F34+J32</f>
        <v>1593121.8520000002</v>
      </c>
      <c r="K34" s="952"/>
      <c r="L34" s="952"/>
      <c r="M34" s="952"/>
      <c r="N34" s="952">
        <f>J34+N32</f>
        <v>2604967.2774999999</v>
      </c>
      <c r="O34" s="952"/>
      <c r="P34" s="952"/>
      <c r="Q34" s="952"/>
      <c r="R34" s="941">
        <f>TRUNC(N34+R32,2)</f>
        <v>2672308.81</v>
      </c>
      <c r="S34" s="941"/>
      <c r="T34" s="941"/>
      <c r="U34" s="1227"/>
      <c r="W34" s="332"/>
      <c r="X34" s="332"/>
      <c r="Y34" s="332"/>
      <c r="Z34" s="332"/>
      <c r="AE34" s="332"/>
      <c r="AF34" s="332"/>
      <c r="AG34" s="332"/>
      <c r="AH34" s="332"/>
    </row>
    <row r="35" spans="1:34" ht="15">
      <c r="A35" s="1212" t="s">
        <v>694</v>
      </c>
      <c r="B35" s="1213"/>
      <c r="C35" s="645"/>
      <c r="D35" s="645"/>
      <c r="E35" s="645"/>
      <c r="F35" s="1214">
        <f>F33</f>
        <v>0.19686087608265609</v>
      </c>
      <c r="G35" s="1214"/>
      <c r="H35" s="1214"/>
      <c r="I35" s="1214"/>
      <c r="J35" s="1215">
        <f>F35+J33</f>
        <v>0.59615933833635049</v>
      </c>
      <c r="K35" s="1215"/>
      <c r="L35" s="1215"/>
      <c r="M35" s="1215"/>
      <c r="N35" s="1214">
        <f>N33+J35</f>
        <v>0.97480024305274804</v>
      </c>
      <c r="O35" s="1214"/>
      <c r="P35" s="1214"/>
      <c r="Q35" s="1214"/>
      <c r="R35" s="1216">
        <f>N35+R33</f>
        <v>0.99999999999999989</v>
      </c>
      <c r="S35" s="1216"/>
      <c r="T35" s="1216"/>
      <c r="U35" s="1217"/>
      <c r="W35" s="332"/>
      <c r="X35" s="332"/>
      <c r="Y35" s="332"/>
      <c r="Z35" s="332"/>
      <c r="AE35" s="332"/>
      <c r="AF35" s="332"/>
      <c r="AG35" s="332"/>
      <c r="AH35" s="332"/>
    </row>
  </sheetData>
  <mergeCells count="133">
    <mergeCell ref="N11:Q11"/>
    <mergeCell ref="R11:U11"/>
    <mergeCell ref="N17:Q17"/>
    <mergeCell ref="R17:U17"/>
    <mergeCell ref="N20:Q20"/>
    <mergeCell ref="R20:U20"/>
    <mergeCell ref="N12:Q12"/>
    <mergeCell ref="R9:U9"/>
    <mergeCell ref="R12:U12"/>
    <mergeCell ref="N14:Q14"/>
    <mergeCell ref="R14:U14"/>
    <mergeCell ref="N15:Q15"/>
    <mergeCell ref="R15:U15"/>
    <mergeCell ref="N18:Q18"/>
    <mergeCell ref="R18:U18"/>
    <mergeCell ref="A35:B35"/>
    <mergeCell ref="F35:I35"/>
    <mergeCell ref="J35:M35"/>
    <mergeCell ref="N35:Q35"/>
    <mergeCell ref="R35:U35"/>
    <mergeCell ref="A25:A27"/>
    <mergeCell ref="B25:B27"/>
    <mergeCell ref="C25:C27"/>
    <mergeCell ref="D25:D27"/>
    <mergeCell ref="E25:E27"/>
    <mergeCell ref="A33:B33"/>
    <mergeCell ref="F33:I33"/>
    <mergeCell ref="J33:M33"/>
    <mergeCell ref="N33:Q33"/>
    <mergeCell ref="R33:U33"/>
    <mergeCell ref="A34:B34"/>
    <mergeCell ref="N29:Q29"/>
    <mergeCell ref="R29:U29"/>
    <mergeCell ref="R26:U26"/>
    <mergeCell ref="F34:I34"/>
    <mergeCell ref="J34:M34"/>
    <mergeCell ref="N34:Q34"/>
    <mergeCell ref="R34:U34"/>
    <mergeCell ref="J29:M29"/>
    <mergeCell ref="J20:M20"/>
    <mergeCell ref="F21:I21"/>
    <mergeCell ref="J21:M21"/>
    <mergeCell ref="N21:Q21"/>
    <mergeCell ref="R21:U21"/>
    <mergeCell ref="F26:I26"/>
    <mergeCell ref="F27:I27"/>
    <mergeCell ref="J27:M27"/>
    <mergeCell ref="J26:M26"/>
    <mergeCell ref="N26:Q26"/>
    <mergeCell ref="N27:Q27"/>
    <mergeCell ref="R27:U27"/>
    <mergeCell ref="N23:Q23"/>
    <mergeCell ref="R23:U23"/>
    <mergeCell ref="N24:Q24"/>
    <mergeCell ref="R24:U24"/>
    <mergeCell ref="A32:B32"/>
    <mergeCell ref="F32:I32"/>
    <mergeCell ref="J32:M32"/>
    <mergeCell ref="N32:Q32"/>
    <mergeCell ref="R32:U32"/>
    <mergeCell ref="A28:A30"/>
    <mergeCell ref="B28:B30"/>
    <mergeCell ref="C28:C30"/>
    <mergeCell ref="D28:D30"/>
    <mergeCell ref="E28:E30"/>
    <mergeCell ref="F29:I29"/>
    <mergeCell ref="F30:I30"/>
    <mergeCell ref="J30:M30"/>
    <mergeCell ref="N30:Q30"/>
    <mergeCell ref="R30:U30"/>
    <mergeCell ref="A16:A18"/>
    <mergeCell ref="B16:B18"/>
    <mergeCell ref="C16:C18"/>
    <mergeCell ref="D16:D18"/>
    <mergeCell ref="E16:E18"/>
    <mergeCell ref="F17:I17"/>
    <mergeCell ref="J17:M17"/>
    <mergeCell ref="A22:A24"/>
    <mergeCell ref="B22:B24"/>
    <mergeCell ref="C22:C24"/>
    <mergeCell ref="D22:D24"/>
    <mergeCell ref="E22:E24"/>
    <mergeCell ref="F18:I18"/>
    <mergeCell ref="J18:M18"/>
    <mergeCell ref="F24:I24"/>
    <mergeCell ref="J24:M24"/>
    <mergeCell ref="A19:A21"/>
    <mergeCell ref="B19:B21"/>
    <mergeCell ref="C19:C21"/>
    <mergeCell ref="D19:D21"/>
    <mergeCell ref="E19:E21"/>
    <mergeCell ref="F20:I20"/>
    <mergeCell ref="F23:I23"/>
    <mergeCell ref="J23:M23"/>
    <mergeCell ref="A13:A15"/>
    <mergeCell ref="B13:B15"/>
    <mergeCell ref="C13:C15"/>
    <mergeCell ref="D13:D15"/>
    <mergeCell ref="E13:E15"/>
    <mergeCell ref="F14:I14"/>
    <mergeCell ref="J14:M14"/>
    <mergeCell ref="F15:I15"/>
    <mergeCell ref="J15:M15"/>
    <mergeCell ref="A10:A12"/>
    <mergeCell ref="B10:B12"/>
    <mergeCell ref="C10:C12"/>
    <mergeCell ref="D10:D12"/>
    <mergeCell ref="E10:E12"/>
    <mergeCell ref="F11:I11"/>
    <mergeCell ref="J11:M11"/>
    <mergeCell ref="F12:I12"/>
    <mergeCell ref="J12:M12"/>
    <mergeCell ref="A2:U3"/>
    <mergeCell ref="A1:U1"/>
    <mergeCell ref="F5:I5"/>
    <mergeCell ref="J5:M5"/>
    <mergeCell ref="A7:A9"/>
    <mergeCell ref="B7:B9"/>
    <mergeCell ref="C7:C9"/>
    <mergeCell ref="D7:D9"/>
    <mergeCell ref="E7:E9"/>
    <mergeCell ref="F8:I8"/>
    <mergeCell ref="A4:A6"/>
    <mergeCell ref="B4:B6"/>
    <mergeCell ref="F4:U4"/>
    <mergeCell ref="J8:M8"/>
    <mergeCell ref="N8:Q8"/>
    <mergeCell ref="R8:U8"/>
    <mergeCell ref="F9:I9"/>
    <mergeCell ref="J9:M9"/>
    <mergeCell ref="N5:Q5"/>
    <mergeCell ref="R5:U5"/>
    <mergeCell ref="N9:Q9"/>
  </mergeCells>
  <conditionalFormatting sqref="F7:U7 F10:U10 F13:U13 F16:U16 F19:U19 F22:U22 F25:U25 F28:U28">
    <cfRule type="cellIs" dxfId="29" priority="1" operator="equal">
      <formula>0</formula>
    </cfRule>
    <cfRule type="cellIs" dxfId="28" priority="2" operator="greaterThan">
      <formula>0</formula>
    </cfRule>
  </conditionalFormatting>
  <conditionalFormatting sqref="F7:U7 F10:U10 F13:U13 F16:U16 F19:U19 F22:U22 F28:U28">
    <cfRule type="cellIs" dxfId="27" priority="10" operator="equal">
      <formula>0</formula>
    </cfRule>
  </conditionalFormatting>
  <conditionalFormatting sqref="F7:U7">
    <cfRule type="cellIs" dxfId="26" priority="5" operator="equal">
      <formula>$V$39</formula>
    </cfRule>
    <cfRule type="cellIs" dxfId="25" priority="6" operator="equal">
      <formula>$V$38</formula>
    </cfRule>
    <cfRule type="cellIs" dxfId="24" priority="12" operator="greaterThan">
      <formula>0</formula>
    </cfRule>
    <cfRule type="cellIs" dxfId="23" priority="13" operator="lessThan">
      <formula>1</formula>
    </cfRule>
    <cfRule type="cellIs" dxfId="22" priority="14" operator="greaterThan">
      <formula>0</formula>
    </cfRule>
  </conditionalFormatting>
  <conditionalFormatting sqref="F10:U10 F13:U13 F16:U16 F19:U19 F22:U22 F28:U28">
    <cfRule type="cellIs" dxfId="21" priority="3" operator="equal">
      <formula>0</formula>
    </cfRule>
    <cfRule type="cellIs" dxfId="20" priority="4" operator="greaterThan">
      <formula>0</formula>
    </cfRule>
    <cfRule type="cellIs" dxfId="19" priority="11" operator="greaterThan">
      <formula>0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C238B3BF-E92F-449C-A26C-1D02F1CA400E}">
            <xm:f>NOT(ISERROR(SEARCH($V$37,F7)))</xm:f>
            <xm:f>$V$37</xm:f>
            <x14:dxf>
              <font>
                <color rgb="FFFF0000"/>
              </font>
            </x14:dxf>
          </x14:cfRule>
          <x14:cfRule type="containsText" priority="8" operator="containsText" id="{FFAEA38B-4FD7-4AFB-957B-6517D76F3B3E}">
            <xm:f>NOT(ISERROR(SEARCH($V$36,F7)))</xm:f>
            <xm:f>$V$36</xm:f>
            <x14:dxf>
              <font>
                <color rgb="FFFF0000"/>
              </font>
            </x14:dxf>
          </x14:cfRule>
          <x14:cfRule type="containsText" priority="9" operator="containsText" id="{DD944F1A-65EC-410C-A54C-61962D269827}">
            <xm:f>NOT(ISERROR(SEARCH($V$36,F7)))</xm:f>
            <xm:f>$V$36</xm:f>
            <x14:dxf>
              <font>
                <color rgb="FFFF0000"/>
              </font>
              <numFmt numFmtId="0" formatCode="General"/>
              <fill>
                <patternFill>
                  <bgColor rgb="FFFF0000"/>
                </patternFill>
              </fill>
            </x14:dxf>
          </x14:cfRule>
          <xm:sqref>F7:U7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M54"/>
  <sheetViews>
    <sheetView zoomScale="80" zoomScaleNormal="80" workbookViewId="0">
      <pane ySplit="2" topLeftCell="A45" activePane="bottomLeft" state="frozen"/>
      <selection pane="bottomLeft" activeCell="N15" sqref="N15"/>
    </sheetView>
  </sheetViews>
  <sheetFormatPr defaultRowHeight="14.25"/>
  <cols>
    <col min="1" max="1" width="6" bestFit="1" customWidth="1"/>
    <col min="2" max="2" width="8.625" bestFit="1" customWidth="1"/>
    <col min="3" max="3" width="6.875" customWidth="1"/>
    <col min="4" max="4" width="60" bestFit="1" customWidth="1"/>
    <col min="5" max="5" width="8" bestFit="1" customWidth="1"/>
    <col min="6" max="8" width="12.875" customWidth="1"/>
    <col min="9" max="9" width="13" bestFit="1" customWidth="1"/>
    <col min="10" max="10" width="12.875" customWidth="1"/>
    <col min="11" max="11" width="14.25" bestFit="1" customWidth="1"/>
    <col min="12" max="12" width="11.375" bestFit="1" customWidth="1"/>
  </cols>
  <sheetData>
    <row r="1" spans="1:12" ht="15" customHeight="1">
      <c r="A1" s="982"/>
      <c r="B1" s="983"/>
      <c r="C1" s="983"/>
      <c r="D1" s="1113" t="s">
        <v>735</v>
      </c>
      <c r="E1" s="1114"/>
      <c r="F1" s="1115"/>
      <c r="G1" s="1182" t="s">
        <v>1</v>
      </c>
      <c r="H1" s="1010"/>
      <c r="I1" s="982"/>
      <c r="J1" s="982"/>
    </row>
    <row r="2" spans="1:12" ht="54.6" customHeight="1">
      <c r="A2" s="983"/>
      <c r="B2" s="983"/>
      <c r="C2" s="983"/>
      <c r="D2" s="984" t="s">
        <v>631</v>
      </c>
      <c r="E2" s="985"/>
      <c r="F2" s="986"/>
      <c r="G2" s="485">
        <v>0.2097</v>
      </c>
      <c r="H2" s="485">
        <v>0.14019999999999999</v>
      </c>
      <c r="I2" s="980"/>
      <c r="J2" s="980"/>
    </row>
    <row r="3" spans="1:12" ht="15.6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2" ht="30" customHeight="1">
      <c r="A4" s="977" t="s">
        <v>739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  <c r="L4" s="77"/>
    </row>
    <row r="5" spans="1:12" ht="20.45" customHeight="1">
      <c r="A5" s="1230" t="s">
        <v>395</v>
      </c>
      <c r="B5" s="1231"/>
      <c r="C5" s="1231"/>
      <c r="D5" s="1231"/>
      <c r="E5" s="1231"/>
      <c r="F5" s="1231"/>
      <c r="G5" s="1231"/>
      <c r="H5" s="1231"/>
      <c r="I5" s="1231"/>
      <c r="J5" s="1232"/>
      <c r="L5" s="77"/>
    </row>
    <row r="6" spans="1:12" ht="30">
      <c r="A6" s="557" t="s">
        <v>6</v>
      </c>
      <c r="B6" s="66" t="s">
        <v>7</v>
      </c>
      <c r="C6" s="66" t="s">
        <v>8</v>
      </c>
      <c r="D6" s="66" t="s">
        <v>9</v>
      </c>
      <c r="E6" s="66" t="s">
        <v>10</v>
      </c>
      <c r="F6" s="66" t="s">
        <v>11</v>
      </c>
      <c r="G6" s="66" t="s">
        <v>12</v>
      </c>
      <c r="H6" s="66" t="s">
        <v>13</v>
      </c>
      <c r="I6" s="66" t="s">
        <v>14</v>
      </c>
      <c r="J6" s="558" t="s">
        <v>15</v>
      </c>
      <c r="L6" s="77"/>
    </row>
    <row r="7" spans="1:12">
      <c r="A7" s="518" t="s">
        <v>16</v>
      </c>
      <c r="B7" s="25"/>
      <c r="C7" s="25"/>
      <c r="D7" s="25" t="s">
        <v>17</v>
      </c>
      <c r="E7" s="25"/>
      <c r="F7" s="1"/>
      <c r="G7" s="25"/>
      <c r="H7" s="25"/>
      <c r="I7" s="2">
        <f>SUM(I8:I13)</f>
        <v>39667.69</v>
      </c>
      <c r="J7" s="559">
        <f>SUM(J8:J13)</f>
        <v>1.8569529051238935E-2</v>
      </c>
      <c r="L7" s="77"/>
    </row>
    <row r="8" spans="1:12">
      <c r="A8" s="492" t="s">
        <v>18</v>
      </c>
      <c r="B8" s="3" t="s">
        <v>302</v>
      </c>
      <c r="C8" s="27" t="s">
        <v>19</v>
      </c>
      <c r="D8" s="27" t="s">
        <v>20</v>
      </c>
      <c r="E8" s="4" t="s">
        <v>21</v>
      </c>
      <c r="F8" s="6">
        <f>VLOOKUP(A8,'OBRA 04 - MEMÓRIA'!$A:$O,15,0)</f>
        <v>6</v>
      </c>
      <c r="G8" s="6">
        <f>'OBRA 04 - ANALÍTICA'!J8</f>
        <v>374.03189999999995</v>
      </c>
      <c r="H8" s="46">
        <f>G8*(1+$G$2)</f>
        <v>452.46638942999994</v>
      </c>
      <c r="I8" s="6">
        <f>TRUNC(F8*H8,2)</f>
        <v>2714.79</v>
      </c>
      <c r="J8" s="560">
        <f t="shared" ref="J8:J13" si="0">I8/$H$52</f>
        <v>1.270867342489894E-3</v>
      </c>
      <c r="L8" s="77"/>
    </row>
    <row r="9" spans="1:12" ht="25.5">
      <c r="A9" s="492" t="s">
        <v>22</v>
      </c>
      <c r="B9" s="3" t="s">
        <v>23</v>
      </c>
      <c r="C9" s="27" t="s">
        <v>24</v>
      </c>
      <c r="D9" s="27" t="s">
        <v>25</v>
      </c>
      <c r="E9" s="4" t="s">
        <v>21</v>
      </c>
      <c r="F9" s="6">
        <f>VLOOKUP(A9,'OBRA 04 - MEMÓRIA'!$A:$O,15,0)</f>
        <v>156.11000000000001</v>
      </c>
      <c r="G9" s="6">
        <f>'OBRA 04 - ANALÍTICA'!J21</f>
        <v>22.650455999999998</v>
      </c>
      <c r="H9" s="46">
        <f t="shared" ref="H9:H17" si="1">G9*(1+$G$2)</f>
        <v>27.400256623199997</v>
      </c>
      <c r="I9" s="6">
        <f t="shared" ref="I9:I13" si="2">TRUNC(F9*H9,2)</f>
        <v>4277.45</v>
      </c>
      <c r="J9" s="560">
        <f t="shared" si="0"/>
        <v>2.0023911662166859E-3</v>
      </c>
      <c r="L9" s="77"/>
    </row>
    <row r="10" spans="1:12">
      <c r="A10" s="492" t="s">
        <v>332</v>
      </c>
      <c r="B10" s="3" t="s">
        <v>29</v>
      </c>
      <c r="C10" s="27" t="s">
        <v>30</v>
      </c>
      <c r="D10" s="27" t="s">
        <v>560</v>
      </c>
      <c r="E10" s="4" t="s">
        <v>31</v>
      </c>
      <c r="F10" s="6">
        <f>VLOOKUP(A10,'OBRA 04 - MEMÓRIA'!$A:$O,15,0)</f>
        <v>66.36</v>
      </c>
      <c r="G10" s="6">
        <f>'OBRA 04 - ANALÍTICA'!J32</f>
        <v>9.8135000000000012</v>
      </c>
      <c r="H10" s="46">
        <f t="shared" si="1"/>
        <v>11.871390950000002</v>
      </c>
      <c r="I10" s="6">
        <f>TRUNC(F10*H10,2)</f>
        <v>787.78</v>
      </c>
      <c r="J10" s="560">
        <f t="shared" si="0"/>
        <v>3.6878133301901389E-4</v>
      </c>
      <c r="L10" s="77"/>
    </row>
    <row r="11" spans="1:12">
      <c r="A11" s="492" t="s">
        <v>333</v>
      </c>
      <c r="B11" s="3">
        <v>1600989</v>
      </c>
      <c r="C11" s="27" t="s">
        <v>27</v>
      </c>
      <c r="D11" s="27" t="s">
        <v>363</v>
      </c>
      <c r="E11" s="4" t="s">
        <v>28</v>
      </c>
      <c r="F11" s="6">
        <f>VLOOKUP(A11,'OBRA 04 - MEMÓRIA'!$A:$O,15,0)</f>
        <v>51.830100000000002</v>
      </c>
      <c r="G11" s="6">
        <f>'OBRA 04 - ANALÍTICA'!J42</f>
        <v>391.38085807040079</v>
      </c>
      <c r="H11" s="46">
        <f t="shared" si="1"/>
        <v>473.45342400776383</v>
      </c>
      <c r="I11" s="6">
        <f t="shared" si="2"/>
        <v>24539.13</v>
      </c>
      <c r="J11" s="560">
        <f t="shared" si="0"/>
        <v>1.1487436939915807E-2</v>
      </c>
      <c r="K11" s="78"/>
      <c r="L11" s="77"/>
    </row>
    <row r="12" spans="1:12" ht="51">
      <c r="A12" s="492" t="s">
        <v>334</v>
      </c>
      <c r="B12" s="235" t="s">
        <v>42</v>
      </c>
      <c r="C12" s="235" t="s">
        <v>24</v>
      </c>
      <c r="D12" s="234" t="s">
        <v>669</v>
      </c>
      <c r="E12" s="4" t="s">
        <v>28</v>
      </c>
      <c r="F12" s="6">
        <f>VLOOKUP(A12,'OBRA 04 - MEMÓRIA'!$A:$O,15,0)</f>
        <v>62.6218</v>
      </c>
      <c r="G12" s="6">
        <f>'OBRA 04 - ANALÍTICA'!J73</f>
        <v>7.8073019999999991</v>
      </c>
      <c r="H12" s="46">
        <f t="shared" si="1"/>
        <v>9.444493229399999</v>
      </c>
      <c r="I12" s="6">
        <f t="shared" si="2"/>
        <v>591.42999999999995</v>
      </c>
      <c r="J12" s="560">
        <f t="shared" si="0"/>
        <v>2.7686453551427473E-4</v>
      </c>
      <c r="L12" s="77"/>
    </row>
    <row r="13" spans="1:12" ht="38.25">
      <c r="A13" s="492" t="s">
        <v>364</v>
      </c>
      <c r="B13" s="3" t="s">
        <v>34</v>
      </c>
      <c r="C13" s="27" t="s">
        <v>24</v>
      </c>
      <c r="D13" s="27" t="s">
        <v>656</v>
      </c>
      <c r="E13" s="4" t="s">
        <v>36</v>
      </c>
      <c r="F13" s="6">
        <f>VLOOKUP(A13,'OBRA 04 - MEMÓRIA'!$A:$O,15,0)</f>
        <v>1878.654</v>
      </c>
      <c r="G13" s="6">
        <f>'OBRA 04 - ANALÍTICA'!J83</f>
        <v>2.9732859999999999</v>
      </c>
      <c r="H13" s="46">
        <f t="shared" si="1"/>
        <v>3.5967840741999999</v>
      </c>
      <c r="I13" s="6">
        <f t="shared" si="2"/>
        <v>6757.11</v>
      </c>
      <c r="J13" s="560">
        <f t="shared" si="0"/>
        <v>3.1631877340832578E-3</v>
      </c>
      <c r="L13" s="77"/>
    </row>
    <row r="14" spans="1:12">
      <c r="A14" s="518" t="s">
        <v>37</v>
      </c>
      <c r="B14" s="25"/>
      <c r="C14" s="25"/>
      <c r="D14" s="25" t="s">
        <v>38</v>
      </c>
      <c r="E14" s="25"/>
      <c r="F14" s="2"/>
      <c r="G14" s="25"/>
      <c r="H14" s="25"/>
      <c r="I14" s="2">
        <f>SUM(I15:I17)</f>
        <v>274230.58</v>
      </c>
      <c r="J14" s="559">
        <f>SUM(J15:J17)</f>
        <v>0.1283748239952491</v>
      </c>
      <c r="L14" s="77"/>
    </row>
    <row r="15" spans="1:12" ht="38.25">
      <c r="A15" s="492" t="s">
        <v>39</v>
      </c>
      <c r="B15" s="3">
        <v>101124</v>
      </c>
      <c r="C15" s="27" t="s">
        <v>24</v>
      </c>
      <c r="D15" s="27" t="s">
        <v>397</v>
      </c>
      <c r="E15" s="4" t="s">
        <v>28</v>
      </c>
      <c r="F15" s="6">
        <f>VLOOKUP(A15,'OBRA 04 - MEMÓRIA'!$A:$O,15,0)</f>
        <v>2071.63</v>
      </c>
      <c r="G15" s="6">
        <f>'OBRA 04 - ANALÍTICA'!J92</f>
        <v>15.327325</v>
      </c>
      <c r="H15" s="46">
        <f t="shared" si="1"/>
        <v>18.541465052500001</v>
      </c>
      <c r="I15" s="6">
        <f t="shared" ref="I15:I17" si="3">TRUNC(F15*H15,2)</f>
        <v>38411.050000000003</v>
      </c>
      <c r="J15" s="560">
        <f>I15/$H$52</f>
        <v>1.7981261547208603E-2</v>
      </c>
      <c r="L15" s="77"/>
    </row>
    <row r="16" spans="1:12">
      <c r="A16" s="492" t="s">
        <v>514</v>
      </c>
      <c r="B16" s="3" t="s">
        <v>41</v>
      </c>
      <c r="C16" s="27" t="s">
        <v>27</v>
      </c>
      <c r="D16" s="27" t="s">
        <v>562</v>
      </c>
      <c r="E16" s="4" t="s">
        <v>28</v>
      </c>
      <c r="F16" s="6">
        <f>VLOOKUP(A16,'OBRA 04 - MEMÓRIA'!$A:$O,15,0)</f>
        <v>2071.63</v>
      </c>
      <c r="G16" s="6">
        <f>'OBRA 04 - ANALÍTICA'!J102</f>
        <v>4.9014837633769313</v>
      </c>
      <c r="H16" s="46">
        <f t="shared" si="1"/>
        <v>5.9293249085570734</v>
      </c>
      <c r="I16" s="6">
        <f t="shared" si="3"/>
        <v>12283.36</v>
      </c>
      <c r="J16" s="560">
        <f>I16/$H$52</f>
        <v>5.7501762862124384E-3</v>
      </c>
      <c r="L16" s="77"/>
    </row>
    <row r="17" spans="1:13" ht="25.5">
      <c r="A17" s="492" t="s">
        <v>396</v>
      </c>
      <c r="B17" s="3" t="s">
        <v>34</v>
      </c>
      <c r="C17" s="27" t="s">
        <v>24</v>
      </c>
      <c r="D17" s="27" t="s">
        <v>654</v>
      </c>
      <c r="E17" s="4" t="s">
        <v>36</v>
      </c>
      <c r="F17" s="6">
        <f>VLOOKUP(A17,'OBRA 04 - MEMÓRIA'!$A:$O,15,0)</f>
        <v>62148.9</v>
      </c>
      <c r="G17" s="6">
        <f>'OBRA 04 - ANALÍTICA'!J125</f>
        <v>2.9732859999999999</v>
      </c>
      <c r="H17" s="46">
        <f t="shared" si="1"/>
        <v>3.5967840741999999</v>
      </c>
      <c r="I17" s="6">
        <f t="shared" si="3"/>
        <v>223536.17</v>
      </c>
      <c r="J17" s="560">
        <f>I17/$H$52</f>
        <v>0.10464338616182806</v>
      </c>
      <c r="L17" s="77"/>
    </row>
    <row r="18" spans="1:13">
      <c r="A18" s="518" t="s">
        <v>44</v>
      </c>
      <c r="B18" s="25"/>
      <c r="C18" s="25"/>
      <c r="D18" s="25" t="s">
        <v>45</v>
      </c>
      <c r="E18" s="25"/>
      <c r="F18" s="2"/>
      <c r="G18" s="25"/>
      <c r="H18" s="25"/>
      <c r="I18" s="2">
        <f>I19+I26</f>
        <v>1441350.0500000003</v>
      </c>
      <c r="J18" s="646">
        <f>J19+J26</f>
        <v>0.67473532304199435</v>
      </c>
      <c r="L18" s="77"/>
    </row>
    <row r="19" spans="1:13">
      <c r="A19" s="518" t="s">
        <v>46</v>
      </c>
      <c r="B19" s="25"/>
      <c r="C19" s="25"/>
      <c r="D19" s="25" t="s">
        <v>47</v>
      </c>
      <c r="E19" s="25"/>
      <c r="F19" s="2"/>
      <c r="G19" s="25"/>
      <c r="H19" s="25"/>
      <c r="I19" s="2">
        <f>SUM(I20:I25)</f>
        <v>581422.88</v>
      </c>
      <c r="J19" s="559">
        <f>SUM(J20:J25)</f>
        <v>0.27217992933833579</v>
      </c>
      <c r="L19" s="77"/>
    </row>
    <row r="20" spans="1:13" ht="25.5">
      <c r="A20" s="492" t="s">
        <v>48</v>
      </c>
      <c r="B20" s="3" t="s">
        <v>49</v>
      </c>
      <c r="C20" s="27" t="s">
        <v>24</v>
      </c>
      <c r="D20" s="27" t="s">
        <v>50</v>
      </c>
      <c r="E20" s="4" t="s">
        <v>21</v>
      </c>
      <c r="F20" s="6">
        <f>VLOOKUP(A20,'OBRA 04 - MEMÓRIA'!$A:$O,15,0)</f>
        <v>4143.26</v>
      </c>
      <c r="G20" s="6">
        <f>'OBRA 04 - ANALÍTICA'!J135</f>
        <v>1.98004779</v>
      </c>
      <c r="H20" s="46">
        <f t="shared" ref="H20:H21" si="4">G20*(1+$G$2)</f>
        <v>2.3952638115629998</v>
      </c>
      <c r="I20" s="6">
        <f>TRUNC(F20*H20,2)</f>
        <v>9924.2000000000007</v>
      </c>
      <c r="J20" s="560">
        <f t="shared" ref="J20:J25" si="5">I20/$H$52</f>
        <v>4.6457890593151613E-3</v>
      </c>
      <c r="L20" s="77"/>
    </row>
    <row r="21" spans="1:13" ht="51">
      <c r="A21" s="492" t="s">
        <v>51</v>
      </c>
      <c r="B21" s="3" t="s">
        <v>52</v>
      </c>
      <c r="C21" s="27" t="s">
        <v>24</v>
      </c>
      <c r="D21" s="27" t="s">
        <v>53</v>
      </c>
      <c r="E21" s="4" t="s">
        <v>28</v>
      </c>
      <c r="F21" s="6">
        <f>VLOOKUP(A21,'OBRA 04 - MEMÓRIA'!$A:$O,15,0)</f>
        <v>828.65200000000004</v>
      </c>
      <c r="G21" s="6">
        <f>'OBRA 04 - ANALÍTICA'!J148</f>
        <v>93.440669999999997</v>
      </c>
      <c r="H21" s="46">
        <f t="shared" si="4"/>
        <v>113.035178499</v>
      </c>
      <c r="I21" s="6">
        <f t="shared" ref="I21:I25" si="6">TRUNC(F21*H21,2)</f>
        <v>93666.82</v>
      </c>
      <c r="J21" s="560">
        <f t="shared" si="5"/>
        <v>4.3847996571697724E-2</v>
      </c>
      <c r="L21" s="77"/>
    </row>
    <row r="22" spans="1:13">
      <c r="A22" s="565" t="s">
        <v>411</v>
      </c>
      <c r="B22" s="71" t="s">
        <v>307</v>
      </c>
      <c r="C22" s="70" t="s">
        <v>24</v>
      </c>
      <c r="D22" s="70" t="s">
        <v>308</v>
      </c>
      <c r="E22" s="72" t="s">
        <v>28</v>
      </c>
      <c r="F22" s="73">
        <f>VLOOKUP(A22,'OBRA 04 - MEMÓRIA'!$A:$O,15,0)</f>
        <v>517.90750000000003</v>
      </c>
      <c r="G22" s="73">
        <f>'OBRA 04 - ANALÍTICA'!J168</f>
        <v>60.92</v>
      </c>
      <c r="H22" s="58">
        <f>G22*(1+$H$2)</f>
        <v>69.46098400000001</v>
      </c>
      <c r="I22" s="73">
        <f>TRUNC(F22*H22,2)</f>
        <v>35974.36</v>
      </c>
      <c r="J22" s="566">
        <f t="shared" si="5"/>
        <v>1.6840580409893488E-2</v>
      </c>
      <c r="L22" s="77"/>
    </row>
    <row r="23" spans="1:13" ht="38.25">
      <c r="A23" s="492" t="s">
        <v>309</v>
      </c>
      <c r="B23" s="79">
        <v>96396</v>
      </c>
      <c r="C23" s="27" t="s">
        <v>24</v>
      </c>
      <c r="D23" s="27" t="s">
        <v>412</v>
      </c>
      <c r="E23" s="4" t="s">
        <v>28</v>
      </c>
      <c r="F23" s="6">
        <f>VLOOKUP(A23,'OBRA 04 - MEMÓRIA'!$A:$O,15,0)</f>
        <v>828.65200000000004</v>
      </c>
      <c r="G23" s="80">
        <f>'OBRA 04 - ANALÍTICA'!J174</f>
        <v>234.43374999999997</v>
      </c>
      <c r="H23" s="46">
        <f t="shared" ref="H23:H25" si="7">G23*(1+$G$2)</f>
        <v>283.59450737499998</v>
      </c>
      <c r="I23" s="6">
        <f t="shared" si="6"/>
        <v>235001.15</v>
      </c>
      <c r="J23" s="560">
        <f t="shared" si="5"/>
        <v>0.11001045641930644</v>
      </c>
      <c r="K23" s="77"/>
      <c r="L23" s="77"/>
      <c r="M23" s="81"/>
    </row>
    <row r="24" spans="1:13" ht="51">
      <c r="A24" s="492" t="s">
        <v>326</v>
      </c>
      <c r="B24" s="3" t="s">
        <v>42</v>
      </c>
      <c r="C24" s="27" t="s">
        <v>24</v>
      </c>
      <c r="D24" s="27" t="s">
        <v>659</v>
      </c>
      <c r="E24" s="4" t="s">
        <v>28</v>
      </c>
      <c r="F24" s="6">
        <f>VLOOKUP(A24,'OBRA 04 - MEMÓRIA'!$A:$O,15,0)</f>
        <v>2071.63</v>
      </c>
      <c r="G24" s="6">
        <f>'OBRA 04 - ANALÍTICA'!J190</f>
        <v>7.8073019999999991</v>
      </c>
      <c r="H24" s="46">
        <f t="shared" si="7"/>
        <v>9.444493229399999</v>
      </c>
      <c r="I24" s="6">
        <f t="shared" si="6"/>
        <v>19565.490000000002</v>
      </c>
      <c r="J24" s="560">
        <f t="shared" si="5"/>
        <v>9.1591402210898804E-3</v>
      </c>
      <c r="K24" s="77"/>
      <c r="L24" s="77"/>
      <c r="M24" s="81"/>
    </row>
    <row r="25" spans="1:13" ht="25.5">
      <c r="A25" s="492" t="s">
        <v>327</v>
      </c>
      <c r="B25" s="3" t="s">
        <v>56</v>
      </c>
      <c r="C25" s="27" t="s">
        <v>24</v>
      </c>
      <c r="D25" s="27" t="s">
        <v>658</v>
      </c>
      <c r="E25" s="4" t="s">
        <v>36</v>
      </c>
      <c r="F25" s="6">
        <f>VLOOKUP(A25,'OBRA 04 - MEMÓRIA'!$A:$O,15,0)</f>
        <v>62148.9</v>
      </c>
      <c r="G25" s="6">
        <f>'OBRA 04 - ANALÍTICA'!J200</f>
        <v>2.4911820000000002</v>
      </c>
      <c r="H25" s="46">
        <f t="shared" si="7"/>
        <v>3.0135828654000001</v>
      </c>
      <c r="I25" s="6">
        <f t="shared" si="6"/>
        <v>187290.86</v>
      </c>
      <c r="J25" s="560">
        <f t="shared" si="5"/>
        <v>8.7675966657033061E-2</v>
      </c>
      <c r="K25" s="77"/>
      <c r="L25" s="77"/>
      <c r="M25" s="81"/>
    </row>
    <row r="26" spans="1:13">
      <c r="A26" s="518" t="s">
        <v>58</v>
      </c>
      <c r="B26" s="25"/>
      <c r="C26" s="25"/>
      <c r="D26" s="25" t="s">
        <v>59</v>
      </c>
      <c r="E26" s="25"/>
      <c r="F26" s="2"/>
      <c r="G26" s="25"/>
      <c r="H26" s="25"/>
      <c r="I26" s="2">
        <f>SUM(I27:I38)</f>
        <v>859927.17000000016</v>
      </c>
      <c r="J26" s="559">
        <f>SUM(J27:J38)</f>
        <v>0.40255539370365861</v>
      </c>
      <c r="K26" s="77"/>
      <c r="L26" s="77"/>
      <c r="M26" s="81"/>
    </row>
    <row r="27" spans="1:13" ht="25.5">
      <c r="A27" s="536" t="s">
        <v>335</v>
      </c>
      <c r="B27" s="3" t="s">
        <v>603</v>
      </c>
      <c r="C27" s="27" t="s">
        <v>27</v>
      </c>
      <c r="D27" s="27" t="s">
        <v>630</v>
      </c>
      <c r="E27" s="61" t="s">
        <v>28</v>
      </c>
      <c r="F27" s="6">
        <f>VLOOKUP(A27,'OBRA 04 - MEMÓRIA'!$A:$O,15,0)</f>
        <v>1296.135</v>
      </c>
      <c r="G27" s="46">
        <f>'OBRA 04 - ANALÍTICA'!J209</f>
        <v>116.68798715613828</v>
      </c>
      <c r="H27" s="46">
        <f t="shared" ref="H27:H35" si="8">G27*(1+$G$2)</f>
        <v>141.15745806278048</v>
      </c>
      <c r="I27" s="46">
        <f>TRUNC(F27*H27,2)</f>
        <v>182959.12</v>
      </c>
      <c r="J27" s="560">
        <f t="shared" ref="J27:J32" si="9">I27/$H$52</f>
        <v>8.5648160859104983E-2</v>
      </c>
      <c r="K27" s="77"/>
      <c r="L27" s="77"/>
      <c r="M27" s="81"/>
    </row>
    <row r="28" spans="1:13">
      <c r="A28" s="492" t="s">
        <v>336</v>
      </c>
      <c r="B28" s="3" t="s">
        <v>62</v>
      </c>
      <c r="C28" s="27" t="s">
        <v>27</v>
      </c>
      <c r="D28" s="27" t="s">
        <v>563</v>
      </c>
      <c r="E28" s="4" t="s">
        <v>21</v>
      </c>
      <c r="F28" s="6">
        <f>VLOOKUP(A28,'OBRA 04 - MEMÓRIA'!$A:$O,15,0)</f>
        <v>4143.26</v>
      </c>
      <c r="G28" s="6">
        <f>'OBRA 04 - ANALÍTICA'!J250</f>
        <v>0.39891387824278257</v>
      </c>
      <c r="H28" s="46">
        <f t="shared" si="8"/>
        <v>0.48256611851029407</v>
      </c>
      <c r="I28" s="6">
        <f t="shared" ref="I28:I38" si="10">TRUNC(F28*H28,2)</f>
        <v>1999.39</v>
      </c>
      <c r="J28" s="560">
        <f t="shared" si="9"/>
        <v>9.3596906423733305E-4</v>
      </c>
      <c r="K28" s="77"/>
      <c r="L28" s="77"/>
      <c r="M28" s="81"/>
    </row>
    <row r="29" spans="1:13">
      <c r="A29" s="492" t="s">
        <v>337</v>
      </c>
      <c r="B29" s="3" t="s">
        <v>63</v>
      </c>
      <c r="C29" s="27" t="s">
        <v>27</v>
      </c>
      <c r="D29" s="27" t="s">
        <v>564</v>
      </c>
      <c r="E29" s="4" t="s">
        <v>21</v>
      </c>
      <c r="F29" s="6">
        <f>VLOOKUP(A29,'OBRA 04 - MEMÓRIA'!$A:$O,15,0)</f>
        <v>8463.7099999999991</v>
      </c>
      <c r="G29" s="6">
        <f>'OBRA 04 - ANALÍTICA'!J273</f>
        <v>0.27620920000000004</v>
      </c>
      <c r="H29" s="46">
        <f t="shared" si="8"/>
        <v>0.33413026924000006</v>
      </c>
      <c r="I29" s="6">
        <f>TRUNC(F29*H29,2)</f>
        <v>2827.98</v>
      </c>
      <c r="J29" s="560">
        <f t="shared" si="9"/>
        <v>1.3238546728161554E-3</v>
      </c>
      <c r="K29" s="77"/>
      <c r="L29" s="77"/>
      <c r="M29" s="81"/>
    </row>
    <row r="30" spans="1:13">
      <c r="A30" s="492" t="s">
        <v>338</v>
      </c>
      <c r="B30" s="3" t="s">
        <v>60</v>
      </c>
      <c r="C30" s="27" t="s">
        <v>27</v>
      </c>
      <c r="D30" s="27" t="s">
        <v>565</v>
      </c>
      <c r="E30" s="4" t="s">
        <v>61</v>
      </c>
      <c r="F30" s="6">
        <f>VLOOKUP(A30,'OBRA 04 - MEMÓRIA'!$A:$O,15,0)</f>
        <v>1015.6451999999999</v>
      </c>
      <c r="G30" s="6">
        <f>'OBRA 04 - ANALÍTICA'!J296</f>
        <v>196.22979753012049</v>
      </c>
      <c r="H30" s="46">
        <f t="shared" si="8"/>
        <v>237.37918607218677</v>
      </c>
      <c r="I30" s="6">
        <f t="shared" si="10"/>
        <v>241093.03</v>
      </c>
      <c r="J30" s="560">
        <f t="shared" si="9"/>
        <v>0.11286223182232744</v>
      </c>
      <c r="K30" s="77"/>
      <c r="L30" s="77"/>
      <c r="M30" s="81"/>
    </row>
    <row r="31" spans="1:13" ht="25.5">
      <c r="A31" s="492" t="s">
        <v>339</v>
      </c>
      <c r="B31" s="3" t="s">
        <v>56</v>
      </c>
      <c r="C31" s="27" t="s">
        <v>24</v>
      </c>
      <c r="D31" s="27" t="s">
        <v>418</v>
      </c>
      <c r="E31" s="4" t="s">
        <v>36</v>
      </c>
      <c r="F31" s="6">
        <f>VLOOKUP(A31,'OBRA 04 - MEMÓRIA'!$A:$O,15,0)</f>
        <v>12695.565000000001</v>
      </c>
      <c r="G31" s="6">
        <f>'OBRA 04 - ANALÍTICA'!J327</f>
        <v>2.4911820000000002</v>
      </c>
      <c r="H31" s="46">
        <f t="shared" si="8"/>
        <v>3.0135828654000001</v>
      </c>
      <c r="I31" s="6">
        <f t="shared" si="10"/>
        <v>38259.129999999997</v>
      </c>
      <c r="J31" s="560">
        <f t="shared" si="9"/>
        <v>1.7910143646129306E-2</v>
      </c>
      <c r="K31" s="77"/>
      <c r="L31" s="77"/>
      <c r="M31" s="81"/>
    </row>
    <row r="32" spans="1:13" ht="25.5">
      <c r="A32" s="536" t="s">
        <v>340</v>
      </c>
      <c r="B32" s="44" t="s">
        <v>56</v>
      </c>
      <c r="C32" s="43" t="s">
        <v>24</v>
      </c>
      <c r="D32" s="43" t="s">
        <v>419</v>
      </c>
      <c r="E32" s="45" t="s">
        <v>36</v>
      </c>
      <c r="F32" s="46">
        <f>'OBRA 04 - MEMÓRIA'!O58</f>
        <v>9721.0125000000007</v>
      </c>
      <c r="G32" s="46">
        <f>'OBRA 04 - ANALÍTICA'!J335</f>
        <v>2.4911820000000002</v>
      </c>
      <c r="H32" s="46">
        <f t="shared" si="8"/>
        <v>3.0135828654000001</v>
      </c>
      <c r="I32" s="46">
        <f>TRUNC(F32*H32,2)</f>
        <v>29295.07</v>
      </c>
      <c r="J32" s="560">
        <f t="shared" si="9"/>
        <v>1.3713822343148243E-2</v>
      </c>
      <c r="K32" s="77"/>
      <c r="L32" s="77"/>
      <c r="M32" s="81"/>
    </row>
    <row r="33" spans="1:12" ht="38.25">
      <c r="A33" s="536" t="s">
        <v>341</v>
      </c>
      <c r="B33" s="3" t="s">
        <v>64</v>
      </c>
      <c r="C33" s="27" t="s">
        <v>24</v>
      </c>
      <c r="D33" s="27" t="s">
        <v>65</v>
      </c>
      <c r="E33" s="4" t="s">
        <v>66</v>
      </c>
      <c r="F33" s="6">
        <f>VLOOKUP(A33,'OBRA 04 - MEMÓRIA'!$A:$O,15,0)</f>
        <v>2240.8159934400001</v>
      </c>
      <c r="G33" s="6">
        <f>'OBRA 04 - ANALÍTICA'!J343</f>
        <v>1.425548</v>
      </c>
      <c r="H33" s="46">
        <f t="shared" si="8"/>
        <v>1.7244854156</v>
      </c>
      <c r="I33" s="6">
        <f t="shared" si="10"/>
        <v>3864.25</v>
      </c>
      <c r="J33" s="560">
        <f t="shared" ref="J33:J38" si="11">I33/$H$52</f>
        <v>1.8089609613327635E-3</v>
      </c>
      <c r="L33" s="77"/>
    </row>
    <row r="34" spans="1:12" ht="38.25">
      <c r="A34" s="536" t="s">
        <v>342</v>
      </c>
      <c r="B34" s="3" t="s">
        <v>67</v>
      </c>
      <c r="C34" s="27" t="s">
        <v>24</v>
      </c>
      <c r="D34" s="27" t="s">
        <v>68</v>
      </c>
      <c r="E34" s="4" t="s">
        <v>66</v>
      </c>
      <c r="F34" s="6">
        <f>VLOOKUP(A34,'OBRA 04 - MEMÓRIA'!$A:$O,15,0)</f>
        <v>35106.117230559998</v>
      </c>
      <c r="G34" s="6">
        <f>'OBRA 04 - ANALÍTICA'!J351</f>
        <v>0.56272500000000003</v>
      </c>
      <c r="H34" s="46">
        <f t="shared" si="8"/>
        <v>0.68072843250000004</v>
      </c>
      <c r="I34" s="6">
        <f t="shared" si="10"/>
        <v>23897.73</v>
      </c>
      <c r="J34" s="560">
        <f t="shared" si="11"/>
        <v>1.1187180082673435E-2</v>
      </c>
      <c r="L34" s="77"/>
    </row>
    <row r="35" spans="1:12">
      <c r="A35" s="536" t="s">
        <v>343</v>
      </c>
      <c r="B35" s="3" t="s">
        <v>69</v>
      </c>
      <c r="C35" s="27" t="s">
        <v>19</v>
      </c>
      <c r="D35" s="27" t="s">
        <v>70</v>
      </c>
      <c r="E35" s="4" t="s">
        <v>21</v>
      </c>
      <c r="F35" s="6">
        <f>VLOOKUP(A35,'OBRA 04 - MEMÓRIA'!$A:$O,15,0)</f>
        <v>8463.7099999999991</v>
      </c>
      <c r="G35" s="6">
        <f>'OBRA 04 - ANALÍTICA'!J359</f>
        <v>0.58518999999999999</v>
      </c>
      <c r="H35" s="46">
        <f t="shared" si="8"/>
        <v>0.70790434299999994</v>
      </c>
      <c r="I35" s="6">
        <f t="shared" si="10"/>
        <v>5991.49</v>
      </c>
      <c r="J35" s="560">
        <f t="shared" si="11"/>
        <v>2.8047801022748628E-3</v>
      </c>
      <c r="L35" s="77"/>
    </row>
    <row r="36" spans="1:12">
      <c r="A36" s="536" t="s">
        <v>344</v>
      </c>
      <c r="B36" s="71" t="s">
        <v>303</v>
      </c>
      <c r="C36" s="71" t="s">
        <v>303</v>
      </c>
      <c r="D36" s="70" t="s">
        <v>304</v>
      </c>
      <c r="E36" s="72" t="s">
        <v>306</v>
      </c>
      <c r="F36" s="73">
        <f>VLOOKUP(A36,'OBRA 04 - MEMÓRIA'!$A:$O,15,0)</f>
        <v>3.8086694999999997</v>
      </c>
      <c r="G36" s="73">
        <f>'OBRA 04 - ANALÍTICA'!J366</f>
        <v>3037.47</v>
      </c>
      <c r="H36" s="58">
        <f>G36*(1+$H$2)</f>
        <v>3463.3232940000003</v>
      </c>
      <c r="I36" s="73">
        <f t="shared" si="10"/>
        <v>13190.65</v>
      </c>
      <c r="J36" s="566">
        <f t="shared" si="11"/>
        <v>6.1749035141629074E-3</v>
      </c>
      <c r="L36" s="77"/>
    </row>
    <row r="37" spans="1:12">
      <c r="A37" s="536" t="s">
        <v>420</v>
      </c>
      <c r="B37" s="71" t="s">
        <v>303</v>
      </c>
      <c r="C37" s="71" t="s">
        <v>303</v>
      </c>
      <c r="D37" s="70" t="s">
        <v>305</v>
      </c>
      <c r="E37" s="72" t="s">
        <v>306</v>
      </c>
      <c r="F37" s="73">
        <f>VLOOKUP(A37,'OBRA 04 - MEMÓRIA'!$A:$O,15,0)</f>
        <v>5.3862379999999996</v>
      </c>
      <c r="G37" s="73">
        <f>'OBRA 04 - ANALÍTICA'!J372</f>
        <v>2554.84</v>
      </c>
      <c r="H37" s="58">
        <f t="shared" ref="H37:H38" si="12">G37*(1+$H$2)</f>
        <v>2913.0285680000006</v>
      </c>
      <c r="I37" s="73">
        <f t="shared" si="10"/>
        <v>15690.26</v>
      </c>
      <c r="J37" s="566">
        <f t="shared" si="11"/>
        <v>7.3450392218829021E-3</v>
      </c>
      <c r="L37" s="77"/>
    </row>
    <row r="38" spans="1:12">
      <c r="A38" s="536" t="s">
        <v>421</v>
      </c>
      <c r="B38" s="71" t="s">
        <v>303</v>
      </c>
      <c r="C38" s="71" t="s">
        <v>303</v>
      </c>
      <c r="D38" s="70" t="s">
        <v>310</v>
      </c>
      <c r="E38" s="72" t="s">
        <v>306</v>
      </c>
      <c r="F38" s="73">
        <f>VLOOKUP(A38,'OBRA 04 - MEMÓRIA'!$A:$O,15,0)</f>
        <v>65.498958947999995</v>
      </c>
      <c r="G38" s="73">
        <f>'OBRA 04 - ANALÍTICA'!J378</f>
        <v>4028.54</v>
      </c>
      <c r="H38" s="58">
        <f t="shared" si="12"/>
        <v>4593.341308</v>
      </c>
      <c r="I38" s="73">
        <f t="shared" si="10"/>
        <v>300859.07</v>
      </c>
      <c r="J38" s="566">
        <f t="shared" si="11"/>
        <v>0.14084034741356827</v>
      </c>
      <c r="L38" s="77"/>
    </row>
    <row r="39" spans="1:12">
      <c r="A39" s="518" t="s">
        <v>71</v>
      </c>
      <c r="B39" s="25"/>
      <c r="C39" s="25"/>
      <c r="D39" s="25" t="s">
        <v>72</v>
      </c>
      <c r="E39" s="25"/>
      <c r="F39" s="2"/>
      <c r="G39" s="25"/>
      <c r="H39" s="25"/>
      <c r="I39" s="2">
        <f>SUM(I40:I41)</f>
        <v>123975.91999999998</v>
      </c>
      <c r="J39" s="559">
        <f>SUM(J40:J41)</f>
        <v>5.8036514051967067E-2</v>
      </c>
      <c r="L39" s="77"/>
    </row>
    <row r="40" spans="1:12" ht="51">
      <c r="A40" s="492" t="s">
        <v>73</v>
      </c>
      <c r="B40" s="3" t="s">
        <v>74</v>
      </c>
      <c r="C40" s="27" t="s">
        <v>24</v>
      </c>
      <c r="D40" s="27" t="s">
        <v>75</v>
      </c>
      <c r="E40" s="4" t="s">
        <v>76</v>
      </c>
      <c r="F40" s="6">
        <f>VLOOKUP(A40,'OBRA 04 - MEMÓRIA'!$A:$O,15,0)</f>
        <v>1362.0000000000002</v>
      </c>
      <c r="G40" s="6">
        <f>'OBRA 04 - ANALÍTICA'!J385</f>
        <v>50.003387999999994</v>
      </c>
      <c r="H40" s="46">
        <f t="shared" ref="H40:H41" si="13">G40*(1+$G$2)</f>
        <v>60.489098463599994</v>
      </c>
      <c r="I40" s="6">
        <f t="shared" ref="I40:I41" si="14">TRUNC(F40*H40,2)</f>
        <v>82386.149999999994</v>
      </c>
      <c r="J40" s="560">
        <f t="shared" ref="J40:J41" si="15">I40/$H$52</f>
        <v>3.8567206858900235E-2</v>
      </c>
      <c r="L40" s="77"/>
    </row>
    <row r="41" spans="1:12" ht="25.5">
      <c r="A41" s="492" t="s">
        <v>77</v>
      </c>
      <c r="B41" s="3" t="s">
        <v>78</v>
      </c>
      <c r="C41" s="27" t="s">
        <v>24</v>
      </c>
      <c r="D41" s="27" t="s">
        <v>79</v>
      </c>
      <c r="E41" s="4" t="s">
        <v>76</v>
      </c>
      <c r="F41" s="6">
        <f>VLOOKUP(A41,'OBRA 04 - MEMÓRIA'!$A:$O,15,0)</f>
        <v>825.43000000000006</v>
      </c>
      <c r="G41" s="6">
        <f>'OBRA 04 - ANALÍTICA'!J396</f>
        <v>41.651311</v>
      </c>
      <c r="H41" s="46">
        <f t="shared" si="13"/>
        <v>50.385590916699996</v>
      </c>
      <c r="I41" s="6">
        <f t="shared" si="14"/>
        <v>41589.769999999997</v>
      </c>
      <c r="J41" s="560">
        <f t="shared" si="15"/>
        <v>1.9469307193066835E-2</v>
      </c>
      <c r="L41" s="77"/>
    </row>
    <row r="42" spans="1:12">
      <c r="A42" s="518" t="s">
        <v>80</v>
      </c>
      <c r="B42" s="25"/>
      <c r="C42" s="25"/>
      <c r="D42" s="25" t="s">
        <v>81</v>
      </c>
      <c r="E42" s="25"/>
      <c r="F42" s="2"/>
      <c r="G42" s="25"/>
      <c r="H42" s="25"/>
      <c r="I42" s="2">
        <f>SUM(I43:I46)</f>
        <v>138167.41999999998</v>
      </c>
      <c r="J42" s="559">
        <f>SUM(J43:J46)</f>
        <v>6.4679942785292807E-2</v>
      </c>
      <c r="L42" s="77"/>
    </row>
    <row r="43" spans="1:12" ht="30" customHeight="1">
      <c r="A43" s="492" t="s">
        <v>372</v>
      </c>
      <c r="B43" s="3" t="s">
        <v>82</v>
      </c>
      <c r="C43" s="27" t="s">
        <v>24</v>
      </c>
      <c r="D43" s="27" t="s">
        <v>83</v>
      </c>
      <c r="E43" s="4" t="s">
        <v>21</v>
      </c>
      <c r="F43" s="6">
        <f>VLOOKUP(A43,'OBRA 04 - MEMÓRIA'!$A:$O,15,0)</f>
        <v>170.57</v>
      </c>
      <c r="G43" s="6">
        <f>'OBRA 04 - ANALÍTICA'!J409</f>
        <v>81.545006000000001</v>
      </c>
      <c r="H43" s="46">
        <f t="shared" ref="H43:H46" si="16">G43*(1+$G$2)</f>
        <v>98.644993758200002</v>
      </c>
      <c r="I43" s="6">
        <f t="shared" ref="I43" si="17">TRUNC(F43*H43,2)</f>
        <v>16825.87</v>
      </c>
      <c r="J43" s="560">
        <f t="shared" ref="J43:J46" si="18">I43/$H$52</f>
        <v>7.8766492774691339E-3</v>
      </c>
      <c r="L43" s="77"/>
    </row>
    <row r="44" spans="1:12" ht="42" customHeight="1">
      <c r="A44" s="492" t="s">
        <v>373</v>
      </c>
      <c r="B44" s="3" t="s">
        <v>422</v>
      </c>
      <c r="C44" s="27" t="s">
        <v>24</v>
      </c>
      <c r="D44" s="27" t="s">
        <v>423</v>
      </c>
      <c r="E44" s="4" t="s">
        <v>21</v>
      </c>
      <c r="F44" s="6">
        <f>VLOOKUP(A44,'OBRA 04 - MEMÓRIA'!$A:$O,15,0)</f>
        <v>1242.79</v>
      </c>
      <c r="G44" s="6">
        <f>'OBRA 04 - ANALÍTICA'!J424</f>
        <v>79.956769999999992</v>
      </c>
      <c r="H44" s="46">
        <f t="shared" si="16"/>
        <v>96.723704668999986</v>
      </c>
      <c r="I44" s="6">
        <f>TRUNC(F44*H44,2)</f>
        <v>120207.25</v>
      </c>
      <c r="J44" s="560">
        <f t="shared" si="18"/>
        <v>5.6272296699014769E-2</v>
      </c>
      <c r="L44" s="77"/>
    </row>
    <row r="45" spans="1:12" ht="55.15" customHeight="1">
      <c r="A45" s="492" t="s">
        <v>374</v>
      </c>
      <c r="B45" s="3" t="s">
        <v>42</v>
      </c>
      <c r="C45" s="27" t="s">
        <v>24</v>
      </c>
      <c r="D45" s="27" t="s">
        <v>667</v>
      </c>
      <c r="E45" s="4" t="s">
        <v>28</v>
      </c>
      <c r="F45" s="6">
        <f>VLOOKUP(A45,'OBRA 04 - MEMÓRIA'!$A:$O,15,0)</f>
        <v>11.359961999999999</v>
      </c>
      <c r="G45" s="6">
        <f>'OBRA 04 - ANALÍTICA'!J437</f>
        <v>7.8073019999999991</v>
      </c>
      <c r="H45" s="46">
        <f t="shared" si="16"/>
        <v>9.444493229399999</v>
      </c>
      <c r="I45" s="6">
        <f>TRUNC(F45*H45,2)</f>
        <v>107.28</v>
      </c>
      <c r="J45" s="560">
        <f t="shared" si="18"/>
        <v>5.0220697918555701E-5</v>
      </c>
    </row>
    <row r="46" spans="1:12" ht="38.25">
      <c r="A46" s="492" t="s">
        <v>424</v>
      </c>
      <c r="B46" s="3" t="s">
        <v>56</v>
      </c>
      <c r="C46" s="27" t="s">
        <v>24</v>
      </c>
      <c r="D46" s="27" t="s">
        <v>653</v>
      </c>
      <c r="E46" s="4" t="s">
        <v>36</v>
      </c>
      <c r="F46" s="6">
        <f>VLOOKUP(A46,'OBRA 04 - MEMÓRIA'!$A:$O,15,0)</f>
        <v>340.79885999999999</v>
      </c>
      <c r="G46" s="6">
        <f>'OBRA 04 - ANALÍTICA'!J447</f>
        <v>2.4911820000000002</v>
      </c>
      <c r="H46" s="46">
        <f t="shared" si="16"/>
        <v>3.0135828654000001</v>
      </c>
      <c r="I46" s="6">
        <f>TRUNC(F46*H46,2)</f>
        <v>1027.02</v>
      </c>
      <c r="J46" s="560">
        <f t="shared" si="18"/>
        <v>4.8077611089033438E-4</v>
      </c>
    </row>
    <row r="47" spans="1:12">
      <c r="A47" s="518">
        <v>6</v>
      </c>
      <c r="B47" s="25"/>
      <c r="C47" s="25"/>
      <c r="D47" s="25" t="s">
        <v>329</v>
      </c>
      <c r="E47" s="25"/>
      <c r="F47" s="2"/>
      <c r="G47" s="25"/>
      <c r="H47" s="25"/>
      <c r="I47" s="2">
        <f>SUM(I48:I48)</f>
        <v>29427.48</v>
      </c>
      <c r="J47" s="559">
        <f>SUM(J48:J48)</f>
        <v>1.3775807080390935E-2</v>
      </c>
    </row>
    <row r="48" spans="1:12" ht="42" customHeight="1">
      <c r="A48" s="492" t="s">
        <v>375</v>
      </c>
      <c r="B48" s="3" t="s">
        <v>330</v>
      </c>
      <c r="C48" s="27" t="s">
        <v>24</v>
      </c>
      <c r="D48" s="27" t="s">
        <v>331</v>
      </c>
      <c r="E48" s="4" t="s">
        <v>76</v>
      </c>
      <c r="F48" s="6">
        <f>VLOOKUP(A48,'OBRA 04 - MEMÓRIA'!$A:$O,15,0)</f>
        <v>3808.3028571428567</v>
      </c>
      <c r="G48" s="6">
        <f>'OBRA 04 - ANALÍTICA'!J456</f>
        <v>6.3876930000000005</v>
      </c>
      <c r="H48" s="46">
        <f t="shared" ref="H48" si="19">G48*(1+$G$2)</f>
        <v>7.7271922221000002</v>
      </c>
      <c r="I48" s="6">
        <f>TRUNC(F48*H48,2)</f>
        <v>29427.48</v>
      </c>
      <c r="J48" s="560">
        <f t="shared" ref="J48" si="20">I48/$H$52</f>
        <v>1.3775807080390935E-2</v>
      </c>
    </row>
    <row r="49" spans="1:10">
      <c r="A49" s="518">
        <v>7</v>
      </c>
      <c r="B49" s="25"/>
      <c r="C49" s="25"/>
      <c r="D49" s="25" t="s">
        <v>87</v>
      </c>
      <c r="E49" s="25"/>
      <c r="F49" s="2"/>
      <c r="G49" s="25"/>
      <c r="H49" s="25"/>
      <c r="I49" s="2">
        <f>SUM(I50:I50)</f>
        <v>89351.89</v>
      </c>
      <c r="J49" s="559">
        <f>SUM(J50:J50)</f>
        <v>4.1828059993866684E-2</v>
      </c>
    </row>
    <row r="50" spans="1:10">
      <c r="A50" s="492" t="s">
        <v>376</v>
      </c>
      <c r="B50" s="3" t="s">
        <v>88</v>
      </c>
      <c r="C50" s="27" t="s">
        <v>19</v>
      </c>
      <c r="D50" s="27" t="s">
        <v>89</v>
      </c>
      <c r="E50" s="4" t="s">
        <v>90</v>
      </c>
      <c r="F50" s="6">
        <f>VLOOKUP(A50,'OBRA 04 - MEMÓRIA'!$A:$O,15,0)</f>
        <v>1.45</v>
      </c>
      <c r="G50" s="6">
        <f>'OBRA 04 - ANALÍTICA'!J471</f>
        <v>50939.899999999994</v>
      </c>
      <c r="H50" s="46">
        <f t="shared" ref="H50" si="21">G50*(1+$G$2)</f>
        <v>61621.997029999991</v>
      </c>
      <c r="I50" s="6">
        <f>TRUNC(F50*H50,2)</f>
        <v>89351.89</v>
      </c>
      <c r="J50" s="560">
        <f t="shared" ref="J50" si="22">I50/$H$52</f>
        <v>4.1828059993866684E-2</v>
      </c>
    </row>
    <row r="51" spans="1:10">
      <c r="A51" s="527"/>
      <c r="B51" s="20"/>
      <c r="C51" s="20"/>
      <c r="D51" s="20"/>
      <c r="E51" s="20"/>
      <c r="F51" s="647"/>
      <c r="G51" s="20"/>
      <c r="H51" s="20"/>
      <c r="I51" s="20"/>
      <c r="J51" s="528"/>
    </row>
    <row r="52" spans="1:10">
      <c r="A52" s="1186"/>
      <c r="B52" s="1187"/>
      <c r="C52" s="1187"/>
      <c r="D52" s="569"/>
      <c r="E52" s="568"/>
      <c r="F52" s="1187" t="s">
        <v>328</v>
      </c>
      <c r="G52" s="1187"/>
      <c r="H52" s="1188">
        <f>I49+I42+I39+I18+I14+I7+I47</f>
        <v>2136171.0300000003</v>
      </c>
      <c r="I52" s="1187"/>
      <c r="J52" s="1189"/>
    </row>
    <row r="53" spans="1:10">
      <c r="A53" s="1084"/>
      <c r="B53" s="1084"/>
      <c r="C53" s="1084"/>
      <c r="D53" s="21"/>
      <c r="E53" s="14"/>
      <c r="F53" s="1183"/>
      <c r="G53" s="1084"/>
      <c r="H53" s="1184"/>
      <c r="I53" s="1084"/>
      <c r="J53" s="1084"/>
    </row>
    <row r="54" spans="1:10">
      <c r="A54" s="1084"/>
      <c r="B54" s="1084"/>
      <c r="C54" s="1084"/>
      <c r="D54" s="21"/>
      <c r="E54" s="14"/>
      <c r="F54" s="1183"/>
      <c r="G54" s="1084"/>
      <c r="H54" s="1184"/>
      <c r="I54" s="1084"/>
      <c r="J54" s="1084"/>
    </row>
  </sheetData>
  <mergeCells count="19">
    <mergeCell ref="A54:C54"/>
    <mergeCell ref="F54:G54"/>
    <mergeCell ref="H54:J54"/>
    <mergeCell ref="A3:D3"/>
    <mergeCell ref="E3:J3"/>
    <mergeCell ref="A53:C53"/>
    <mergeCell ref="F53:G53"/>
    <mergeCell ref="H53:J53"/>
    <mergeCell ref="A4:D4"/>
    <mergeCell ref="E4:J4"/>
    <mergeCell ref="A52:C52"/>
    <mergeCell ref="F52:G52"/>
    <mergeCell ref="H52:J52"/>
    <mergeCell ref="A5:J5"/>
    <mergeCell ref="A1:C2"/>
    <mergeCell ref="D1:F1"/>
    <mergeCell ref="G1:H1"/>
    <mergeCell ref="I1:J2"/>
    <mergeCell ref="D2:F2"/>
  </mergeCells>
  <phoneticPr fontId="18" type="noConversion"/>
  <conditionalFormatting sqref="D12">
    <cfRule type="duplicateValues" dxfId="15" priority="1"/>
  </conditionalFormatting>
  <pageMargins left="0.511811024" right="0.511811024" top="0.78740157499999996" bottom="0.78740157499999996" header="0.31496062000000002" footer="0.31496062000000002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98"/>
  <sheetViews>
    <sheetView zoomScale="90" zoomScaleNormal="90" workbookViewId="0">
      <selection activeCell="A5" sqref="A5:O5"/>
    </sheetView>
  </sheetViews>
  <sheetFormatPr defaultColWidth="9" defaultRowHeight="14.25"/>
  <cols>
    <col min="1" max="1" width="6" customWidth="1"/>
    <col min="2" max="2" width="8.625" bestFit="1" customWidth="1"/>
    <col min="3" max="3" width="6.875" customWidth="1"/>
    <col min="4" max="4" width="60" bestFit="1" customWidth="1"/>
    <col min="5" max="5" width="8.625" customWidth="1"/>
    <col min="6" max="14" width="10.75" customWidth="1"/>
    <col min="15" max="15" width="13" customWidth="1"/>
  </cols>
  <sheetData>
    <row r="1" spans="1:15" ht="15" customHeight="1">
      <c r="A1" s="1005"/>
      <c r="B1" s="1006"/>
      <c r="C1" s="1006"/>
      <c r="D1" s="1005" t="s">
        <v>0</v>
      </c>
      <c r="E1" s="1006"/>
      <c r="F1" s="1006"/>
      <c r="G1" s="1007" t="s">
        <v>1</v>
      </c>
      <c r="H1" s="1007"/>
      <c r="I1" s="1011"/>
      <c r="J1" s="1012"/>
      <c r="K1" s="1012"/>
      <c r="L1" s="1012"/>
      <c r="M1" s="1012"/>
      <c r="N1" s="1012"/>
      <c r="O1" s="1013"/>
    </row>
    <row r="2" spans="1:15" ht="54.6" customHeight="1">
      <c r="A2" s="1006"/>
      <c r="B2" s="1006"/>
      <c r="C2" s="1006"/>
      <c r="D2" s="1009" t="s">
        <v>3</v>
      </c>
      <c r="E2" s="1010"/>
      <c r="F2" s="1010"/>
      <c r="G2" s="580">
        <v>0.2097</v>
      </c>
      <c r="H2" s="580">
        <v>0.14019999999999999</v>
      </c>
      <c r="I2" s="1014"/>
      <c r="J2" s="1015"/>
      <c r="K2" s="1015"/>
      <c r="L2" s="1015"/>
      <c r="M2" s="1015"/>
      <c r="N2" s="1015"/>
      <c r="O2" s="1016"/>
    </row>
    <row r="3" spans="1:15" ht="15.6" customHeight="1">
      <c r="A3" s="979" t="s">
        <v>732</v>
      </c>
      <c r="B3" s="1018"/>
      <c r="C3" s="1018"/>
      <c r="D3" s="1018"/>
      <c r="E3" s="1019" t="s">
        <v>738</v>
      </c>
      <c r="F3" s="991"/>
      <c r="G3" s="991"/>
      <c r="H3" s="991"/>
      <c r="I3" s="991"/>
      <c r="J3" s="991"/>
      <c r="K3" s="991"/>
      <c r="L3" s="991"/>
      <c r="M3" s="991"/>
      <c r="N3" s="991"/>
      <c r="O3" s="991"/>
    </row>
    <row r="4" spans="1:15" ht="15.6" customHeight="1">
      <c r="A4" s="977" t="s">
        <v>739</v>
      </c>
      <c r="B4" s="978"/>
      <c r="C4" s="978"/>
      <c r="D4" s="978"/>
      <c r="E4" s="1017" t="s">
        <v>5</v>
      </c>
      <c r="F4" s="991"/>
      <c r="G4" s="991"/>
      <c r="H4" s="991"/>
      <c r="I4" s="991"/>
      <c r="J4" s="991"/>
      <c r="K4" s="991"/>
      <c r="L4" s="991"/>
      <c r="M4" s="991"/>
      <c r="N4" s="991"/>
      <c r="O4" s="991"/>
    </row>
    <row r="5" spans="1:15" ht="21" customHeight="1">
      <c r="A5" s="1233" t="s">
        <v>345</v>
      </c>
      <c r="B5" s="1234"/>
      <c r="C5" s="1234"/>
      <c r="D5" s="1234"/>
      <c r="E5" s="1234"/>
      <c r="F5" s="1234"/>
      <c r="G5" s="1234"/>
      <c r="H5" s="1234"/>
      <c r="I5" s="1234"/>
      <c r="J5" s="1234"/>
      <c r="K5" s="1234"/>
      <c r="L5" s="1234"/>
      <c r="M5" s="1234"/>
      <c r="N5" s="1234"/>
      <c r="O5" s="1235"/>
    </row>
    <row r="6" spans="1:15" ht="30" customHeight="1">
      <c r="A6" s="557" t="s">
        <v>6</v>
      </c>
      <c r="B6" s="66" t="s">
        <v>7</v>
      </c>
      <c r="C6" s="66" t="s">
        <v>8</v>
      </c>
      <c r="D6" s="66" t="s">
        <v>9</v>
      </c>
      <c r="E6" s="66" t="s">
        <v>10</v>
      </c>
      <c r="F6" s="66" t="s">
        <v>312</v>
      </c>
      <c r="G6" s="66" t="s">
        <v>313</v>
      </c>
      <c r="H6" s="66" t="s">
        <v>314</v>
      </c>
      <c r="I6" s="66" t="s">
        <v>315</v>
      </c>
      <c r="J6" s="66" t="s">
        <v>316</v>
      </c>
      <c r="K6" s="66" t="s">
        <v>484</v>
      </c>
      <c r="L6" s="66" t="s">
        <v>426</v>
      </c>
      <c r="M6" s="66" t="s">
        <v>427</v>
      </c>
      <c r="N6" s="66" t="s">
        <v>428</v>
      </c>
      <c r="O6" s="558" t="s">
        <v>14</v>
      </c>
    </row>
    <row r="7" spans="1:15" ht="15.6" customHeight="1">
      <c r="A7" s="518" t="s">
        <v>16</v>
      </c>
      <c r="B7" s="25"/>
      <c r="C7" s="25"/>
      <c r="D7" s="25" t="s">
        <v>17</v>
      </c>
      <c r="E7" s="25"/>
      <c r="F7" s="1"/>
      <c r="G7" s="25"/>
      <c r="H7" s="25"/>
      <c r="I7" s="2"/>
      <c r="J7" s="2"/>
      <c r="K7" s="2"/>
      <c r="L7" s="2"/>
      <c r="M7" s="2"/>
      <c r="N7" s="2"/>
      <c r="O7" s="519"/>
    </row>
    <row r="8" spans="1:15" ht="15.6" customHeight="1">
      <c r="A8" s="492" t="s">
        <v>18</v>
      </c>
      <c r="B8" s="3" t="s">
        <v>302</v>
      </c>
      <c r="C8" s="27" t="s">
        <v>19</v>
      </c>
      <c r="D8" s="27" t="s">
        <v>20</v>
      </c>
      <c r="E8" s="4" t="s">
        <v>21</v>
      </c>
      <c r="F8" s="3"/>
      <c r="G8" s="6"/>
      <c r="H8" s="6"/>
      <c r="I8" s="6"/>
      <c r="J8" s="6"/>
      <c r="K8" s="6"/>
      <c r="L8" s="6"/>
      <c r="M8" s="6"/>
      <c r="N8" s="6"/>
      <c r="O8" s="615">
        <f>O9</f>
        <v>6</v>
      </c>
    </row>
    <row r="9" spans="1:15" ht="15.6" customHeight="1">
      <c r="A9" s="616"/>
      <c r="B9" s="33"/>
      <c r="C9" s="32"/>
      <c r="D9" s="32"/>
      <c r="E9" s="37"/>
      <c r="F9" s="33"/>
      <c r="G9" s="38"/>
      <c r="H9" s="38"/>
      <c r="I9" s="38">
        <v>6</v>
      </c>
      <c r="J9" s="38"/>
      <c r="K9" s="38"/>
      <c r="L9" s="38"/>
      <c r="M9" s="38"/>
      <c r="N9" s="38"/>
      <c r="O9" s="617">
        <f>I9</f>
        <v>6</v>
      </c>
    </row>
    <row r="10" spans="1:15" ht="15.6" customHeight="1">
      <c r="A10" s="492" t="s">
        <v>22</v>
      </c>
      <c r="B10" s="3" t="s">
        <v>23</v>
      </c>
      <c r="C10" s="27" t="s">
        <v>24</v>
      </c>
      <c r="D10" s="27" t="s">
        <v>25</v>
      </c>
      <c r="E10" s="4" t="s">
        <v>21</v>
      </c>
      <c r="F10" s="3"/>
      <c r="G10" s="6"/>
      <c r="H10" s="6"/>
      <c r="I10" s="6"/>
      <c r="J10" s="6"/>
      <c r="K10" s="6"/>
      <c r="L10" s="6"/>
      <c r="M10" s="6"/>
      <c r="N10" s="6"/>
      <c r="O10" s="615">
        <f>O11</f>
        <v>156.11000000000001</v>
      </c>
    </row>
    <row r="11" spans="1:15" ht="15.6" customHeight="1">
      <c r="A11" s="616"/>
      <c r="B11" s="33"/>
      <c r="C11" s="32"/>
      <c r="D11" s="32"/>
      <c r="E11" s="37"/>
      <c r="F11" s="33"/>
      <c r="G11" s="38"/>
      <c r="H11" s="38"/>
      <c r="I11" s="38">
        <v>156.11000000000001</v>
      </c>
      <c r="J11" s="38"/>
      <c r="K11" s="38"/>
      <c r="L11" s="38"/>
      <c r="M11" s="38"/>
      <c r="N11" s="38"/>
      <c r="O11" s="617">
        <f>I11</f>
        <v>156.11000000000001</v>
      </c>
    </row>
    <row r="12" spans="1:15" ht="15.6" customHeight="1">
      <c r="A12" s="492" t="s">
        <v>332</v>
      </c>
      <c r="B12" s="3" t="s">
        <v>29</v>
      </c>
      <c r="C12" s="27" t="s">
        <v>30</v>
      </c>
      <c r="D12" s="27" t="s">
        <v>664</v>
      </c>
      <c r="E12" s="4" t="s">
        <v>31</v>
      </c>
      <c r="F12" s="3"/>
      <c r="G12" s="6"/>
      <c r="H12" s="6"/>
      <c r="I12" s="6"/>
      <c r="J12" s="6"/>
      <c r="K12" s="6"/>
      <c r="L12" s="6"/>
      <c r="M12" s="6"/>
      <c r="N12" s="6"/>
      <c r="O12" s="615">
        <f>SUM(O13:O14)</f>
        <v>66.36</v>
      </c>
    </row>
    <row r="13" spans="1:15" ht="15.6" customHeight="1">
      <c r="A13" s="616"/>
      <c r="B13" s="33"/>
      <c r="C13" s="32"/>
      <c r="D13" s="33" t="s">
        <v>430</v>
      </c>
      <c r="E13" s="37"/>
      <c r="F13" s="33">
        <v>44.79</v>
      </c>
      <c r="G13" s="38"/>
      <c r="H13" s="38"/>
      <c r="I13" s="38"/>
      <c r="J13" s="38"/>
      <c r="K13" s="38"/>
      <c r="L13" s="38"/>
      <c r="M13" s="38"/>
      <c r="N13" s="38"/>
      <c r="O13" s="617">
        <f>F13</f>
        <v>44.79</v>
      </c>
    </row>
    <row r="14" spans="1:15">
      <c r="A14" s="616"/>
      <c r="B14" s="33"/>
      <c r="C14" s="32"/>
      <c r="D14" s="33" t="s">
        <v>645</v>
      </c>
      <c r="E14" s="37"/>
      <c r="F14" s="33">
        <v>21.57</v>
      </c>
      <c r="G14" s="38"/>
      <c r="H14" s="38"/>
      <c r="I14" s="38"/>
      <c r="J14" s="38"/>
      <c r="K14" s="38"/>
      <c r="L14" s="38"/>
      <c r="M14" s="38"/>
      <c r="N14" s="38"/>
      <c r="O14" s="617">
        <f>F14</f>
        <v>21.57</v>
      </c>
    </row>
    <row r="15" spans="1:15" ht="15.6" customHeight="1">
      <c r="A15" s="492" t="s">
        <v>333</v>
      </c>
      <c r="B15" s="3" t="s">
        <v>362</v>
      </c>
      <c r="C15" s="27" t="s">
        <v>27</v>
      </c>
      <c r="D15" s="27" t="s">
        <v>663</v>
      </c>
      <c r="E15" s="4" t="s">
        <v>28</v>
      </c>
      <c r="F15" s="3"/>
      <c r="G15" s="6"/>
      <c r="H15" s="6"/>
      <c r="I15" s="6"/>
      <c r="J15" s="6"/>
      <c r="K15" s="6"/>
      <c r="L15" s="6"/>
      <c r="M15" s="6"/>
      <c r="N15" s="6"/>
      <c r="O15" s="615">
        <f>SUM(O16:O17)</f>
        <v>51.830100000000002</v>
      </c>
    </row>
    <row r="16" spans="1:15" ht="15.6" customHeight="1">
      <c r="A16" s="616"/>
      <c r="B16" s="33"/>
      <c r="C16" s="32"/>
      <c r="D16" s="33" t="s">
        <v>367</v>
      </c>
      <c r="E16" s="37"/>
      <c r="F16" s="38">
        <f>SUM(F13:F14)</f>
        <v>66.36</v>
      </c>
      <c r="G16" s="38">
        <v>0.3</v>
      </c>
      <c r="H16" s="38">
        <v>0.2</v>
      </c>
      <c r="I16" s="38"/>
      <c r="J16" s="38"/>
      <c r="K16" s="38"/>
      <c r="L16" s="38"/>
      <c r="M16" s="38"/>
      <c r="N16" s="38"/>
      <c r="O16" s="617">
        <f>F16*G16*H16</f>
        <v>3.9815999999999998</v>
      </c>
    </row>
    <row r="17" spans="1:15" ht="15.6" customHeight="1">
      <c r="A17" s="616"/>
      <c r="B17" s="33"/>
      <c r="C17" s="32"/>
      <c r="D17" s="33" t="s">
        <v>81</v>
      </c>
      <c r="E17" s="37"/>
      <c r="F17" s="38"/>
      <c r="G17" s="38"/>
      <c r="H17" s="38">
        <v>0.15</v>
      </c>
      <c r="I17" s="38">
        <v>318.99</v>
      </c>
      <c r="J17" s="38"/>
      <c r="K17" s="38"/>
      <c r="L17" s="38"/>
      <c r="M17" s="38"/>
      <c r="N17" s="38"/>
      <c r="O17" s="617">
        <f>H17*I17</f>
        <v>47.848500000000001</v>
      </c>
    </row>
    <row r="18" spans="1:15" ht="39" customHeight="1">
      <c r="A18" s="492" t="s">
        <v>334</v>
      </c>
      <c r="B18" s="235" t="s">
        <v>42</v>
      </c>
      <c r="C18" s="235" t="s">
        <v>24</v>
      </c>
      <c r="D18" s="234" t="s">
        <v>669</v>
      </c>
      <c r="E18" s="4" t="s">
        <v>28</v>
      </c>
      <c r="F18" s="3"/>
      <c r="G18" s="6"/>
      <c r="H18" s="6"/>
      <c r="I18" s="6"/>
      <c r="J18" s="6"/>
      <c r="K18" s="6"/>
      <c r="L18" s="6"/>
      <c r="M18" s="6"/>
      <c r="N18" s="6"/>
      <c r="O18" s="615">
        <f>SUM(O19:O21)</f>
        <v>62.6218</v>
      </c>
    </row>
    <row r="19" spans="1:15" ht="15.6" customHeight="1">
      <c r="A19" s="616"/>
      <c r="B19" s="33"/>
      <c r="C19" s="32"/>
      <c r="D19" s="33" t="s">
        <v>323</v>
      </c>
      <c r="E19" s="37"/>
      <c r="F19" s="33"/>
      <c r="G19" s="38"/>
      <c r="H19" s="38">
        <v>0.05</v>
      </c>
      <c r="I19" s="38">
        <f>I11</f>
        <v>156.11000000000001</v>
      </c>
      <c r="J19" s="38"/>
      <c r="K19" s="38"/>
      <c r="L19" s="38"/>
      <c r="M19" s="38"/>
      <c r="N19" s="38"/>
      <c r="O19" s="617">
        <f>H19*I19</f>
        <v>7.8055000000000012</v>
      </c>
    </row>
    <row r="20" spans="1:15" ht="15.6" customHeight="1">
      <c r="A20" s="616"/>
      <c r="B20" s="33"/>
      <c r="C20" s="32"/>
      <c r="D20" s="33" t="s">
        <v>324</v>
      </c>
      <c r="E20" s="37"/>
      <c r="F20" s="38">
        <f>O12</f>
        <v>66.36</v>
      </c>
      <c r="G20" s="38">
        <v>0.15</v>
      </c>
      <c r="H20" s="38">
        <v>0.3</v>
      </c>
      <c r="I20" s="38"/>
      <c r="J20" s="38"/>
      <c r="K20" s="38"/>
      <c r="L20" s="38"/>
      <c r="M20" s="38"/>
      <c r="N20" s="38"/>
      <c r="O20" s="617">
        <f>F20*G20*H20</f>
        <v>2.9861999999999997</v>
      </c>
    </row>
    <row r="21" spans="1:15" ht="15.6" customHeight="1">
      <c r="A21" s="616"/>
      <c r="B21" s="33"/>
      <c r="C21" s="32"/>
      <c r="D21" s="33" t="s">
        <v>515</v>
      </c>
      <c r="E21" s="37"/>
      <c r="F21" s="33"/>
      <c r="G21" s="38"/>
      <c r="H21" s="38"/>
      <c r="I21" s="38"/>
      <c r="J21" s="38">
        <f>O15</f>
        <v>51.830100000000002</v>
      </c>
      <c r="K21" s="38"/>
      <c r="L21" s="38"/>
      <c r="M21" s="38"/>
      <c r="N21" s="38"/>
      <c r="O21" s="617">
        <f>J21</f>
        <v>51.830100000000002</v>
      </c>
    </row>
    <row r="22" spans="1:15" ht="15.6" customHeight="1">
      <c r="A22" s="492" t="s">
        <v>364</v>
      </c>
      <c r="B22" s="3" t="s">
        <v>34</v>
      </c>
      <c r="C22" s="27" t="s">
        <v>24</v>
      </c>
      <c r="D22" s="27" t="s">
        <v>656</v>
      </c>
      <c r="E22" s="4" t="s">
        <v>36</v>
      </c>
      <c r="F22" s="3"/>
      <c r="G22" s="6"/>
      <c r="H22" s="6"/>
      <c r="I22" s="6"/>
      <c r="J22" s="6"/>
      <c r="K22" s="6"/>
      <c r="L22" s="6"/>
      <c r="M22" s="6"/>
      <c r="N22" s="6"/>
      <c r="O22" s="615">
        <f>O23</f>
        <v>1878.654</v>
      </c>
    </row>
    <row r="23" spans="1:15" ht="15.6" customHeight="1">
      <c r="A23" s="616"/>
      <c r="B23" s="33"/>
      <c r="C23" s="32"/>
      <c r="D23" s="32"/>
      <c r="E23" s="37"/>
      <c r="F23" s="33"/>
      <c r="G23" s="38"/>
      <c r="H23" s="38"/>
      <c r="I23" s="38"/>
      <c r="J23" s="38">
        <f>O18</f>
        <v>62.6218</v>
      </c>
      <c r="K23" s="38"/>
      <c r="L23" s="38"/>
      <c r="M23" s="38"/>
      <c r="N23" s="38">
        <v>30</v>
      </c>
      <c r="O23" s="617">
        <f>J23*N23</f>
        <v>1878.654</v>
      </c>
    </row>
    <row r="24" spans="1:15">
      <c r="A24" s="518" t="s">
        <v>37</v>
      </c>
      <c r="B24" s="25"/>
      <c r="C24" s="25"/>
      <c r="D24" s="25" t="s">
        <v>38</v>
      </c>
      <c r="E24" s="25"/>
      <c r="F24" s="1"/>
      <c r="G24" s="25"/>
      <c r="H24" s="25"/>
      <c r="I24" s="2"/>
      <c r="J24" s="2"/>
      <c r="K24" s="2"/>
      <c r="L24" s="2"/>
      <c r="M24" s="2"/>
      <c r="N24" s="2"/>
      <c r="O24" s="519"/>
    </row>
    <row r="25" spans="1:15" ht="29.45" customHeight="1">
      <c r="A25" s="492" t="s">
        <v>39</v>
      </c>
      <c r="B25" s="3">
        <v>101124</v>
      </c>
      <c r="C25" s="27" t="s">
        <v>24</v>
      </c>
      <c r="D25" s="27" t="s">
        <v>397</v>
      </c>
      <c r="E25" s="4" t="s">
        <v>28</v>
      </c>
      <c r="F25" s="3"/>
      <c r="G25" s="6"/>
      <c r="H25" s="6"/>
      <c r="I25" s="6"/>
      <c r="J25" s="6"/>
      <c r="K25" s="6"/>
      <c r="L25" s="6"/>
      <c r="M25" s="6"/>
      <c r="N25" s="6"/>
      <c r="O25" s="615">
        <f>O26</f>
        <v>2071.63</v>
      </c>
    </row>
    <row r="26" spans="1:15">
      <c r="A26" s="616"/>
      <c r="B26" s="33"/>
      <c r="C26" s="32"/>
      <c r="D26" s="33" t="s">
        <v>59</v>
      </c>
      <c r="E26" s="37"/>
      <c r="F26" s="33"/>
      <c r="G26" s="38"/>
      <c r="H26" s="38">
        <v>0.4</v>
      </c>
      <c r="I26" s="38">
        <v>4143.26</v>
      </c>
      <c r="J26" s="38"/>
      <c r="K26" s="38"/>
      <c r="L26" s="38">
        <v>1.25</v>
      </c>
      <c r="M26" s="38"/>
      <c r="N26" s="38"/>
      <c r="O26" s="617">
        <f>H26*I26*L26</f>
        <v>2071.63</v>
      </c>
    </row>
    <row r="27" spans="1:15" ht="15.6" customHeight="1">
      <c r="A27" s="492" t="s">
        <v>514</v>
      </c>
      <c r="B27" s="3" t="s">
        <v>41</v>
      </c>
      <c r="C27" s="27" t="s">
        <v>27</v>
      </c>
      <c r="D27" s="27" t="s">
        <v>562</v>
      </c>
      <c r="E27" s="4" t="s">
        <v>28</v>
      </c>
      <c r="F27" s="3"/>
      <c r="G27" s="6"/>
      <c r="H27" s="6"/>
      <c r="I27" s="6"/>
      <c r="J27" s="6"/>
      <c r="K27" s="6"/>
      <c r="L27" s="6"/>
      <c r="M27" s="6"/>
      <c r="N27" s="6"/>
      <c r="O27" s="615">
        <f>O28</f>
        <v>2071.63</v>
      </c>
    </row>
    <row r="28" spans="1:15" ht="15.6" customHeight="1">
      <c r="A28" s="616"/>
      <c r="B28" s="33"/>
      <c r="C28" s="32"/>
      <c r="D28" s="33" t="s">
        <v>59</v>
      </c>
      <c r="E28" s="37"/>
      <c r="F28" s="33"/>
      <c r="G28" s="38"/>
      <c r="H28" s="38"/>
      <c r="I28" s="38"/>
      <c r="J28" s="38">
        <f>O25</f>
        <v>2071.63</v>
      </c>
      <c r="K28" s="38"/>
      <c r="L28" s="38"/>
      <c r="M28" s="38"/>
      <c r="N28" s="38"/>
      <c r="O28" s="617">
        <f>J28</f>
        <v>2071.63</v>
      </c>
    </row>
    <row r="29" spans="1:15" ht="26.1" customHeight="1">
      <c r="A29" s="492" t="s">
        <v>396</v>
      </c>
      <c r="B29" s="3" t="s">
        <v>34</v>
      </c>
      <c r="C29" s="27" t="s">
        <v>24</v>
      </c>
      <c r="D29" s="27" t="s">
        <v>654</v>
      </c>
      <c r="E29" s="4" t="s">
        <v>36</v>
      </c>
      <c r="F29" s="3"/>
      <c r="G29" s="6"/>
      <c r="H29" s="6"/>
      <c r="I29" s="6"/>
      <c r="J29" s="6"/>
      <c r="K29" s="6"/>
      <c r="L29" s="6"/>
      <c r="M29" s="6"/>
      <c r="N29" s="6"/>
      <c r="O29" s="615">
        <f>O30</f>
        <v>62148.9</v>
      </c>
    </row>
    <row r="30" spans="1:15">
      <c r="A30" s="616"/>
      <c r="B30" s="33"/>
      <c r="C30" s="32"/>
      <c r="D30" s="33" t="s">
        <v>59</v>
      </c>
      <c r="E30" s="37"/>
      <c r="F30" s="33"/>
      <c r="G30" s="38"/>
      <c r="H30" s="38"/>
      <c r="I30" s="38"/>
      <c r="J30" s="38">
        <f>O25</f>
        <v>2071.63</v>
      </c>
      <c r="K30" s="38"/>
      <c r="L30" s="38"/>
      <c r="M30" s="38"/>
      <c r="N30" s="38">
        <v>30</v>
      </c>
      <c r="O30" s="617">
        <f>J30*N30</f>
        <v>62148.9</v>
      </c>
    </row>
    <row r="31" spans="1:15" ht="15.6" customHeight="1">
      <c r="A31" s="518" t="s">
        <v>44</v>
      </c>
      <c r="B31" s="25"/>
      <c r="C31" s="25"/>
      <c r="D31" s="25" t="s">
        <v>45</v>
      </c>
      <c r="E31" s="25"/>
      <c r="F31" s="1"/>
      <c r="G31" s="25"/>
      <c r="H31" s="25"/>
      <c r="I31" s="2"/>
      <c r="J31" s="2"/>
      <c r="K31" s="2"/>
      <c r="L31" s="2"/>
      <c r="M31" s="2"/>
      <c r="N31" s="2"/>
      <c r="O31" s="519"/>
    </row>
    <row r="32" spans="1:15">
      <c r="A32" s="518" t="s">
        <v>46</v>
      </c>
      <c r="B32" s="25"/>
      <c r="C32" s="25"/>
      <c r="D32" s="25" t="s">
        <v>47</v>
      </c>
      <c r="E32" s="25"/>
      <c r="F32" s="1"/>
      <c r="G32" s="25"/>
      <c r="H32" s="25"/>
      <c r="I32" s="2"/>
      <c r="J32" s="2"/>
      <c r="K32" s="2"/>
      <c r="L32" s="2"/>
      <c r="M32" s="2"/>
      <c r="N32" s="2"/>
      <c r="O32" s="519"/>
    </row>
    <row r="33" spans="1:15" ht="15.6" customHeight="1">
      <c r="A33" s="492" t="s">
        <v>48</v>
      </c>
      <c r="B33" s="3" t="s">
        <v>49</v>
      </c>
      <c r="C33" s="27" t="s">
        <v>24</v>
      </c>
      <c r="D33" s="27" t="s">
        <v>50</v>
      </c>
      <c r="E33" s="4" t="s">
        <v>21</v>
      </c>
      <c r="F33" s="3"/>
      <c r="G33" s="6"/>
      <c r="H33" s="6"/>
      <c r="I33" s="6"/>
      <c r="J33" s="6"/>
      <c r="K33" s="6"/>
      <c r="L33" s="6"/>
      <c r="M33" s="6"/>
      <c r="N33" s="6"/>
      <c r="O33" s="615">
        <f>SUM(O34:O34)</f>
        <v>4143.26</v>
      </c>
    </row>
    <row r="34" spans="1:15" ht="15.6" customHeight="1">
      <c r="A34" s="616"/>
      <c r="B34" s="33"/>
      <c r="C34" s="32"/>
      <c r="D34" s="33" t="s">
        <v>429</v>
      </c>
      <c r="E34" s="37"/>
      <c r="F34" s="33"/>
      <c r="G34" s="38"/>
      <c r="H34" s="38"/>
      <c r="I34" s="38">
        <f>I26</f>
        <v>4143.26</v>
      </c>
      <c r="J34" s="38"/>
      <c r="K34" s="38"/>
      <c r="L34" s="38"/>
      <c r="M34" s="38"/>
      <c r="N34" s="38"/>
      <c r="O34" s="617">
        <f>I34</f>
        <v>4143.26</v>
      </c>
    </row>
    <row r="35" spans="1:15" ht="54.6" customHeight="1">
      <c r="A35" s="492" t="s">
        <v>51</v>
      </c>
      <c r="B35" s="3">
        <v>100565</v>
      </c>
      <c r="C35" s="27" t="s">
        <v>24</v>
      </c>
      <c r="D35" s="27" t="s">
        <v>53</v>
      </c>
      <c r="E35" s="4" t="s">
        <v>28</v>
      </c>
      <c r="F35" s="3"/>
      <c r="G35" s="6"/>
      <c r="H35" s="6"/>
      <c r="I35" s="6"/>
      <c r="J35" s="6"/>
      <c r="K35" s="6"/>
      <c r="L35" s="6"/>
      <c r="M35" s="6"/>
      <c r="N35" s="6"/>
      <c r="O35" s="615">
        <f>SUM(O36:O36)</f>
        <v>828.65200000000004</v>
      </c>
    </row>
    <row r="36" spans="1:15" ht="15.6" customHeight="1">
      <c r="A36" s="616"/>
      <c r="B36" s="33"/>
      <c r="C36" s="32"/>
      <c r="D36" s="33" t="s">
        <v>59</v>
      </c>
      <c r="E36" s="37"/>
      <c r="F36" s="33"/>
      <c r="G36" s="38"/>
      <c r="H36" s="38">
        <v>0.2</v>
      </c>
      <c r="I36" s="38">
        <f>I34</f>
        <v>4143.26</v>
      </c>
      <c r="J36" s="38"/>
      <c r="K36" s="38"/>
      <c r="L36" s="38"/>
      <c r="M36" s="38"/>
      <c r="N36" s="38"/>
      <c r="O36" s="617">
        <f t="shared" ref="O36" si="0">I36*H36</f>
        <v>828.65200000000004</v>
      </c>
    </row>
    <row r="37" spans="1:15" ht="15" customHeight="1">
      <c r="A37" s="522" t="s">
        <v>411</v>
      </c>
      <c r="B37" s="16" t="s">
        <v>307</v>
      </c>
      <c r="C37" s="28" t="s">
        <v>24</v>
      </c>
      <c r="D37" s="28" t="s">
        <v>308</v>
      </c>
      <c r="E37" s="17" t="s">
        <v>28</v>
      </c>
      <c r="F37" s="16"/>
      <c r="G37" s="19"/>
      <c r="H37" s="19"/>
      <c r="I37" s="19"/>
      <c r="J37" s="19"/>
      <c r="K37" s="19"/>
      <c r="L37" s="19"/>
      <c r="M37" s="19"/>
      <c r="N37" s="19"/>
      <c r="O37" s="618">
        <f>O38</f>
        <v>517.90750000000003</v>
      </c>
    </row>
    <row r="38" spans="1:15" ht="15.6" customHeight="1">
      <c r="A38" s="616"/>
      <c r="B38" s="33"/>
      <c r="C38" s="32"/>
      <c r="D38" s="33" t="s">
        <v>59</v>
      </c>
      <c r="E38" s="37"/>
      <c r="F38" s="33"/>
      <c r="G38" s="38"/>
      <c r="H38" s="38"/>
      <c r="I38" s="38">
        <f>O35*0.5</f>
        <v>414.32600000000002</v>
      </c>
      <c r="J38" s="38"/>
      <c r="K38" s="38"/>
      <c r="L38" s="38">
        <v>1.25</v>
      </c>
      <c r="M38" s="38"/>
      <c r="N38" s="38"/>
      <c r="O38" s="617">
        <f>I38*L38</f>
        <v>517.90750000000003</v>
      </c>
    </row>
    <row r="39" spans="1:15" ht="42" customHeight="1">
      <c r="A39" s="492" t="s">
        <v>309</v>
      </c>
      <c r="B39" s="79">
        <v>96396</v>
      </c>
      <c r="C39" s="27" t="s">
        <v>24</v>
      </c>
      <c r="D39" s="27" t="s">
        <v>412</v>
      </c>
      <c r="E39" s="4" t="s">
        <v>28</v>
      </c>
      <c r="F39" s="3"/>
      <c r="G39" s="6"/>
      <c r="H39" s="6"/>
      <c r="I39" s="6"/>
      <c r="J39" s="6"/>
      <c r="K39" s="6"/>
      <c r="L39" s="6"/>
      <c r="M39" s="6"/>
      <c r="N39" s="6"/>
      <c r="O39" s="615">
        <f>SUM(O40:O40)</f>
        <v>828.65200000000004</v>
      </c>
    </row>
    <row r="40" spans="1:15" ht="15.6" customHeight="1">
      <c r="A40" s="616"/>
      <c r="B40" s="33"/>
      <c r="C40" s="32"/>
      <c r="D40" s="33" t="s">
        <v>59</v>
      </c>
      <c r="E40" s="37"/>
      <c r="F40" s="33"/>
      <c r="G40" s="38"/>
      <c r="H40" s="38">
        <v>0.2</v>
      </c>
      <c r="I40" s="38">
        <f>I34</f>
        <v>4143.26</v>
      </c>
      <c r="J40" s="38"/>
      <c r="K40" s="38"/>
      <c r="L40" s="38"/>
      <c r="M40" s="38"/>
      <c r="N40" s="38"/>
      <c r="O40" s="617">
        <f>I40*H40</f>
        <v>828.65200000000004</v>
      </c>
    </row>
    <row r="41" spans="1:15" ht="51">
      <c r="A41" s="492" t="s">
        <v>326</v>
      </c>
      <c r="B41" s="3" t="s">
        <v>42</v>
      </c>
      <c r="C41" s="27" t="s">
        <v>24</v>
      </c>
      <c r="D41" s="27" t="s">
        <v>659</v>
      </c>
      <c r="E41" s="4" t="s">
        <v>28</v>
      </c>
      <c r="F41" s="3"/>
      <c r="G41" s="6"/>
      <c r="H41" s="6"/>
      <c r="I41" s="6"/>
      <c r="J41" s="6"/>
      <c r="K41" s="6"/>
      <c r="L41" s="6"/>
      <c r="M41" s="6"/>
      <c r="N41" s="6"/>
      <c r="O41" s="615">
        <f>SUM(O42:O43)</f>
        <v>2071.63</v>
      </c>
    </row>
    <row r="42" spans="1:15" ht="15.6" customHeight="1">
      <c r="A42" s="616"/>
      <c r="B42" s="33"/>
      <c r="C42" s="32"/>
      <c r="D42" s="33" t="s">
        <v>432</v>
      </c>
      <c r="E42" s="37"/>
      <c r="F42" s="33"/>
      <c r="G42" s="38"/>
      <c r="H42" s="38"/>
      <c r="I42" s="38"/>
      <c r="J42" s="38">
        <f>O37</f>
        <v>517.90750000000003</v>
      </c>
      <c r="K42" s="38"/>
      <c r="L42" s="38"/>
      <c r="M42" s="38"/>
      <c r="N42" s="38"/>
      <c r="O42" s="617">
        <f>J42</f>
        <v>517.90750000000003</v>
      </c>
    </row>
    <row r="43" spans="1:15" ht="15.6" customHeight="1">
      <c r="A43" s="616"/>
      <c r="B43" s="33"/>
      <c r="C43" s="32"/>
      <c r="D43" s="33" t="s">
        <v>433</v>
      </c>
      <c r="E43" s="37"/>
      <c r="F43" s="33"/>
      <c r="G43" s="38"/>
      <c r="H43" s="38"/>
      <c r="I43" s="38"/>
      <c r="J43" s="38">
        <f>((O35/2)*1.25)+O39*1.25</f>
        <v>1553.7225000000001</v>
      </c>
      <c r="K43" s="38"/>
      <c r="L43" s="38"/>
      <c r="M43" s="38"/>
      <c r="N43" s="38"/>
      <c r="O43" s="617">
        <f>J43</f>
        <v>1553.7225000000001</v>
      </c>
    </row>
    <row r="44" spans="1:15" ht="30" customHeight="1">
      <c r="A44" s="492" t="s">
        <v>327</v>
      </c>
      <c r="B44" s="3" t="s">
        <v>56</v>
      </c>
      <c r="C44" s="27" t="s">
        <v>24</v>
      </c>
      <c r="D44" s="27" t="s">
        <v>658</v>
      </c>
      <c r="E44" s="4" t="s">
        <v>36</v>
      </c>
      <c r="F44" s="3"/>
      <c r="G44" s="6"/>
      <c r="H44" s="6"/>
      <c r="I44" s="6"/>
      <c r="J44" s="6"/>
      <c r="K44" s="6"/>
      <c r="L44" s="6"/>
      <c r="M44" s="6"/>
      <c r="N44" s="6"/>
      <c r="O44" s="615">
        <f>O45</f>
        <v>62148.9</v>
      </c>
    </row>
    <row r="45" spans="1:15" ht="15.6" customHeight="1">
      <c r="A45" s="616"/>
      <c r="B45" s="33"/>
      <c r="C45" s="32"/>
      <c r="D45" s="33" t="s">
        <v>59</v>
      </c>
      <c r="E45" s="37"/>
      <c r="F45" s="33"/>
      <c r="G45" s="38"/>
      <c r="H45" s="38"/>
      <c r="I45" s="38"/>
      <c r="J45" s="38">
        <f>O41</f>
        <v>2071.63</v>
      </c>
      <c r="K45" s="38"/>
      <c r="L45" s="38"/>
      <c r="M45" s="38"/>
      <c r="N45" s="38">
        <v>30</v>
      </c>
      <c r="O45" s="617">
        <f>J45*N45</f>
        <v>62148.9</v>
      </c>
    </row>
    <row r="46" spans="1:15" ht="15.6" customHeight="1">
      <c r="A46" s="518" t="s">
        <v>58</v>
      </c>
      <c r="B46" s="25"/>
      <c r="C46" s="25"/>
      <c r="D46" s="25" t="s">
        <v>59</v>
      </c>
      <c r="E46" s="25"/>
      <c r="F46" s="1"/>
      <c r="G46" s="25"/>
      <c r="H46" s="25"/>
      <c r="I46" s="2"/>
      <c r="J46" s="2"/>
      <c r="K46" s="2"/>
      <c r="L46" s="2"/>
      <c r="M46" s="2"/>
      <c r="N46" s="2"/>
      <c r="O46" s="519"/>
    </row>
    <row r="47" spans="1:15" ht="30" customHeight="1">
      <c r="A47" s="492" t="s">
        <v>335</v>
      </c>
      <c r="B47" s="3">
        <v>4011484</v>
      </c>
      <c r="C47" s="27" t="s">
        <v>27</v>
      </c>
      <c r="D47" s="27" t="s">
        <v>650</v>
      </c>
      <c r="E47" s="4" t="s">
        <v>28</v>
      </c>
      <c r="F47" s="3"/>
      <c r="G47" s="6"/>
      <c r="H47" s="6"/>
      <c r="I47" s="6"/>
      <c r="J47" s="6"/>
      <c r="K47" s="6"/>
      <c r="L47" s="6"/>
      <c r="M47" s="6"/>
      <c r="N47" s="6"/>
      <c r="O47" s="615">
        <f>SUM(O48:O48)</f>
        <v>1296.135</v>
      </c>
    </row>
    <row r="48" spans="1:15" ht="15.6" customHeight="1">
      <c r="A48" s="616"/>
      <c r="B48" s="33"/>
      <c r="C48" s="32"/>
      <c r="D48" s="33" t="s">
        <v>637</v>
      </c>
      <c r="E48" s="37"/>
      <c r="F48" s="33"/>
      <c r="G48" s="38"/>
      <c r="H48" s="38">
        <v>0.3</v>
      </c>
      <c r="I48" s="38">
        <v>4320.45</v>
      </c>
      <c r="J48" s="38"/>
      <c r="K48" s="38"/>
      <c r="L48" s="38"/>
      <c r="M48" s="38"/>
      <c r="N48" s="38"/>
      <c r="O48" s="617">
        <f>I48*H48</f>
        <v>1296.135</v>
      </c>
    </row>
    <row r="49" spans="1:15" ht="15.6" customHeight="1">
      <c r="A49" s="492" t="s">
        <v>336</v>
      </c>
      <c r="B49" s="3" t="s">
        <v>62</v>
      </c>
      <c r="C49" s="27" t="s">
        <v>27</v>
      </c>
      <c r="D49" s="27" t="s">
        <v>662</v>
      </c>
      <c r="E49" s="4" t="s">
        <v>21</v>
      </c>
      <c r="F49" s="3"/>
      <c r="G49" s="6"/>
      <c r="H49" s="6"/>
      <c r="I49" s="6"/>
      <c r="J49" s="6"/>
      <c r="K49" s="6"/>
      <c r="L49" s="6"/>
      <c r="M49" s="6"/>
      <c r="N49" s="6"/>
      <c r="O49" s="615">
        <f>SUM(O50:O50)</f>
        <v>4143.26</v>
      </c>
    </row>
    <row r="50" spans="1:15" ht="15" customHeight="1">
      <c r="A50" s="616"/>
      <c r="B50" s="33"/>
      <c r="C50" s="32"/>
      <c r="D50" s="33" t="s">
        <v>59</v>
      </c>
      <c r="E50" s="37"/>
      <c r="F50" s="33"/>
      <c r="G50" s="38"/>
      <c r="H50" s="38"/>
      <c r="I50" s="38">
        <f>I34</f>
        <v>4143.26</v>
      </c>
      <c r="J50" s="38"/>
      <c r="K50" s="38"/>
      <c r="L50" s="38"/>
      <c r="M50" s="38"/>
      <c r="N50" s="38"/>
      <c r="O50" s="617">
        <f>I50</f>
        <v>4143.26</v>
      </c>
    </row>
    <row r="51" spans="1:15" ht="15.6" customHeight="1">
      <c r="A51" s="492" t="s">
        <v>337</v>
      </c>
      <c r="B51" s="3" t="s">
        <v>63</v>
      </c>
      <c r="C51" s="27" t="s">
        <v>27</v>
      </c>
      <c r="D51" s="27" t="s">
        <v>564</v>
      </c>
      <c r="E51" s="4" t="s">
        <v>21</v>
      </c>
      <c r="F51" s="3"/>
      <c r="G51" s="6"/>
      <c r="H51" s="6"/>
      <c r="I51" s="6"/>
      <c r="J51" s="6"/>
      <c r="K51" s="6"/>
      <c r="L51" s="6"/>
      <c r="M51" s="6"/>
      <c r="N51" s="6"/>
      <c r="O51" s="615">
        <f>SUM(O52:O53)</f>
        <v>8463.7099999999991</v>
      </c>
    </row>
    <row r="52" spans="1:15" ht="15.6" customHeight="1">
      <c r="A52" s="616"/>
      <c r="B52" s="33"/>
      <c r="C52" s="32"/>
      <c r="D52" s="33" t="s">
        <v>59</v>
      </c>
      <c r="E52" s="37"/>
      <c r="F52" s="33"/>
      <c r="G52" s="38"/>
      <c r="H52" s="38"/>
      <c r="I52" s="38">
        <f>I50</f>
        <v>4143.26</v>
      </c>
      <c r="J52" s="38"/>
      <c r="K52" s="38"/>
      <c r="L52" s="38"/>
      <c r="M52" s="38"/>
      <c r="N52" s="38"/>
      <c r="O52" s="617">
        <f>I52</f>
        <v>4143.26</v>
      </c>
    </row>
    <row r="53" spans="1:15" ht="15.6" customHeight="1">
      <c r="A53" s="616"/>
      <c r="B53" s="33"/>
      <c r="C53" s="32"/>
      <c r="D53" s="33" t="s">
        <v>637</v>
      </c>
      <c r="E53" s="37"/>
      <c r="F53" s="33"/>
      <c r="G53" s="38"/>
      <c r="H53" s="38"/>
      <c r="I53" s="38">
        <f>I48</f>
        <v>4320.45</v>
      </c>
      <c r="J53" s="38"/>
      <c r="K53" s="38"/>
      <c r="L53" s="38"/>
      <c r="M53" s="38"/>
      <c r="N53" s="38"/>
      <c r="O53" s="617">
        <f>I53</f>
        <v>4320.45</v>
      </c>
    </row>
    <row r="54" spans="1:15" ht="15.6" customHeight="1">
      <c r="A54" s="492" t="s">
        <v>338</v>
      </c>
      <c r="B54" s="3" t="s">
        <v>60</v>
      </c>
      <c r="C54" s="27" t="s">
        <v>27</v>
      </c>
      <c r="D54" s="27" t="s">
        <v>565</v>
      </c>
      <c r="E54" s="4" t="s">
        <v>61</v>
      </c>
      <c r="F54" s="3"/>
      <c r="G54" s="6"/>
      <c r="H54" s="6"/>
      <c r="I54" s="6"/>
      <c r="J54" s="6"/>
      <c r="K54" s="6"/>
      <c r="L54" s="6"/>
      <c r="M54" s="6"/>
      <c r="N54" s="6"/>
      <c r="O54" s="615">
        <f>O55</f>
        <v>1015.6451999999999</v>
      </c>
    </row>
    <row r="55" spans="1:15">
      <c r="A55" s="616"/>
      <c r="B55" s="33"/>
      <c r="C55" s="32"/>
      <c r="D55" s="33"/>
      <c r="E55" s="37"/>
      <c r="F55" s="33"/>
      <c r="G55" s="38"/>
      <c r="H55" s="38">
        <v>0.05</v>
      </c>
      <c r="I55" s="38">
        <f>O51</f>
        <v>8463.7099999999991</v>
      </c>
      <c r="J55" s="38"/>
      <c r="K55" s="38"/>
      <c r="L55" s="38">
        <v>2.4</v>
      </c>
      <c r="M55" s="38"/>
      <c r="N55" s="38"/>
      <c r="O55" s="617">
        <f>H55*I55*L55</f>
        <v>1015.6451999999999</v>
      </c>
    </row>
    <row r="56" spans="1:15" ht="30" customHeight="1">
      <c r="A56" s="492" t="s">
        <v>339</v>
      </c>
      <c r="B56" s="3" t="s">
        <v>56</v>
      </c>
      <c r="C56" s="27" t="s">
        <v>24</v>
      </c>
      <c r="D56" s="27" t="s">
        <v>57</v>
      </c>
      <c r="E56" s="4" t="s">
        <v>36</v>
      </c>
      <c r="F56" s="3"/>
      <c r="G56" s="6"/>
      <c r="H56" s="6"/>
      <c r="I56" s="6"/>
      <c r="J56" s="6"/>
      <c r="K56" s="6"/>
      <c r="L56" s="6"/>
      <c r="M56" s="6"/>
      <c r="N56" s="6"/>
      <c r="O56" s="615">
        <f>O57</f>
        <v>12695.565000000001</v>
      </c>
    </row>
    <row r="57" spans="1:15">
      <c r="A57" s="616"/>
      <c r="B57" s="33"/>
      <c r="C57" s="32"/>
      <c r="D57" s="33"/>
      <c r="E57" s="37"/>
      <c r="F57" s="33"/>
      <c r="G57" s="38"/>
      <c r="H57" s="38">
        <v>0.05</v>
      </c>
      <c r="I57" s="38">
        <f>O51</f>
        <v>8463.7099999999991</v>
      </c>
      <c r="J57" s="38"/>
      <c r="K57" s="38"/>
      <c r="L57" s="38"/>
      <c r="M57" s="38"/>
      <c r="N57" s="38">
        <v>30</v>
      </c>
      <c r="O57" s="617">
        <f>H57*I57*N57</f>
        <v>12695.565000000001</v>
      </c>
    </row>
    <row r="58" spans="1:15" ht="26.1" customHeight="1">
      <c r="A58" s="492" t="s">
        <v>340</v>
      </c>
      <c r="B58" s="3" t="s">
        <v>56</v>
      </c>
      <c r="C58" s="27" t="s">
        <v>24</v>
      </c>
      <c r="D58" s="27" t="s">
        <v>419</v>
      </c>
      <c r="E58" s="4" t="s">
        <v>36</v>
      </c>
      <c r="F58" s="3"/>
      <c r="G58" s="6"/>
      <c r="H58" s="6"/>
      <c r="I58" s="6"/>
      <c r="J58" s="6"/>
      <c r="K58" s="6"/>
      <c r="L58" s="6"/>
      <c r="M58" s="6"/>
      <c r="N58" s="6"/>
      <c r="O58" s="615">
        <f>O59</f>
        <v>9721.0125000000007</v>
      </c>
    </row>
    <row r="59" spans="1:15" ht="15.6" customHeight="1">
      <c r="A59" s="616"/>
      <c r="B59" s="33"/>
      <c r="C59" s="32"/>
      <c r="D59" s="33"/>
      <c r="E59" s="37"/>
      <c r="F59" s="33"/>
      <c r="G59" s="38"/>
      <c r="H59" s="38"/>
      <c r="I59" s="38"/>
      <c r="J59" s="38">
        <f>O47</f>
        <v>1296.135</v>
      </c>
      <c r="K59" s="38"/>
      <c r="L59" s="38">
        <v>0.25</v>
      </c>
      <c r="M59" s="38"/>
      <c r="N59" s="38">
        <v>30</v>
      </c>
      <c r="O59" s="617">
        <f>J59*L59*N59</f>
        <v>9721.0125000000007</v>
      </c>
    </row>
    <row r="60" spans="1:15" ht="42" customHeight="1">
      <c r="A60" s="492" t="s">
        <v>341</v>
      </c>
      <c r="B60" s="3" t="s">
        <v>64</v>
      </c>
      <c r="C60" s="27" t="s">
        <v>24</v>
      </c>
      <c r="D60" s="27" t="s">
        <v>65</v>
      </c>
      <c r="E60" s="4" t="s">
        <v>66</v>
      </c>
      <c r="F60" s="3"/>
      <c r="G60" s="6"/>
      <c r="H60" s="6"/>
      <c r="I60" s="6"/>
      <c r="J60" s="6"/>
      <c r="K60" s="6"/>
      <c r="L60" s="6"/>
      <c r="M60" s="6"/>
      <c r="N60" s="6"/>
      <c r="O60" s="615">
        <f>O61</f>
        <v>2240.8159934400001</v>
      </c>
    </row>
    <row r="61" spans="1:15">
      <c r="A61" s="616"/>
      <c r="B61" s="33"/>
      <c r="C61" s="32"/>
      <c r="D61" s="32"/>
      <c r="E61" s="37"/>
      <c r="F61" s="33"/>
      <c r="G61" s="38"/>
      <c r="H61" s="38"/>
      <c r="I61" s="38"/>
      <c r="J61" s="38"/>
      <c r="K61" s="38">
        <f>O67+O69+O71</f>
        <v>74.693866447999994</v>
      </c>
      <c r="L61" s="38"/>
      <c r="M61" s="38"/>
      <c r="N61" s="38">
        <v>30</v>
      </c>
      <c r="O61" s="617">
        <f>K61*N61</f>
        <v>2240.8159934400001</v>
      </c>
    </row>
    <row r="62" spans="1:15" ht="42" customHeight="1">
      <c r="A62" s="492" t="s">
        <v>342</v>
      </c>
      <c r="B62" s="3" t="s">
        <v>67</v>
      </c>
      <c r="C62" s="27" t="s">
        <v>24</v>
      </c>
      <c r="D62" s="27" t="s">
        <v>68</v>
      </c>
      <c r="E62" s="4" t="s">
        <v>66</v>
      </c>
      <c r="F62" s="3"/>
      <c r="G62" s="6"/>
      <c r="H62" s="6"/>
      <c r="I62" s="6"/>
      <c r="J62" s="6"/>
      <c r="K62" s="6"/>
      <c r="L62" s="6"/>
      <c r="M62" s="6"/>
      <c r="N62" s="6"/>
      <c r="O62" s="615">
        <f>O63</f>
        <v>35106.117230559998</v>
      </c>
    </row>
    <row r="63" spans="1:15" ht="15.6" customHeight="1">
      <c r="A63" s="616"/>
      <c r="B63" s="33"/>
      <c r="C63" s="32"/>
      <c r="D63" s="32"/>
      <c r="E63" s="37"/>
      <c r="F63" s="33"/>
      <c r="G63" s="38"/>
      <c r="H63" s="38"/>
      <c r="I63" s="38"/>
      <c r="J63" s="38"/>
      <c r="K63" s="38">
        <f>K61</f>
        <v>74.693866447999994</v>
      </c>
      <c r="L63" s="38"/>
      <c r="M63" s="38"/>
      <c r="N63" s="38">
        <f>500-N61</f>
        <v>470</v>
      </c>
      <c r="O63" s="617">
        <f>K63*N63</f>
        <v>35106.117230559998</v>
      </c>
    </row>
    <row r="64" spans="1:15" ht="15.6" customHeight="1">
      <c r="A64" s="492" t="s">
        <v>343</v>
      </c>
      <c r="B64" s="3" t="s">
        <v>69</v>
      </c>
      <c r="C64" s="27" t="s">
        <v>19</v>
      </c>
      <c r="D64" s="27" t="s">
        <v>70</v>
      </c>
      <c r="E64" s="4" t="s">
        <v>21</v>
      </c>
      <c r="F64" s="3"/>
      <c r="G64" s="6"/>
      <c r="H64" s="6"/>
      <c r="I64" s="6"/>
      <c r="J64" s="6"/>
      <c r="K64" s="6"/>
      <c r="L64" s="6"/>
      <c r="M64" s="6"/>
      <c r="N64" s="6"/>
      <c r="O64" s="615">
        <f>O65</f>
        <v>8463.7099999999991</v>
      </c>
    </row>
    <row r="65" spans="1:15" ht="15.6" customHeight="1">
      <c r="A65" s="616"/>
      <c r="B65" s="33"/>
      <c r="C65" s="32"/>
      <c r="D65" s="32"/>
      <c r="E65" s="37"/>
      <c r="F65" s="33"/>
      <c r="G65" s="38"/>
      <c r="H65" s="38"/>
      <c r="I65" s="38">
        <f>O51</f>
        <v>8463.7099999999991</v>
      </c>
      <c r="J65" s="38"/>
      <c r="K65" s="38"/>
      <c r="L65" s="38"/>
      <c r="M65" s="38"/>
      <c r="N65" s="38"/>
      <c r="O65" s="617">
        <f>I65</f>
        <v>8463.7099999999991</v>
      </c>
    </row>
    <row r="66" spans="1:15">
      <c r="A66" s="492" t="s">
        <v>344</v>
      </c>
      <c r="B66" s="3" t="s">
        <v>303</v>
      </c>
      <c r="C66" s="3" t="s">
        <v>303</v>
      </c>
      <c r="D66" s="27" t="s">
        <v>304</v>
      </c>
      <c r="E66" s="4" t="s">
        <v>306</v>
      </c>
      <c r="F66" s="3"/>
      <c r="G66" s="6"/>
      <c r="H66" s="6"/>
      <c r="I66" s="6"/>
      <c r="J66" s="6"/>
      <c r="K66" s="6"/>
      <c r="L66" s="6"/>
      <c r="M66" s="6"/>
      <c r="N66" s="6"/>
      <c r="O66" s="615">
        <f>O67</f>
        <v>3.8086694999999997</v>
      </c>
    </row>
    <row r="67" spans="1:15">
      <c r="A67" s="616"/>
      <c r="B67" s="33"/>
      <c r="C67" s="33"/>
      <c r="D67" s="32"/>
      <c r="E67" s="37"/>
      <c r="F67" s="33"/>
      <c r="G67" s="38"/>
      <c r="H67" s="38"/>
      <c r="I67" s="38">
        <f>O51</f>
        <v>8463.7099999999991</v>
      </c>
      <c r="J67" s="38"/>
      <c r="K67" s="38"/>
      <c r="L67" s="67">
        <v>4.4999999999999999E-4</v>
      </c>
      <c r="M67" s="38"/>
      <c r="N67" s="38"/>
      <c r="O67" s="617">
        <f>I67*L67</f>
        <v>3.8086694999999997</v>
      </c>
    </row>
    <row r="68" spans="1:15">
      <c r="A68" s="492" t="s">
        <v>420</v>
      </c>
      <c r="B68" s="3" t="s">
        <v>303</v>
      </c>
      <c r="C68" s="3" t="s">
        <v>303</v>
      </c>
      <c r="D68" s="27" t="s">
        <v>305</v>
      </c>
      <c r="E68" s="4" t="s">
        <v>306</v>
      </c>
      <c r="F68" s="3"/>
      <c r="G68" s="6"/>
      <c r="H68" s="6"/>
      <c r="I68" s="6"/>
      <c r="J68" s="6"/>
      <c r="K68" s="6"/>
      <c r="L68" s="6"/>
      <c r="M68" s="6"/>
      <c r="N68" s="6"/>
      <c r="O68" s="615">
        <f>O69</f>
        <v>5.3862379999999996</v>
      </c>
    </row>
    <row r="69" spans="1:15" ht="15" customHeight="1">
      <c r="A69" s="616"/>
      <c r="B69" s="33"/>
      <c r="C69" s="33"/>
      <c r="D69" s="32"/>
      <c r="E69" s="37"/>
      <c r="F69" s="33"/>
      <c r="G69" s="38"/>
      <c r="H69" s="38"/>
      <c r="I69" s="38">
        <f>O49</f>
        <v>4143.26</v>
      </c>
      <c r="J69" s="38"/>
      <c r="K69" s="38"/>
      <c r="L69" s="68">
        <v>1.2999999999999999E-3</v>
      </c>
      <c r="M69" s="38"/>
      <c r="N69" s="38"/>
      <c r="O69" s="617">
        <f>I69*L69</f>
        <v>5.3862379999999996</v>
      </c>
    </row>
    <row r="70" spans="1:15">
      <c r="A70" s="492" t="s">
        <v>421</v>
      </c>
      <c r="B70" s="3" t="s">
        <v>303</v>
      </c>
      <c r="C70" s="3" t="s">
        <v>303</v>
      </c>
      <c r="D70" s="27" t="s">
        <v>310</v>
      </c>
      <c r="E70" s="4" t="s">
        <v>306</v>
      </c>
      <c r="F70" s="3"/>
      <c r="G70" s="6"/>
      <c r="H70" s="6"/>
      <c r="I70" s="6"/>
      <c r="J70" s="6"/>
      <c r="K70" s="6"/>
      <c r="L70" s="6"/>
      <c r="M70" s="6"/>
      <c r="N70" s="6"/>
      <c r="O70" s="615">
        <f>O71</f>
        <v>65.498958947999995</v>
      </c>
    </row>
    <row r="71" spans="1:15">
      <c r="A71" s="616"/>
      <c r="B71" s="33"/>
      <c r="C71" s="33"/>
      <c r="D71" s="32"/>
      <c r="E71" s="37"/>
      <c r="F71" s="33"/>
      <c r="G71" s="38"/>
      <c r="H71" s="38"/>
      <c r="I71" s="38">
        <f>O55</f>
        <v>1015.6451999999999</v>
      </c>
      <c r="J71" s="38"/>
      <c r="K71" s="38"/>
      <c r="L71" s="68">
        <v>6.4490000000000006E-2</v>
      </c>
      <c r="M71" s="38"/>
      <c r="N71" s="38"/>
      <c r="O71" s="617">
        <f>I71*L71</f>
        <v>65.498958947999995</v>
      </c>
    </row>
    <row r="72" spans="1:15">
      <c r="A72" s="518" t="s">
        <v>71</v>
      </c>
      <c r="B72" s="25"/>
      <c r="C72" s="25"/>
      <c r="D72" s="25" t="s">
        <v>72</v>
      </c>
      <c r="E72" s="25"/>
      <c r="F72" s="1"/>
      <c r="G72" s="25"/>
      <c r="H72" s="25"/>
      <c r="I72" s="2"/>
      <c r="J72" s="2"/>
      <c r="K72" s="2"/>
      <c r="L72" s="2"/>
      <c r="M72" s="2"/>
      <c r="N72" s="2"/>
      <c r="O72" s="519"/>
    </row>
    <row r="73" spans="1:15" ht="41.45" customHeight="1">
      <c r="A73" s="492" t="s">
        <v>73</v>
      </c>
      <c r="B73" s="3" t="s">
        <v>74</v>
      </c>
      <c r="C73" s="27" t="s">
        <v>24</v>
      </c>
      <c r="D73" s="27" t="s">
        <v>75</v>
      </c>
      <c r="E73" s="4" t="s">
        <v>76</v>
      </c>
      <c r="F73" s="3"/>
      <c r="G73" s="6"/>
      <c r="H73" s="6"/>
      <c r="I73" s="6"/>
      <c r="J73" s="6"/>
      <c r="K73" s="6"/>
      <c r="L73" s="6"/>
      <c r="M73" s="6"/>
      <c r="N73" s="6"/>
      <c r="O73" s="615">
        <f>SUM(O74:O76)</f>
        <v>1362.0000000000002</v>
      </c>
    </row>
    <row r="74" spans="1:15" ht="15" customHeight="1">
      <c r="A74" s="616"/>
      <c r="B74" s="33"/>
      <c r="C74" s="32"/>
      <c r="D74" s="33" t="s">
        <v>429</v>
      </c>
      <c r="E74" s="37"/>
      <c r="F74" s="33">
        <v>1193.69</v>
      </c>
      <c r="G74" s="38"/>
      <c r="H74" s="38"/>
      <c r="I74" s="38"/>
      <c r="J74" s="38"/>
      <c r="K74" s="38"/>
      <c r="L74" s="38"/>
      <c r="M74" s="38"/>
      <c r="N74" s="38"/>
      <c r="O74" s="617">
        <f>F74</f>
        <v>1193.69</v>
      </c>
    </row>
    <row r="75" spans="1:15">
      <c r="A75" s="616"/>
      <c r="B75" s="33"/>
      <c r="C75" s="32"/>
      <c r="D75" s="33" t="s">
        <v>430</v>
      </c>
      <c r="E75" s="37"/>
      <c r="F75" s="33">
        <v>56.88</v>
      </c>
      <c r="G75" s="38"/>
      <c r="H75" s="38"/>
      <c r="I75" s="38"/>
      <c r="J75" s="38"/>
      <c r="K75" s="38"/>
      <c r="L75" s="38"/>
      <c r="M75" s="38"/>
      <c r="N75" s="38"/>
      <c r="O75" s="617">
        <f t="shared" ref="O75:O76" si="1">F75</f>
        <v>56.88</v>
      </c>
    </row>
    <row r="76" spans="1:15" ht="15" customHeight="1">
      <c r="A76" s="616"/>
      <c r="B76" s="33"/>
      <c r="C76" s="32"/>
      <c r="D76" s="33" t="s">
        <v>516</v>
      </c>
      <c r="E76" s="37"/>
      <c r="F76" s="33">
        <v>111.43</v>
      </c>
      <c r="G76" s="38"/>
      <c r="H76" s="38"/>
      <c r="I76" s="38"/>
      <c r="J76" s="38"/>
      <c r="K76" s="38"/>
      <c r="L76" s="38"/>
      <c r="M76" s="38"/>
      <c r="N76" s="38"/>
      <c r="O76" s="617">
        <f t="shared" si="1"/>
        <v>111.43</v>
      </c>
    </row>
    <row r="77" spans="1:15" ht="25.5">
      <c r="A77" s="492" t="s">
        <v>77</v>
      </c>
      <c r="B77" s="3" t="s">
        <v>78</v>
      </c>
      <c r="C77" s="27" t="s">
        <v>24</v>
      </c>
      <c r="D77" s="27" t="s">
        <v>79</v>
      </c>
      <c r="E77" s="4" t="s">
        <v>76</v>
      </c>
      <c r="F77" s="3"/>
      <c r="G77" s="6"/>
      <c r="H77" s="6"/>
      <c r="I77" s="6"/>
      <c r="J77" s="6"/>
      <c r="K77" s="6"/>
      <c r="L77" s="6"/>
      <c r="M77" s="6"/>
      <c r="N77" s="6"/>
      <c r="O77" s="615">
        <f>SUM(O78:O80)</f>
        <v>825.43000000000006</v>
      </c>
    </row>
    <row r="78" spans="1:15">
      <c r="A78" s="616"/>
      <c r="B78" s="33"/>
      <c r="C78" s="32"/>
      <c r="D78" s="33" t="s">
        <v>429</v>
      </c>
      <c r="E78" s="37"/>
      <c r="F78" s="33">
        <v>657.12</v>
      </c>
      <c r="G78" s="38"/>
      <c r="H78" s="38"/>
      <c r="I78" s="38"/>
      <c r="J78" s="38"/>
      <c r="K78" s="38"/>
      <c r="L78" s="38"/>
      <c r="M78" s="38"/>
      <c r="N78" s="38"/>
      <c r="O78" s="617">
        <f>F78</f>
        <v>657.12</v>
      </c>
    </row>
    <row r="79" spans="1:15" ht="15" customHeight="1">
      <c r="A79" s="616"/>
      <c r="B79" s="33"/>
      <c r="C79" s="32"/>
      <c r="D79" s="33" t="s">
        <v>430</v>
      </c>
      <c r="E79" s="37"/>
      <c r="F79" s="33">
        <f t="shared" ref="F79:F80" si="2">F75</f>
        <v>56.88</v>
      </c>
      <c r="G79" s="38"/>
      <c r="H79" s="38"/>
      <c r="I79" s="38"/>
      <c r="J79" s="38"/>
      <c r="K79" s="38"/>
      <c r="L79" s="38"/>
      <c r="M79" s="38"/>
      <c r="N79" s="38"/>
      <c r="O79" s="617">
        <f t="shared" ref="O79:O80" si="3">F79</f>
        <v>56.88</v>
      </c>
    </row>
    <row r="80" spans="1:15">
      <c r="A80" s="616"/>
      <c r="B80" s="33"/>
      <c r="C80" s="32"/>
      <c r="D80" s="33" t="s">
        <v>516</v>
      </c>
      <c r="E80" s="37"/>
      <c r="F80" s="33">
        <f t="shared" si="2"/>
        <v>111.43</v>
      </c>
      <c r="G80" s="38"/>
      <c r="H80" s="38"/>
      <c r="I80" s="38"/>
      <c r="J80" s="38"/>
      <c r="K80" s="38"/>
      <c r="L80" s="38"/>
      <c r="M80" s="38"/>
      <c r="N80" s="38"/>
      <c r="O80" s="617">
        <f t="shared" si="3"/>
        <v>111.43</v>
      </c>
    </row>
    <row r="81" spans="1:15">
      <c r="A81" s="518" t="s">
        <v>80</v>
      </c>
      <c r="B81" s="25"/>
      <c r="C81" s="25"/>
      <c r="D81" s="25" t="s">
        <v>81</v>
      </c>
      <c r="E81" s="25"/>
      <c r="F81" s="1"/>
      <c r="G81" s="25"/>
      <c r="H81" s="25"/>
      <c r="I81" s="2"/>
      <c r="J81" s="2"/>
      <c r="K81" s="2"/>
      <c r="L81" s="2"/>
      <c r="M81" s="2"/>
      <c r="N81" s="2"/>
      <c r="O81" s="519"/>
    </row>
    <row r="82" spans="1:15" ht="30" customHeight="1">
      <c r="A82" s="492" t="s">
        <v>372</v>
      </c>
      <c r="B82" s="3" t="s">
        <v>82</v>
      </c>
      <c r="C82" s="27" t="s">
        <v>24</v>
      </c>
      <c r="D82" s="27" t="s">
        <v>83</v>
      </c>
      <c r="E82" s="4" t="s">
        <v>21</v>
      </c>
      <c r="F82" s="3"/>
      <c r="G82" s="6"/>
      <c r="H82" s="6"/>
      <c r="I82" s="6"/>
      <c r="J82" s="6"/>
      <c r="K82" s="6"/>
      <c r="L82" s="6"/>
      <c r="M82" s="6"/>
      <c r="N82" s="6"/>
      <c r="O82" s="615">
        <f>O83</f>
        <v>170.57</v>
      </c>
    </row>
    <row r="83" spans="1:15">
      <c r="A83" s="616"/>
      <c r="B83" s="33"/>
      <c r="C83" s="32"/>
      <c r="D83" s="33" t="s">
        <v>646</v>
      </c>
      <c r="E83" s="37"/>
      <c r="F83" s="33"/>
      <c r="G83" s="38"/>
      <c r="H83" s="38"/>
      <c r="I83" s="38">
        <v>170.57</v>
      </c>
      <c r="J83" s="38"/>
      <c r="K83" s="38"/>
      <c r="L83" s="38"/>
      <c r="M83" s="38"/>
      <c r="N83" s="38"/>
      <c r="O83" s="617">
        <f>I83</f>
        <v>170.57</v>
      </c>
    </row>
    <row r="84" spans="1:15" ht="42" customHeight="1">
      <c r="A84" s="492" t="s">
        <v>373</v>
      </c>
      <c r="B84" s="3" t="s">
        <v>422</v>
      </c>
      <c r="C84" s="27" t="s">
        <v>24</v>
      </c>
      <c r="D84" s="27" t="s">
        <v>423</v>
      </c>
      <c r="E84" s="4" t="s">
        <v>21</v>
      </c>
      <c r="F84" s="3"/>
      <c r="G84" s="6"/>
      <c r="H84" s="6"/>
      <c r="I84" s="6"/>
      <c r="J84" s="6"/>
      <c r="K84" s="6"/>
      <c r="L84" s="6"/>
      <c r="M84" s="6"/>
      <c r="N84" s="6"/>
      <c r="O84" s="615">
        <f>SUM(O85:O86)</f>
        <v>1242.79</v>
      </c>
    </row>
    <row r="85" spans="1:15" ht="15.6" customHeight="1">
      <c r="A85" s="616"/>
      <c r="B85" s="33"/>
      <c r="C85" s="32"/>
      <c r="D85" s="33" t="s">
        <v>430</v>
      </c>
      <c r="E85" s="37"/>
      <c r="F85" s="33"/>
      <c r="G85" s="38"/>
      <c r="H85" s="38"/>
      <c r="I85" s="38">
        <v>107.45</v>
      </c>
      <c r="J85" s="38"/>
      <c r="K85" s="38"/>
      <c r="L85" s="38"/>
      <c r="M85" s="38"/>
      <c r="N85" s="38"/>
      <c r="O85" s="617">
        <f>I85</f>
        <v>107.45</v>
      </c>
    </row>
    <row r="86" spans="1:15">
      <c r="A86" s="616"/>
      <c r="B86" s="33"/>
      <c r="C86" s="32"/>
      <c r="D86" s="33" t="s">
        <v>429</v>
      </c>
      <c r="E86" s="37"/>
      <c r="F86" s="33"/>
      <c r="G86" s="38"/>
      <c r="H86" s="38"/>
      <c r="I86" s="38">
        <v>1135.3399999999999</v>
      </c>
      <c r="J86" s="38"/>
      <c r="K86" s="38"/>
      <c r="L86" s="38"/>
      <c r="M86" s="38"/>
      <c r="N86" s="38"/>
      <c r="O86" s="617">
        <f>I86</f>
        <v>1135.3399999999999</v>
      </c>
    </row>
    <row r="87" spans="1:15" ht="54.6" customHeight="1">
      <c r="A87" s="492" t="s">
        <v>374</v>
      </c>
      <c r="B87" s="3" t="s">
        <v>42</v>
      </c>
      <c r="C87" s="27" t="s">
        <v>24</v>
      </c>
      <c r="D87" s="27" t="s">
        <v>667</v>
      </c>
      <c r="E87" s="4" t="s">
        <v>28</v>
      </c>
      <c r="F87" s="3"/>
      <c r="G87" s="6"/>
      <c r="H87" s="6"/>
      <c r="I87" s="6"/>
      <c r="J87" s="6"/>
      <c r="K87" s="6"/>
      <c r="L87" s="6"/>
      <c r="M87" s="6"/>
      <c r="N87" s="6"/>
      <c r="O87" s="615">
        <f>SUM(O88:O89)</f>
        <v>11.359961999999999</v>
      </c>
    </row>
    <row r="88" spans="1:15" ht="15.6" customHeight="1">
      <c r="A88" s="616"/>
      <c r="B88" s="33"/>
      <c r="C88" s="32"/>
      <c r="D88" s="33" t="s">
        <v>321</v>
      </c>
      <c r="E88" s="37"/>
      <c r="F88" s="33"/>
      <c r="G88" s="38"/>
      <c r="H88" s="38"/>
      <c r="I88" s="38">
        <f>I83</f>
        <v>170.57</v>
      </c>
      <c r="J88" s="38"/>
      <c r="K88" s="38"/>
      <c r="L88" s="68">
        <v>5.6800000000000003E-2</v>
      </c>
      <c r="M88" s="38"/>
      <c r="N88" s="38"/>
      <c r="O88" s="617">
        <f>I88*L88</f>
        <v>9.6883759999999999</v>
      </c>
    </row>
    <row r="89" spans="1:15" ht="15" customHeight="1">
      <c r="A89" s="616"/>
      <c r="B89" s="33"/>
      <c r="C89" s="32"/>
      <c r="D89" s="33" t="s">
        <v>322</v>
      </c>
      <c r="E89" s="37"/>
      <c r="F89" s="33"/>
      <c r="G89" s="38"/>
      <c r="H89" s="38"/>
      <c r="I89" s="38">
        <f>I88</f>
        <v>170.57</v>
      </c>
      <c r="J89" s="38"/>
      <c r="K89" s="38"/>
      <c r="L89" s="68">
        <v>9.7999999999999997E-3</v>
      </c>
      <c r="M89" s="38"/>
      <c r="N89" s="38"/>
      <c r="O89" s="617">
        <f>I89*L89</f>
        <v>1.6715859999999998</v>
      </c>
    </row>
    <row r="90" spans="1:15" ht="30" customHeight="1">
      <c r="A90" s="492" t="s">
        <v>424</v>
      </c>
      <c r="B90" s="3" t="s">
        <v>56</v>
      </c>
      <c r="C90" s="27" t="s">
        <v>24</v>
      </c>
      <c r="D90" s="27" t="s">
        <v>57</v>
      </c>
      <c r="E90" s="4" t="s">
        <v>36</v>
      </c>
      <c r="F90" s="3"/>
      <c r="G90" s="6"/>
      <c r="H90" s="6"/>
      <c r="I90" s="6"/>
      <c r="J90" s="6"/>
      <c r="K90" s="6"/>
      <c r="L90" s="6"/>
      <c r="M90" s="6"/>
      <c r="N90" s="6"/>
      <c r="O90" s="615">
        <f>O91</f>
        <v>340.79885999999999</v>
      </c>
    </row>
    <row r="91" spans="1:15" ht="15.6" customHeight="1">
      <c r="A91" s="616"/>
      <c r="B91" s="33"/>
      <c r="C91" s="32"/>
      <c r="D91" s="32"/>
      <c r="E91" s="37"/>
      <c r="F91" s="33"/>
      <c r="G91" s="38"/>
      <c r="H91" s="38"/>
      <c r="I91" s="38"/>
      <c r="J91" s="38">
        <f>O87</f>
        <v>11.359961999999999</v>
      </c>
      <c r="K91" s="38"/>
      <c r="L91" s="38"/>
      <c r="M91" s="38"/>
      <c r="N91" s="38">
        <v>30</v>
      </c>
      <c r="O91" s="617">
        <f>J91*N91</f>
        <v>340.79885999999999</v>
      </c>
    </row>
    <row r="92" spans="1:15" ht="15.6" customHeight="1">
      <c r="A92" s="518">
        <v>6</v>
      </c>
      <c r="B92" s="25"/>
      <c r="C92" s="25"/>
      <c r="D92" s="25" t="s">
        <v>329</v>
      </c>
      <c r="E92" s="25"/>
      <c r="F92" s="1"/>
      <c r="G92" s="25"/>
      <c r="H92" s="25"/>
      <c r="I92" s="2"/>
      <c r="J92" s="2"/>
      <c r="K92" s="2"/>
      <c r="L92" s="2"/>
      <c r="M92" s="2"/>
      <c r="N92" s="2"/>
      <c r="O92" s="519"/>
    </row>
    <row r="93" spans="1:15" ht="42" customHeight="1">
      <c r="A93" s="492" t="s">
        <v>375</v>
      </c>
      <c r="B93" s="3" t="s">
        <v>330</v>
      </c>
      <c r="C93" s="27" t="s">
        <v>24</v>
      </c>
      <c r="D93" s="27" t="s">
        <v>331</v>
      </c>
      <c r="E93" s="4" t="s">
        <v>76</v>
      </c>
      <c r="F93" s="3"/>
      <c r="G93" s="6"/>
      <c r="H93" s="6"/>
      <c r="I93" s="6"/>
      <c r="J93" s="6"/>
      <c r="K93" s="6"/>
      <c r="L93" s="6"/>
      <c r="M93" s="6"/>
      <c r="N93" s="6"/>
      <c r="O93" s="615">
        <f>SUM(O94:O95)</f>
        <v>3808.3028571428567</v>
      </c>
    </row>
    <row r="94" spans="1:15">
      <c r="A94" s="616"/>
      <c r="B94" s="33"/>
      <c r="C94" s="32"/>
      <c r="D94" s="33" t="s">
        <v>429</v>
      </c>
      <c r="E94" s="37"/>
      <c r="F94" s="38">
        <v>574.23142857142852</v>
      </c>
      <c r="G94" s="38"/>
      <c r="H94" s="38"/>
      <c r="I94" s="38"/>
      <c r="J94" s="38"/>
      <c r="K94" s="38"/>
      <c r="L94" s="38"/>
      <c r="M94" s="38">
        <v>3</v>
      </c>
      <c r="N94" s="38"/>
      <c r="O94" s="617">
        <f>F94*M94</f>
        <v>1722.6942857142856</v>
      </c>
    </row>
    <row r="95" spans="1:15">
      <c r="A95" s="616"/>
      <c r="B95" s="33"/>
      <c r="C95" s="32"/>
      <c r="D95" s="33" t="s">
        <v>430</v>
      </c>
      <c r="E95" s="37"/>
      <c r="F95" s="38">
        <v>695.20285714285717</v>
      </c>
      <c r="G95" s="38"/>
      <c r="H95" s="38"/>
      <c r="I95" s="38"/>
      <c r="J95" s="38"/>
      <c r="K95" s="38"/>
      <c r="L95" s="38"/>
      <c r="M95" s="38">
        <v>3</v>
      </c>
      <c r="N95" s="38"/>
      <c r="O95" s="617">
        <f>F95*M95</f>
        <v>2085.6085714285714</v>
      </c>
    </row>
    <row r="96" spans="1:15">
      <c r="A96" s="518">
        <v>7</v>
      </c>
      <c r="B96" s="25"/>
      <c r="C96" s="25"/>
      <c r="D96" s="25" t="s">
        <v>87</v>
      </c>
      <c r="E96" s="25"/>
      <c r="F96" s="1"/>
      <c r="G96" s="25"/>
      <c r="H96" s="25"/>
      <c r="I96" s="2"/>
      <c r="J96" s="2"/>
      <c r="K96" s="2"/>
      <c r="L96" s="2"/>
      <c r="M96" s="2"/>
      <c r="N96" s="2"/>
      <c r="O96" s="519">
        <f>O97</f>
        <v>1.45</v>
      </c>
    </row>
    <row r="97" spans="1:15">
      <c r="A97" s="621" t="s">
        <v>376</v>
      </c>
      <c r="B97" s="622" t="s">
        <v>88</v>
      </c>
      <c r="C97" s="623" t="s">
        <v>19</v>
      </c>
      <c r="D97" s="623" t="s">
        <v>89</v>
      </c>
      <c r="E97" s="624" t="s">
        <v>90</v>
      </c>
      <c r="F97" s="622"/>
      <c r="G97" s="625"/>
      <c r="H97" s="625"/>
      <c r="I97" s="625"/>
      <c r="J97" s="625"/>
      <c r="K97" s="625"/>
      <c r="L97" s="625"/>
      <c r="M97" s="625">
        <v>1.45</v>
      </c>
      <c r="N97" s="625"/>
      <c r="O97" s="626">
        <f>M97</f>
        <v>1.45</v>
      </c>
    </row>
    <row r="98" spans="1:1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</row>
  </sheetData>
  <mergeCells count="10">
    <mergeCell ref="A5:O5"/>
    <mergeCell ref="A1:C2"/>
    <mergeCell ref="D1:F1"/>
    <mergeCell ref="G1:H1"/>
    <mergeCell ref="I1:O2"/>
    <mergeCell ref="D2:F2"/>
    <mergeCell ref="A3:D3"/>
    <mergeCell ref="E3:O3"/>
    <mergeCell ref="A4:D4"/>
    <mergeCell ref="E4:O4"/>
  </mergeCells>
  <conditionalFormatting sqref="D18">
    <cfRule type="duplicateValues" dxfId="14" priority="1"/>
  </conditionalFormatting>
  <pageMargins left="0.511811024" right="0.511811024" top="0.78740157499999996" bottom="0.78740157499999996" header="0.31496062000000002" footer="0.31496062000000002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O483"/>
  <sheetViews>
    <sheetView topLeftCell="A467" zoomScaleNormal="100" workbookViewId="0">
      <selection activeCell="A5" sqref="A5:J5"/>
    </sheetView>
  </sheetViews>
  <sheetFormatPr defaultColWidth="9" defaultRowHeight="14.25"/>
  <cols>
    <col min="1" max="1" width="10.25" customWidth="1"/>
    <col min="2" max="2" width="13.75" style="84" customWidth="1"/>
    <col min="3" max="3" width="7.375" style="84" customWidth="1"/>
    <col min="4" max="4" width="60" bestFit="1" customWidth="1"/>
    <col min="5" max="5" width="12.875" customWidth="1"/>
    <col min="6" max="6" width="10.75" customWidth="1"/>
    <col min="7" max="7" width="11.25" bestFit="1" customWidth="1"/>
    <col min="8" max="8" width="12.75" bestFit="1" customWidth="1"/>
    <col min="9" max="9" width="12.375" bestFit="1" customWidth="1"/>
    <col min="10" max="10" width="14.875" customWidth="1"/>
    <col min="11" max="11" width="16.25" customWidth="1"/>
    <col min="12" max="12" width="10.75" customWidth="1"/>
  </cols>
  <sheetData>
    <row r="1" spans="1:11">
      <c r="A1" s="982"/>
      <c r="B1" s="983"/>
      <c r="C1" s="983"/>
      <c r="D1" s="1113" t="s">
        <v>735</v>
      </c>
      <c r="E1" s="1114"/>
      <c r="F1" s="1115"/>
      <c r="G1" s="1182" t="s">
        <v>1</v>
      </c>
      <c r="H1" s="1010"/>
      <c r="I1" s="1072"/>
      <c r="J1" s="1073"/>
    </row>
    <row r="2" spans="1:11" ht="54.6" customHeight="1">
      <c r="A2" s="983"/>
      <c r="B2" s="983"/>
      <c r="C2" s="983"/>
      <c r="D2" s="984" t="s">
        <v>631</v>
      </c>
      <c r="E2" s="985"/>
      <c r="F2" s="986"/>
      <c r="G2" s="485">
        <v>0.2097</v>
      </c>
      <c r="H2" s="485">
        <v>0.14019999999999999</v>
      </c>
      <c r="I2" s="1074"/>
      <c r="J2" s="1075"/>
      <c r="K2" t="s">
        <v>684</v>
      </c>
    </row>
    <row r="3" spans="1:11" ht="13.9" customHeight="1">
      <c r="A3" s="979" t="s">
        <v>732</v>
      </c>
      <c r="B3" s="980"/>
      <c r="C3" s="980"/>
      <c r="D3" s="980"/>
      <c r="E3" s="981" t="s">
        <v>734</v>
      </c>
      <c r="F3" s="980"/>
      <c r="G3" s="980"/>
      <c r="H3" s="980"/>
      <c r="I3" s="980"/>
      <c r="J3" s="980"/>
    </row>
    <row r="4" spans="1:11" ht="24" customHeight="1">
      <c r="A4" s="977" t="s">
        <v>739</v>
      </c>
      <c r="B4" s="978"/>
      <c r="C4" s="978"/>
      <c r="D4" s="978"/>
      <c r="E4" s="990" t="s">
        <v>5</v>
      </c>
      <c r="F4" s="990"/>
      <c r="G4" s="991"/>
      <c r="H4" s="991"/>
      <c r="I4" s="991"/>
      <c r="J4" s="991"/>
    </row>
    <row r="5" spans="1:11" ht="24" customHeight="1">
      <c r="A5" s="1093" t="s">
        <v>91</v>
      </c>
      <c r="B5" s="1094"/>
      <c r="C5" s="1094"/>
      <c r="D5" s="1094"/>
      <c r="E5" s="1094"/>
      <c r="F5" s="1094"/>
      <c r="G5" s="1094"/>
      <c r="H5" s="1094"/>
      <c r="I5" s="1094"/>
      <c r="J5" s="1095"/>
    </row>
    <row r="6" spans="1:11" ht="26.1" customHeight="1">
      <c r="A6" s="518" t="s">
        <v>16</v>
      </c>
      <c r="B6" s="229"/>
      <c r="C6" s="229"/>
      <c r="D6" s="25" t="s">
        <v>17</v>
      </c>
      <c r="E6" s="25"/>
      <c r="F6" s="1090"/>
      <c r="G6" s="1090"/>
      <c r="H6" s="1"/>
      <c r="I6" s="25"/>
      <c r="J6" s="519">
        <f>J18+J29+J39+J70+J80+J88</f>
        <v>39667.69</v>
      </c>
    </row>
    <row r="7" spans="1:11" ht="15">
      <c r="A7" s="490" t="s">
        <v>18</v>
      </c>
      <c r="B7" s="31" t="s">
        <v>7</v>
      </c>
      <c r="C7" s="31" t="s">
        <v>8</v>
      </c>
      <c r="D7" s="31" t="s">
        <v>9</v>
      </c>
      <c r="E7" s="1089" t="s">
        <v>92</v>
      </c>
      <c r="F7" s="1089"/>
      <c r="G7" s="31" t="s">
        <v>10</v>
      </c>
      <c r="H7" s="31" t="s">
        <v>11</v>
      </c>
      <c r="I7" s="31" t="s">
        <v>12</v>
      </c>
      <c r="J7" s="516" t="s">
        <v>14</v>
      </c>
    </row>
    <row r="8" spans="1:11" ht="24" customHeight="1">
      <c r="A8" s="492" t="s">
        <v>93</v>
      </c>
      <c r="B8" s="4" t="s">
        <v>604</v>
      </c>
      <c r="C8" s="4" t="s">
        <v>19</v>
      </c>
      <c r="D8" s="27" t="s">
        <v>20</v>
      </c>
      <c r="E8" s="1079" t="s">
        <v>94</v>
      </c>
      <c r="F8" s="1079"/>
      <c r="G8" s="4" t="s">
        <v>21</v>
      </c>
      <c r="H8" s="5">
        <v>1</v>
      </c>
      <c r="I8" s="6">
        <v>371.36</v>
      </c>
      <c r="J8" s="493">
        <f>SUM(J9:J15)</f>
        <v>374.03189999999995</v>
      </c>
    </row>
    <row r="9" spans="1:11" ht="38.25">
      <c r="A9" s="494" t="s">
        <v>95</v>
      </c>
      <c r="B9" s="8" t="s">
        <v>96</v>
      </c>
      <c r="C9" s="8" t="s">
        <v>24</v>
      </c>
      <c r="D9" s="23" t="s">
        <v>97</v>
      </c>
      <c r="E9" s="1080" t="s">
        <v>98</v>
      </c>
      <c r="F9" s="1080"/>
      <c r="G9" s="8" t="s">
        <v>28</v>
      </c>
      <c r="H9" s="9">
        <v>0.01</v>
      </c>
      <c r="I9" s="10">
        <v>406.72</v>
      </c>
      <c r="J9" s="495">
        <f>I9*H9</f>
        <v>4.0672000000000006</v>
      </c>
    </row>
    <row r="10" spans="1:11" ht="25.5">
      <c r="A10" s="494" t="s">
        <v>95</v>
      </c>
      <c r="B10" s="8" t="s">
        <v>99</v>
      </c>
      <c r="C10" s="8" t="s">
        <v>24</v>
      </c>
      <c r="D10" s="23" t="s">
        <v>100</v>
      </c>
      <c r="E10" s="1080" t="s">
        <v>101</v>
      </c>
      <c r="F10" s="1080"/>
      <c r="G10" s="8" t="s">
        <v>102</v>
      </c>
      <c r="H10" s="9">
        <v>1</v>
      </c>
      <c r="I10" s="10">
        <v>26.12</v>
      </c>
      <c r="J10" s="495">
        <f t="shared" ref="J10:J15" si="0">I10*H10</f>
        <v>26.12</v>
      </c>
    </row>
    <row r="11" spans="1:11" ht="24" customHeight="1">
      <c r="A11" s="494" t="s">
        <v>95</v>
      </c>
      <c r="B11" s="8" t="s">
        <v>103</v>
      </c>
      <c r="C11" s="8" t="s">
        <v>24</v>
      </c>
      <c r="D11" s="23" t="s">
        <v>104</v>
      </c>
      <c r="E11" s="1080" t="s">
        <v>101</v>
      </c>
      <c r="F11" s="1080"/>
      <c r="G11" s="8" t="s">
        <v>102</v>
      </c>
      <c r="H11" s="9">
        <v>2</v>
      </c>
      <c r="I11" s="10">
        <v>21.05</v>
      </c>
      <c r="J11" s="495">
        <f t="shared" si="0"/>
        <v>42.1</v>
      </c>
    </row>
    <row r="12" spans="1:11" ht="25.5">
      <c r="A12" s="496" t="s">
        <v>105</v>
      </c>
      <c r="B12" s="11" t="s">
        <v>106</v>
      </c>
      <c r="C12" s="11" t="s">
        <v>24</v>
      </c>
      <c r="D12" s="24" t="s">
        <v>107</v>
      </c>
      <c r="E12" s="1087" t="s">
        <v>108</v>
      </c>
      <c r="F12" s="1087"/>
      <c r="G12" s="11" t="s">
        <v>76</v>
      </c>
      <c r="H12" s="12">
        <v>4</v>
      </c>
      <c r="I12" s="13">
        <v>10.66</v>
      </c>
      <c r="J12" s="497">
        <f t="shared" si="0"/>
        <v>42.64</v>
      </c>
      <c r="K12" t="s">
        <v>632</v>
      </c>
    </row>
    <row r="13" spans="1:11" ht="25.5">
      <c r="A13" s="496" t="s">
        <v>105</v>
      </c>
      <c r="B13" s="11" t="s">
        <v>109</v>
      </c>
      <c r="C13" s="11" t="s">
        <v>24</v>
      </c>
      <c r="D13" s="24" t="s">
        <v>110</v>
      </c>
      <c r="E13" s="1087" t="s">
        <v>108</v>
      </c>
      <c r="F13" s="1087"/>
      <c r="G13" s="11" t="s">
        <v>21</v>
      </c>
      <c r="H13" s="12">
        <v>1</v>
      </c>
      <c r="I13" s="13">
        <v>250</v>
      </c>
      <c r="J13" s="497">
        <f t="shared" si="0"/>
        <v>250</v>
      </c>
    </row>
    <row r="14" spans="1:11" ht="15" customHeight="1">
      <c r="A14" s="496" t="s">
        <v>105</v>
      </c>
      <c r="B14" s="11" t="s">
        <v>111</v>
      </c>
      <c r="C14" s="11" t="s">
        <v>24</v>
      </c>
      <c r="D14" s="24" t="s">
        <v>112</v>
      </c>
      <c r="E14" s="1087" t="s">
        <v>108</v>
      </c>
      <c r="F14" s="1087"/>
      <c r="G14" s="11" t="s">
        <v>113</v>
      </c>
      <c r="H14" s="12">
        <v>0.11</v>
      </c>
      <c r="I14" s="13">
        <v>15.77</v>
      </c>
      <c r="J14" s="497">
        <f t="shared" si="0"/>
        <v>1.7346999999999999</v>
      </c>
    </row>
    <row r="15" spans="1:11" ht="38.25">
      <c r="A15" s="496" t="s">
        <v>105</v>
      </c>
      <c r="B15" s="11" t="s">
        <v>114</v>
      </c>
      <c r="C15" s="11" t="s">
        <v>24</v>
      </c>
      <c r="D15" s="24" t="s">
        <v>115</v>
      </c>
      <c r="E15" s="1087" t="s">
        <v>108</v>
      </c>
      <c r="F15" s="1087"/>
      <c r="G15" s="11" t="s">
        <v>76</v>
      </c>
      <c r="H15" s="12">
        <v>1</v>
      </c>
      <c r="I15" s="13">
        <v>7.37</v>
      </c>
      <c r="J15" s="497">
        <f t="shared" si="0"/>
        <v>7.37</v>
      </c>
    </row>
    <row r="16" spans="1:11">
      <c r="A16" s="498"/>
      <c r="B16" s="20"/>
      <c r="C16" s="20"/>
      <c r="D16" s="499"/>
      <c r="E16" s="499" t="s">
        <v>116</v>
      </c>
      <c r="F16" s="500">
        <v>52.77</v>
      </c>
      <c r="G16" s="499" t="s">
        <v>117</v>
      </c>
      <c r="H16" s="500">
        <v>0</v>
      </c>
      <c r="I16" s="499" t="s">
        <v>118</v>
      </c>
      <c r="J16" s="501">
        <v>52.77</v>
      </c>
    </row>
    <row r="17" spans="1:11">
      <c r="A17" s="498"/>
      <c r="B17" s="20"/>
      <c r="C17" s="20"/>
      <c r="D17" s="499"/>
      <c r="E17" s="499" t="s">
        <v>119</v>
      </c>
      <c r="F17" s="500">
        <f>J17-J8</f>
        <v>78.434489429999985</v>
      </c>
      <c r="G17" s="499"/>
      <c r="H17" s="1082" t="s">
        <v>120</v>
      </c>
      <c r="I17" s="1082"/>
      <c r="J17" s="501">
        <f>J8*(1+G2)</f>
        <v>452.46638942999994</v>
      </c>
    </row>
    <row r="18" spans="1:11" ht="39" customHeight="1" thickBot="1">
      <c r="A18" s="503"/>
      <c r="B18" s="666"/>
      <c r="C18" s="666"/>
      <c r="D18" s="14"/>
      <c r="E18" s="14"/>
      <c r="F18" s="14"/>
      <c r="G18" s="14" t="s">
        <v>121</v>
      </c>
      <c r="H18" s="504">
        <f>'OBRA 04 - MEMÓRIA'!O8</f>
        <v>6</v>
      </c>
      <c r="I18" s="14" t="s">
        <v>122</v>
      </c>
      <c r="J18" s="505">
        <f>TRUNC(H18*J17,2)</f>
        <v>2714.79</v>
      </c>
    </row>
    <row r="19" spans="1:11" ht="15" thickTop="1">
      <c r="A19" s="506"/>
      <c r="B19" s="230"/>
      <c r="C19" s="230"/>
      <c r="D19" s="15"/>
      <c r="E19" s="15"/>
      <c r="F19" s="15"/>
      <c r="G19" s="15"/>
      <c r="H19" s="15"/>
      <c r="I19" s="15"/>
      <c r="J19" s="507"/>
    </row>
    <row r="20" spans="1:11" ht="24" customHeight="1">
      <c r="A20" s="490" t="s">
        <v>22</v>
      </c>
      <c r="B20" s="31" t="s">
        <v>7</v>
      </c>
      <c r="C20" s="31" t="s">
        <v>8</v>
      </c>
      <c r="D20" s="26" t="s">
        <v>9</v>
      </c>
      <c r="E20" s="1092" t="s">
        <v>92</v>
      </c>
      <c r="F20" s="1092"/>
      <c r="G20" s="31" t="s">
        <v>10</v>
      </c>
      <c r="H20" s="29" t="s">
        <v>11</v>
      </c>
      <c r="I20" s="29" t="s">
        <v>12</v>
      </c>
      <c r="J20" s="491" t="s">
        <v>14</v>
      </c>
    </row>
    <row r="21" spans="1:11" ht="65.099999999999994" customHeight="1">
      <c r="A21" s="492" t="s">
        <v>93</v>
      </c>
      <c r="B21" s="4" t="s">
        <v>23</v>
      </c>
      <c r="C21" s="4" t="s">
        <v>24</v>
      </c>
      <c r="D21" s="27" t="s">
        <v>25</v>
      </c>
      <c r="E21" s="1079" t="s">
        <v>94</v>
      </c>
      <c r="F21" s="1079"/>
      <c r="G21" s="4" t="s">
        <v>21</v>
      </c>
      <c r="H21" s="5">
        <v>1</v>
      </c>
      <c r="I21" s="6">
        <v>22.63</v>
      </c>
      <c r="J21" s="493">
        <f>SUM(J22:J26)</f>
        <v>22.650455999999998</v>
      </c>
    </row>
    <row r="22" spans="1:11" ht="25.5">
      <c r="A22" s="494" t="s">
        <v>95</v>
      </c>
      <c r="B22" s="8" t="s">
        <v>123</v>
      </c>
      <c r="C22" s="8" t="s">
        <v>24</v>
      </c>
      <c r="D22" s="23" t="s">
        <v>124</v>
      </c>
      <c r="E22" s="1080" t="s">
        <v>125</v>
      </c>
      <c r="F22" s="1080"/>
      <c r="G22" s="8" t="s">
        <v>126</v>
      </c>
      <c r="H22" s="9">
        <v>3.2599999999999997E-2</v>
      </c>
      <c r="I22" s="10">
        <v>216.97</v>
      </c>
      <c r="J22" s="495">
        <f>I22*H22</f>
        <v>7.0732219999999995</v>
      </c>
    </row>
    <row r="23" spans="1:11" ht="24" customHeight="1">
      <c r="A23" s="494" t="s">
        <v>95</v>
      </c>
      <c r="B23" s="8" t="s">
        <v>127</v>
      </c>
      <c r="C23" s="8" t="s">
        <v>24</v>
      </c>
      <c r="D23" s="23" t="s">
        <v>128</v>
      </c>
      <c r="E23" s="1080" t="s">
        <v>125</v>
      </c>
      <c r="F23" s="1080"/>
      <c r="G23" s="8" t="s">
        <v>129</v>
      </c>
      <c r="H23" s="9">
        <v>8.9599999999999999E-2</v>
      </c>
      <c r="I23" s="10">
        <v>94.82</v>
      </c>
      <c r="J23" s="495">
        <f t="shared" ref="J23:J26" si="1">I23*H23</f>
        <v>8.4958719999999985</v>
      </c>
      <c r="K23" t="s">
        <v>632</v>
      </c>
    </row>
    <row r="24" spans="1:11" ht="25.5">
      <c r="A24" s="494" t="s">
        <v>95</v>
      </c>
      <c r="B24" s="8" t="s">
        <v>130</v>
      </c>
      <c r="C24" s="8" t="s">
        <v>24</v>
      </c>
      <c r="D24" s="23" t="s">
        <v>131</v>
      </c>
      <c r="E24" s="1080" t="s">
        <v>101</v>
      </c>
      <c r="F24" s="1080"/>
      <c r="G24" s="8" t="s">
        <v>102</v>
      </c>
      <c r="H24" s="9">
        <v>0.24329999999999999</v>
      </c>
      <c r="I24" s="10">
        <v>26.5</v>
      </c>
      <c r="J24" s="495">
        <f t="shared" si="1"/>
        <v>6.4474499999999999</v>
      </c>
    </row>
    <row r="25" spans="1:11" ht="14.45" customHeight="1">
      <c r="A25" s="494" t="s">
        <v>95</v>
      </c>
      <c r="B25" s="8" t="s">
        <v>132</v>
      </c>
      <c r="C25" s="8" t="s">
        <v>24</v>
      </c>
      <c r="D25" s="23" t="s">
        <v>133</v>
      </c>
      <c r="E25" s="1080" t="s">
        <v>125</v>
      </c>
      <c r="F25" s="1080"/>
      <c r="G25" s="8" t="s">
        <v>126</v>
      </c>
      <c r="H25" s="9">
        <v>5.2400000000000002E-2</v>
      </c>
      <c r="I25" s="10">
        <v>10.55</v>
      </c>
      <c r="J25" s="495">
        <f t="shared" si="1"/>
        <v>0.55282000000000009</v>
      </c>
    </row>
    <row r="26" spans="1:11" ht="51">
      <c r="A26" s="494" t="s">
        <v>95</v>
      </c>
      <c r="B26" s="8" t="s">
        <v>134</v>
      </c>
      <c r="C26" s="8" t="s">
        <v>24</v>
      </c>
      <c r="D26" s="23" t="s">
        <v>135</v>
      </c>
      <c r="E26" s="1080" t="s">
        <v>125</v>
      </c>
      <c r="F26" s="1080"/>
      <c r="G26" s="8" t="s">
        <v>129</v>
      </c>
      <c r="H26" s="9">
        <v>8.3599999999999994E-2</v>
      </c>
      <c r="I26" s="10">
        <v>0.97</v>
      </c>
      <c r="J26" s="495">
        <f t="shared" si="1"/>
        <v>8.1091999999999997E-2</v>
      </c>
    </row>
    <row r="27" spans="1:11" ht="24" customHeight="1">
      <c r="A27" s="498"/>
      <c r="B27" s="20"/>
      <c r="C27" s="20"/>
      <c r="D27" s="499"/>
      <c r="E27" s="499" t="s">
        <v>116</v>
      </c>
      <c r="F27" s="500">
        <v>9.2100000000000009</v>
      </c>
      <c r="G27" s="499" t="s">
        <v>117</v>
      </c>
      <c r="H27" s="500">
        <v>0</v>
      </c>
      <c r="I27" s="499" t="s">
        <v>118</v>
      </c>
      <c r="J27" s="501">
        <v>9.2100000000000009</v>
      </c>
    </row>
    <row r="28" spans="1:11" ht="24" customHeight="1">
      <c r="A28" s="498"/>
      <c r="B28" s="20"/>
      <c r="C28" s="20"/>
      <c r="D28" s="499"/>
      <c r="E28" s="499" t="s">
        <v>119</v>
      </c>
      <c r="F28" s="500">
        <f>J28-J21</f>
        <v>4.7498006231999987</v>
      </c>
      <c r="G28" s="499"/>
      <c r="H28" s="1082" t="s">
        <v>120</v>
      </c>
      <c r="I28" s="1082"/>
      <c r="J28" s="501">
        <f>J21*(1+G2)</f>
        <v>27.400256623199997</v>
      </c>
    </row>
    <row r="29" spans="1:11" ht="26.1" customHeight="1" thickBot="1">
      <c r="A29" s="503"/>
      <c r="B29" s="666"/>
      <c r="C29" s="666"/>
      <c r="D29" s="14"/>
      <c r="E29" s="14"/>
      <c r="F29" s="14"/>
      <c r="G29" s="14" t="s">
        <v>121</v>
      </c>
      <c r="H29" s="504">
        <f>'OBRA 04 - MEMÓRIA'!O10</f>
        <v>156.11000000000001</v>
      </c>
      <c r="I29" s="14" t="s">
        <v>122</v>
      </c>
      <c r="J29" s="505">
        <f>TRUNC(H29*J28,2)</f>
        <v>4277.45</v>
      </c>
    </row>
    <row r="30" spans="1:11" ht="30" customHeight="1" thickTop="1">
      <c r="A30" s="506"/>
      <c r="B30" s="230"/>
      <c r="C30" s="230"/>
      <c r="D30" s="15"/>
      <c r="E30" s="15"/>
      <c r="F30" s="15"/>
      <c r="G30" s="15"/>
      <c r="H30" s="15"/>
      <c r="I30" s="15"/>
      <c r="J30" s="507"/>
    </row>
    <row r="31" spans="1:11" ht="30" customHeight="1">
      <c r="A31" s="490" t="s">
        <v>26</v>
      </c>
      <c r="B31" s="31" t="s">
        <v>7</v>
      </c>
      <c r="C31" s="31" t="s">
        <v>8</v>
      </c>
      <c r="D31" s="26" t="s">
        <v>9</v>
      </c>
      <c r="E31" s="1092" t="s">
        <v>92</v>
      </c>
      <c r="F31" s="1092"/>
      <c r="G31" s="31" t="s">
        <v>10</v>
      </c>
      <c r="H31" s="29" t="s">
        <v>11</v>
      </c>
      <c r="I31" s="29" t="s">
        <v>12</v>
      </c>
      <c r="J31" s="491" t="s">
        <v>14</v>
      </c>
    </row>
    <row r="32" spans="1:11">
      <c r="A32" s="492" t="s">
        <v>93</v>
      </c>
      <c r="B32" s="4" t="s">
        <v>29</v>
      </c>
      <c r="C32" s="4" t="s">
        <v>30</v>
      </c>
      <c r="D32" s="27" t="s">
        <v>560</v>
      </c>
      <c r="E32" s="1079" t="s">
        <v>173</v>
      </c>
      <c r="F32" s="1079"/>
      <c r="G32" s="4" t="s">
        <v>31</v>
      </c>
      <c r="H32" s="5">
        <v>1</v>
      </c>
      <c r="I32" s="6">
        <v>9.8000000000000007</v>
      </c>
      <c r="J32" s="493">
        <f>SUM(J33:J36)</f>
        <v>9.8135000000000012</v>
      </c>
    </row>
    <row r="33" spans="1:11" ht="24" customHeight="1">
      <c r="A33" s="494" t="s">
        <v>95</v>
      </c>
      <c r="B33" s="8" t="s">
        <v>174</v>
      </c>
      <c r="C33" s="8" t="s">
        <v>30</v>
      </c>
      <c r="D33" s="23" t="s">
        <v>175</v>
      </c>
      <c r="E33" s="1080" t="s">
        <v>176</v>
      </c>
      <c r="F33" s="1080"/>
      <c r="G33" s="8" t="s">
        <v>177</v>
      </c>
      <c r="H33" s="9">
        <v>0.5</v>
      </c>
      <c r="I33" s="10">
        <v>3.79</v>
      </c>
      <c r="J33" s="495">
        <f>I33*H33</f>
        <v>1.895</v>
      </c>
      <c r="K33" t="s">
        <v>632</v>
      </c>
    </row>
    <row r="34" spans="1:11" ht="25.5">
      <c r="A34" s="494" t="s">
        <v>95</v>
      </c>
      <c r="B34" s="8" t="s">
        <v>178</v>
      </c>
      <c r="C34" s="8" t="s">
        <v>30</v>
      </c>
      <c r="D34" s="23" t="s">
        <v>179</v>
      </c>
      <c r="E34" s="1080" t="s">
        <v>176</v>
      </c>
      <c r="F34" s="1080"/>
      <c r="G34" s="8" t="s">
        <v>177</v>
      </c>
      <c r="H34" s="9">
        <v>0.05</v>
      </c>
      <c r="I34" s="10">
        <v>3.66</v>
      </c>
      <c r="J34" s="495">
        <f t="shared" ref="J34:J36" si="2">I34*H34</f>
        <v>0.18300000000000002</v>
      </c>
    </row>
    <row r="35" spans="1:11" ht="15" customHeight="1">
      <c r="A35" s="496" t="s">
        <v>105</v>
      </c>
      <c r="B35" s="231" t="s">
        <v>180</v>
      </c>
      <c r="C35" s="11" t="s">
        <v>30</v>
      </c>
      <c r="D35" s="24" t="s">
        <v>181</v>
      </c>
      <c r="E35" s="1087" t="s">
        <v>147</v>
      </c>
      <c r="F35" s="1087"/>
      <c r="G35" s="11" t="s">
        <v>177</v>
      </c>
      <c r="H35" s="12">
        <v>0.05</v>
      </c>
      <c r="I35" s="13">
        <v>18.21</v>
      </c>
      <c r="J35" s="497">
        <f t="shared" si="2"/>
        <v>0.91050000000000009</v>
      </c>
    </row>
    <row r="36" spans="1:11">
      <c r="A36" s="496" t="s">
        <v>105</v>
      </c>
      <c r="B36" s="11" t="s">
        <v>740</v>
      </c>
      <c r="C36" s="11" t="s">
        <v>30</v>
      </c>
      <c r="D36" s="24" t="s">
        <v>183</v>
      </c>
      <c r="E36" s="1087" t="s">
        <v>147</v>
      </c>
      <c r="F36" s="1087"/>
      <c r="G36" s="11" t="s">
        <v>177</v>
      </c>
      <c r="H36" s="12">
        <v>0.5</v>
      </c>
      <c r="I36" s="13">
        <v>13.65</v>
      </c>
      <c r="J36" s="497">
        <f t="shared" si="2"/>
        <v>6.8250000000000002</v>
      </c>
    </row>
    <row r="37" spans="1:11" ht="15.6" customHeight="1">
      <c r="A37" s="498"/>
      <c r="B37" s="20"/>
      <c r="C37" s="20"/>
      <c r="D37" s="499"/>
      <c r="E37" s="499" t="s">
        <v>116</v>
      </c>
      <c r="F37" s="500">
        <v>7.73</v>
      </c>
      <c r="G37" s="499" t="s">
        <v>117</v>
      </c>
      <c r="H37" s="500">
        <v>0</v>
      </c>
      <c r="I37" s="499" t="s">
        <v>118</v>
      </c>
      <c r="J37" s="501">
        <v>7.73</v>
      </c>
    </row>
    <row r="38" spans="1:11">
      <c r="A38" s="498"/>
      <c r="B38" s="20"/>
      <c r="C38" s="20"/>
      <c r="D38" s="499"/>
      <c r="E38" s="499" t="s">
        <v>119</v>
      </c>
      <c r="F38" s="500">
        <f>J38-J32</f>
        <v>2.0578909500000009</v>
      </c>
      <c r="G38" s="499"/>
      <c r="H38" s="1082" t="s">
        <v>120</v>
      </c>
      <c r="I38" s="1082"/>
      <c r="J38" s="501">
        <f>J32*(1+G2)</f>
        <v>11.871390950000002</v>
      </c>
    </row>
    <row r="39" spans="1:11" ht="26.25" thickBot="1">
      <c r="A39" s="503"/>
      <c r="B39" s="666"/>
      <c r="C39" s="666"/>
      <c r="D39" s="14"/>
      <c r="E39" s="14"/>
      <c r="F39" s="14"/>
      <c r="G39" s="14" t="s">
        <v>121</v>
      </c>
      <c r="H39" s="504">
        <f>'OBRA 04 - MEMÓRIA'!O12</f>
        <v>66.36</v>
      </c>
      <c r="I39" s="14" t="s">
        <v>122</v>
      </c>
      <c r="J39" s="505">
        <f>TRUNC(H39*J38,2)</f>
        <v>787.78</v>
      </c>
    </row>
    <row r="40" spans="1:11" ht="39" customHeight="1" thickTop="1">
      <c r="A40" s="506"/>
      <c r="B40" s="230"/>
      <c r="C40" s="230"/>
      <c r="D40" s="15"/>
      <c r="E40" s="15"/>
      <c r="F40" s="15"/>
      <c r="G40" s="15"/>
      <c r="H40" s="15"/>
      <c r="I40" s="15"/>
      <c r="J40" s="507"/>
    </row>
    <row r="41" spans="1:11" ht="15">
      <c r="A41" s="490" t="s">
        <v>455</v>
      </c>
      <c r="B41" s="31" t="s">
        <v>7</v>
      </c>
      <c r="C41" s="31" t="s">
        <v>8</v>
      </c>
      <c r="D41" s="26" t="s">
        <v>9</v>
      </c>
      <c r="E41" s="1092" t="s">
        <v>92</v>
      </c>
      <c r="F41" s="1092"/>
      <c r="G41" s="31" t="s">
        <v>10</v>
      </c>
      <c r="H41" s="29" t="s">
        <v>11</v>
      </c>
      <c r="I41" s="29" t="s">
        <v>12</v>
      </c>
      <c r="J41" s="491" t="s">
        <v>14</v>
      </c>
    </row>
    <row r="42" spans="1:11" ht="24" customHeight="1">
      <c r="A42" s="492" t="s">
        <v>93</v>
      </c>
      <c r="B42" s="4" t="s">
        <v>362</v>
      </c>
      <c r="C42" s="4" t="s">
        <v>27</v>
      </c>
      <c r="D42" s="27" t="s">
        <v>561</v>
      </c>
      <c r="E42" s="1079" t="s">
        <v>136</v>
      </c>
      <c r="F42" s="1079"/>
      <c r="G42" s="4" t="s">
        <v>28</v>
      </c>
      <c r="H42" s="5">
        <v>1</v>
      </c>
      <c r="I42" s="6">
        <v>395.45</v>
      </c>
      <c r="J42" s="659">
        <f>J57+J60+J63</f>
        <v>391.38085807040079</v>
      </c>
    </row>
    <row r="43" spans="1:11" ht="15" customHeight="1">
      <c r="A43" s="1096" t="s">
        <v>137</v>
      </c>
      <c r="B43" s="1089" t="s">
        <v>7</v>
      </c>
      <c r="C43" s="1089" t="s">
        <v>8</v>
      </c>
      <c r="D43" s="1092" t="s">
        <v>138</v>
      </c>
      <c r="E43" s="1085" t="s">
        <v>139</v>
      </c>
      <c r="F43" s="1089" t="s">
        <v>140</v>
      </c>
      <c r="G43" s="1085"/>
      <c r="H43" s="1089" t="s">
        <v>141</v>
      </c>
      <c r="I43" s="1085"/>
      <c r="J43" s="1103" t="s">
        <v>142</v>
      </c>
    </row>
    <row r="44" spans="1:11" ht="15" customHeight="1">
      <c r="A44" s="1097"/>
      <c r="B44" s="1089"/>
      <c r="C44" s="1089"/>
      <c r="D44" s="1085"/>
      <c r="E44" s="1085"/>
      <c r="F44" s="29" t="s">
        <v>143</v>
      </c>
      <c r="G44" s="29" t="s">
        <v>144</v>
      </c>
      <c r="H44" s="29" t="s">
        <v>143</v>
      </c>
      <c r="I44" s="29" t="s">
        <v>144</v>
      </c>
      <c r="J44" s="1103"/>
    </row>
    <row r="45" spans="1:11" ht="24" customHeight="1">
      <c r="A45" s="496" t="s">
        <v>105</v>
      </c>
      <c r="B45" s="11" t="s">
        <v>379</v>
      </c>
      <c r="C45" s="11" t="s">
        <v>27</v>
      </c>
      <c r="D45" s="24" t="s">
        <v>380</v>
      </c>
      <c r="E45" s="12">
        <v>1</v>
      </c>
      <c r="F45" s="13">
        <v>1</v>
      </c>
      <c r="G45" s="13">
        <v>0</v>
      </c>
      <c r="H45" s="30">
        <v>42.369300000000003</v>
      </c>
      <c r="I45" s="30">
        <v>10.2737</v>
      </c>
      <c r="J45" s="510">
        <f>E45*(F45*H45+G45*I45)</f>
        <v>42.369300000000003</v>
      </c>
    </row>
    <row r="46" spans="1:11" ht="25.5">
      <c r="A46" s="496" t="s">
        <v>105</v>
      </c>
      <c r="B46" s="11" t="s">
        <v>381</v>
      </c>
      <c r="C46" s="11" t="s">
        <v>27</v>
      </c>
      <c r="D46" s="24" t="s">
        <v>382</v>
      </c>
      <c r="E46" s="12">
        <v>1</v>
      </c>
      <c r="F46" s="13">
        <v>1</v>
      </c>
      <c r="G46" s="13">
        <v>0</v>
      </c>
      <c r="H46" s="30">
        <v>30.914100000000001</v>
      </c>
      <c r="I46" s="30">
        <v>28.729399999999998</v>
      </c>
      <c r="J46" s="510">
        <f t="shared" ref="J46:J47" si="3">E46*(F46*H46+G46*I46)</f>
        <v>30.914100000000001</v>
      </c>
    </row>
    <row r="47" spans="1:11" ht="24" customHeight="1">
      <c r="A47" s="496" t="s">
        <v>105</v>
      </c>
      <c r="B47" s="11" t="s">
        <v>377</v>
      </c>
      <c r="C47" s="11" t="s">
        <v>27</v>
      </c>
      <c r="D47" s="24" t="s">
        <v>378</v>
      </c>
      <c r="E47" s="12">
        <v>0.59458</v>
      </c>
      <c r="F47" s="13">
        <v>1</v>
      </c>
      <c r="G47" s="13">
        <v>0</v>
      </c>
      <c r="H47" s="30">
        <v>0.7087</v>
      </c>
      <c r="I47" s="30">
        <v>0.48180000000000001</v>
      </c>
      <c r="J47" s="510">
        <f t="shared" si="3"/>
        <v>0.42137884599999997</v>
      </c>
    </row>
    <row r="48" spans="1:11">
      <c r="A48" s="1083"/>
      <c r="B48" s="1084"/>
      <c r="C48" s="1084"/>
      <c r="D48" s="1084"/>
      <c r="E48" s="1084"/>
      <c r="F48" s="1084" t="s">
        <v>145</v>
      </c>
      <c r="G48" s="1084"/>
      <c r="H48" s="1084"/>
      <c r="I48" s="1084"/>
      <c r="J48" s="660">
        <f>SUM(J45:J47)</f>
        <v>73.704778845999996</v>
      </c>
    </row>
    <row r="49" spans="1:11" ht="15">
      <c r="A49" s="490" t="s">
        <v>146</v>
      </c>
      <c r="B49" s="31" t="s">
        <v>7</v>
      </c>
      <c r="C49" s="31" t="s">
        <v>8</v>
      </c>
      <c r="D49" s="26" t="s">
        <v>147</v>
      </c>
      <c r="E49" s="29" t="s">
        <v>139</v>
      </c>
      <c r="F49" s="1085" t="s">
        <v>148</v>
      </c>
      <c r="G49" s="1085"/>
      <c r="H49" s="1085"/>
      <c r="I49" s="1085"/>
      <c r="J49" s="491" t="s">
        <v>142</v>
      </c>
    </row>
    <row r="50" spans="1:11" ht="26.1" customHeight="1">
      <c r="A50" s="496" t="s">
        <v>105</v>
      </c>
      <c r="B50" s="11">
        <v>88316</v>
      </c>
      <c r="C50" s="11" t="s">
        <v>24</v>
      </c>
      <c r="D50" s="24" t="s">
        <v>149</v>
      </c>
      <c r="E50" s="12">
        <v>0.59458</v>
      </c>
      <c r="F50" s="24"/>
      <c r="G50" s="24"/>
      <c r="H50" s="24"/>
      <c r="I50" s="30">
        <v>21.05</v>
      </c>
      <c r="J50" s="510">
        <f>I50*E50</f>
        <v>12.515909000000001</v>
      </c>
    </row>
    <row r="51" spans="1:11">
      <c r="A51" s="1083"/>
      <c r="B51" s="1084"/>
      <c r="C51" s="1084"/>
      <c r="D51" s="1084"/>
      <c r="E51" s="1084"/>
      <c r="F51" s="1084" t="s">
        <v>150</v>
      </c>
      <c r="G51" s="1084"/>
      <c r="H51" s="1084"/>
      <c r="I51" s="1084"/>
      <c r="J51" s="511">
        <f>J50</f>
        <v>12.515909000000001</v>
      </c>
    </row>
    <row r="52" spans="1:11" ht="15" customHeight="1">
      <c r="A52" s="1083"/>
      <c r="B52" s="1084"/>
      <c r="C52" s="1084"/>
      <c r="D52" s="1084"/>
      <c r="E52" s="1084"/>
      <c r="F52" s="1084" t="s">
        <v>151</v>
      </c>
      <c r="G52" s="1084"/>
      <c r="H52" s="1084"/>
      <c r="I52" s="1084"/>
      <c r="J52" s="511">
        <v>0</v>
      </c>
    </row>
    <row r="53" spans="1:11">
      <c r="A53" s="1083"/>
      <c r="B53" s="1084"/>
      <c r="C53" s="1084"/>
      <c r="D53" s="1084"/>
      <c r="E53" s="1084"/>
      <c r="F53" s="1084" t="s">
        <v>152</v>
      </c>
      <c r="G53" s="1084"/>
      <c r="H53" s="1084"/>
      <c r="I53" s="1084"/>
      <c r="J53" s="661">
        <f>J51+J48</f>
        <v>86.220687846000004</v>
      </c>
    </row>
    <row r="54" spans="1:11" ht="15" customHeight="1">
      <c r="A54" s="1083"/>
      <c r="B54" s="1084"/>
      <c r="C54" s="1084"/>
      <c r="D54" s="1084"/>
      <c r="E54" s="1084"/>
      <c r="F54" s="1084" t="s">
        <v>153</v>
      </c>
      <c r="G54" s="1084"/>
      <c r="H54" s="1084"/>
      <c r="I54" s="1084"/>
      <c r="J54" s="511">
        <v>0</v>
      </c>
    </row>
    <row r="55" spans="1:11">
      <c r="A55" s="1083"/>
      <c r="B55" s="1084"/>
      <c r="C55" s="1084"/>
      <c r="D55" s="1084"/>
      <c r="E55" s="1084"/>
      <c r="F55" s="1084" t="s">
        <v>154</v>
      </c>
      <c r="G55" s="1084"/>
      <c r="H55" s="1084"/>
      <c r="I55" s="1084"/>
      <c r="J55" s="511">
        <v>0</v>
      </c>
    </row>
    <row r="56" spans="1:11" ht="15" customHeight="1">
      <c r="A56" s="1083"/>
      <c r="B56" s="1084"/>
      <c r="C56" s="1084"/>
      <c r="D56" s="1084"/>
      <c r="E56" s="1084"/>
      <c r="F56" s="1084" t="s">
        <v>155</v>
      </c>
      <c r="G56" s="1084"/>
      <c r="H56" s="1084"/>
      <c r="I56" s="1084"/>
      <c r="J56" s="511">
        <v>0.46700000000000003</v>
      </c>
    </row>
    <row r="57" spans="1:11">
      <c r="A57" s="1083"/>
      <c r="B57" s="1084"/>
      <c r="C57" s="1084"/>
      <c r="D57" s="1084"/>
      <c r="E57" s="1084"/>
      <c r="F57" s="1084" t="s">
        <v>156</v>
      </c>
      <c r="G57" s="1084"/>
      <c r="H57" s="1084"/>
      <c r="I57" s="1084"/>
      <c r="J57" s="511">
        <f>'OBRA 03 - ANALÍTICA'!J76</f>
        <v>184.61092807040083</v>
      </c>
    </row>
    <row r="58" spans="1:11" ht="15" customHeight="1">
      <c r="A58" s="490" t="s">
        <v>157</v>
      </c>
      <c r="B58" s="31" t="s">
        <v>8</v>
      </c>
      <c r="C58" s="31" t="s">
        <v>7</v>
      </c>
      <c r="D58" s="26" t="s">
        <v>108</v>
      </c>
      <c r="E58" s="29" t="s">
        <v>139</v>
      </c>
      <c r="F58" s="29" t="s">
        <v>158</v>
      </c>
      <c r="G58" s="1085" t="s">
        <v>159</v>
      </c>
      <c r="H58" s="1085"/>
      <c r="I58" s="1085"/>
      <c r="J58" s="491" t="s">
        <v>142</v>
      </c>
    </row>
    <row r="59" spans="1:11">
      <c r="A59" s="496" t="s">
        <v>105</v>
      </c>
      <c r="B59" s="11" t="s">
        <v>27</v>
      </c>
      <c r="C59" s="11" t="s">
        <v>383</v>
      </c>
      <c r="D59" s="24" t="s">
        <v>384</v>
      </c>
      <c r="E59" s="12">
        <v>0.3</v>
      </c>
      <c r="F59" s="11" t="s">
        <v>84</v>
      </c>
      <c r="G59" s="1086">
        <v>421.55309999999997</v>
      </c>
      <c r="H59" s="1086"/>
      <c r="I59" s="1087"/>
      <c r="J59" s="510">
        <f>G59*E59</f>
        <v>126.46592999999999</v>
      </c>
    </row>
    <row r="60" spans="1:11" ht="15" customHeight="1">
      <c r="A60" s="1083"/>
      <c r="B60" s="1084"/>
      <c r="C60" s="1084"/>
      <c r="D60" s="1084"/>
      <c r="E60" s="1084"/>
      <c r="F60" s="1084" t="s">
        <v>160</v>
      </c>
      <c r="G60" s="1084"/>
      <c r="H60" s="1084"/>
      <c r="I60" s="1084"/>
      <c r="J60" s="511">
        <f>J59</f>
        <v>126.46592999999999</v>
      </c>
    </row>
    <row r="61" spans="1:11" ht="15" customHeight="1">
      <c r="A61" s="490" t="s">
        <v>161</v>
      </c>
      <c r="B61" s="31" t="s">
        <v>8</v>
      </c>
      <c r="C61" s="31" t="s">
        <v>105</v>
      </c>
      <c r="D61" s="26" t="s">
        <v>162</v>
      </c>
      <c r="E61" s="29" t="s">
        <v>7</v>
      </c>
      <c r="F61" s="29" t="s">
        <v>139</v>
      </c>
      <c r="G61" s="31" t="s">
        <v>158</v>
      </c>
      <c r="H61" s="1085" t="s">
        <v>159</v>
      </c>
      <c r="I61" s="1085"/>
      <c r="J61" s="491" t="s">
        <v>142</v>
      </c>
    </row>
    <row r="62" spans="1:11" ht="26.1" customHeight="1">
      <c r="A62" s="494" t="s">
        <v>163</v>
      </c>
      <c r="B62" s="8" t="s">
        <v>27</v>
      </c>
      <c r="C62" s="8" t="s">
        <v>385</v>
      </c>
      <c r="D62" s="23" t="s">
        <v>386</v>
      </c>
      <c r="E62" s="7">
        <v>5915433</v>
      </c>
      <c r="F62" s="9">
        <v>2.4</v>
      </c>
      <c r="G62" s="8" t="s">
        <v>61</v>
      </c>
      <c r="H62" s="1088">
        <v>33.46</v>
      </c>
      <c r="I62" s="1080"/>
      <c r="J62" s="514">
        <f>F62*H62</f>
        <v>80.304000000000002</v>
      </c>
    </row>
    <row r="63" spans="1:11">
      <c r="A63" s="1083"/>
      <c r="B63" s="1084"/>
      <c r="C63" s="1084"/>
      <c r="D63" s="1084"/>
      <c r="E63" s="1084"/>
      <c r="F63" s="1084" t="s">
        <v>164</v>
      </c>
      <c r="G63" s="1084"/>
      <c r="H63" s="1084"/>
      <c r="I63" s="1084"/>
      <c r="J63" s="511">
        <f>J62</f>
        <v>80.304000000000002</v>
      </c>
    </row>
    <row r="64" spans="1:11" ht="15" customHeight="1">
      <c r="A64" s="490" t="s">
        <v>165</v>
      </c>
      <c r="B64" s="31" t="s">
        <v>8</v>
      </c>
      <c r="C64" s="31" t="s">
        <v>105</v>
      </c>
      <c r="D64" s="26" t="s">
        <v>166</v>
      </c>
      <c r="E64" s="29" t="s">
        <v>139</v>
      </c>
      <c r="F64" s="29" t="s">
        <v>158</v>
      </c>
      <c r="G64" s="1089" t="s">
        <v>167</v>
      </c>
      <c r="H64" s="1085"/>
      <c r="I64" s="1085"/>
      <c r="J64" s="491" t="s">
        <v>142</v>
      </c>
      <c r="K64" t="s">
        <v>632</v>
      </c>
    </row>
    <row r="65" spans="1:11" ht="15">
      <c r="A65" s="515"/>
      <c r="B65" s="31"/>
      <c r="C65" s="31"/>
      <c r="D65" s="31"/>
      <c r="E65" s="31"/>
      <c r="F65" s="31"/>
      <c r="G65" s="31" t="s">
        <v>168</v>
      </c>
      <c r="H65" s="31" t="s">
        <v>169</v>
      </c>
      <c r="I65" s="31" t="s">
        <v>170</v>
      </c>
      <c r="J65" s="516"/>
    </row>
    <row r="66" spans="1:11" ht="14.45" customHeight="1">
      <c r="A66" s="494" t="s">
        <v>166</v>
      </c>
      <c r="B66" s="8" t="s">
        <v>27</v>
      </c>
      <c r="C66" s="8" t="s">
        <v>385</v>
      </c>
      <c r="D66" s="23" t="s">
        <v>387</v>
      </c>
      <c r="E66" s="9">
        <v>2.4</v>
      </c>
      <c r="F66" s="8" t="s">
        <v>171</v>
      </c>
      <c r="G66" s="7" t="s">
        <v>388</v>
      </c>
      <c r="H66" s="7" t="s">
        <v>389</v>
      </c>
      <c r="I66" s="7" t="s">
        <v>390</v>
      </c>
      <c r="J66" s="514">
        <v>0</v>
      </c>
    </row>
    <row r="67" spans="1:11" ht="14.45" customHeight="1">
      <c r="A67" s="1083"/>
      <c r="B67" s="1084"/>
      <c r="C67" s="1084"/>
      <c r="D67" s="1084"/>
      <c r="E67" s="1084"/>
      <c r="F67" s="1084" t="s">
        <v>172</v>
      </c>
      <c r="G67" s="1084"/>
      <c r="H67" s="1084"/>
      <c r="I67" s="1084"/>
      <c r="J67" s="511">
        <v>0</v>
      </c>
    </row>
    <row r="68" spans="1:11">
      <c r="A68" s="498"/>
      <c r="B68" s="20"/>
      <c r="C68" s="20"/>
      <c r="D68" s="499"/>
      <c r="E68" s="499" t="s">
        <v>116</v>
      </c>
      <c r="F68" s="500">
        <v>53.39015155187932</v>
      </c>
      <c r="G68" s="499" t="s">
        <v>117</v>
      </c>
      <c r="H68" s="500">
        <v>0</v>
      </c>
      <c r="I68" s="499" t="s">
        <v>118</v>
      </c>
      <c r="J68" s="662">
        <v>53.39015155187932</v>
      </c>
    </row>
    <row r="69" spans="1:11" ht="15" customHeight="1">
      <c r="A69" s="498"/>
      <c r="B69" s="20"/>
      <c r="C69" s="20"/>
      <c r="D69" s="499"/>
      <c r="E69" s="499" t="s">
        <v>119</v>
      </c>
      <c r="F69" s="500">
        <f>J69-J42</f>
        <v>82.072565937363038</v>
      </c>
      <c r="G69" s="499"/>
      <c r="H69" s="1082" t="s">
        <v>120</v>
      </c>
      <c r="I69" s="1082"/>
      <c r="J69" s="501">
        <f>J42*(1+G2)</f>
        <v>473.45342400776383</v>
      </c>
    </row>
    <row r="70" spans="1:11" ht="15" customHeight="1" thickBot="1">
      <c r="A70" s="503"/>
      <c r="B70" s="666"/>
      <c r="C70" s="666"/>
      <c r="D70" s="14"/>
      <c r="E70" s="14"/>
      <c r="F70" s="14"/>
      <c r="G70" s="14" t="s">
        <v>121</v>
      </c>
      <c r="H70" s="504">
        <f>'OBRA 04 - MEMÓRIA'!O15</f>
        <v>51.830100000000002</v>
      </c>
      <c r="I70" s="14" t="s">
        <v>122</v>
      </c>
      <c r="J70" s="505">
        <f>TRUNC(H70*J69,2)</f>
        <v>24539.13</v>
      </c>
    </row>
    <row r="71" spans="1:11" ht="15" customHeight="1" thickTop="1">
      <c r="A71" s="506"/>
      <c r="B71" s="230"/>
      <c r="C71" s="230"/>
      <c r="D71" s="15"/>
      <c r="E71" s="15"/>
      <c r="F71" s="15"/>
      <c r="G71" s="15"/>
      <c r="H71" s="15"/>
      <c r="I71" s="15"/>
      <c r="J71" s="507"/>
    </row>
    <row r="72" spans="1:11" ht="15" customHeight="1">
      <c r="A72" s="490" t="s">
        <v>470</v>
      </c>
      <c r="B72" s="31" t="s">
        <v>7</v>
      </c>
      <c r="C72" s="31" t="s">
        <v>8</v>
      </c>
      <c r="D72" s="26" t="s">
        <v>9</v>
      </c>
      <c r="E72" s="1092" t="s">
        <v>92</v>
      </c>
      <c r="F72" s="1092"/>
      <c r="G72" s="31" t="s">
        <v>10</v>
      </c>
      <c r="H72" s="29" t="s">
        <v>11</v>
      </c>
      <c r="I72" s="29" t="s">
        <v>12</v>
      </c>
      <c r="J72" s="491" t="s">
        <v>14</v>
      </c>
    </row>
    <row r="73" spans="1:11" ht="51">
      <c r="A73" s="492" t="s">
        <v>93</v>
      </c>
      <c r="B73" s="4" t="s">
        <v>42</v>
      </c>
      <c r="C73" s="4" t="s">
        <v>24</v>
      </c>
      <c r="D73" s="27" t="s">
        <v>667</v>
      </c>
      <c r="E73" s="1079" t="s">
        <v>184</v>
      </c>
      <c r="F73" s="1079"/>
      <c r="G73" s="4" t="s">
        <v>28</v>
      </c>
      <c r="H73" s="5">
        <v>1</v>
      </c>
      <c r="I73" s="6">
        <v>7.67</v>
      </c>
      <c r="J73" s="493">
        <f>SUM(J74:J77)</f>
        <v>7.8073019999999991</v>
      </c>
    </row>
    <row r="74" spans="1:11" ht="51">
      <c r="A74" s="494" t="s">
        <v>95</v>
      </c>
      <c r="B74" s="8" t="s">
        <v>185</v>
      </c>
      <c r="C74" s="8" t="s">
        <v>24</v>
      </c>
      <c r="D74" s="23" t="s">
        <v>186</v>
      </c>
      <c r="E74" s="1080" t="s">
        <v>125</v>
      </c>
      <c r="F74" s="1080"/>
      <c r="G74" s="8" t="s">
        <v>126</v>
      </c>
      <c r="H74" s="9">
        <v>2.2499999999999999E-2</v>
      </c>
      <c r="I74" s="10">
        <v>186.94</v>
      </c>
      <c r="J74" s="495">
        <f>I74*H74</f>
        <v>4.2061500000000001</v>
      </c>
      <c r="K74" t="s">
        <v>632</v>
      </c>
    </row>
    <row r="75" spans="1:11" ht="24" customHeight="1">
      <c r="A75" s="494" t="s">
        <v>95</v>
      </c>
      <c r="B75" s="8" t="s">
        <v>187</v>
      </c>
      <c r="C75" s="8" t="s">
        <v>24</v>
      </c>
      <c r="D75" s="23" t="s">
        <v>188</v>
      </c>
      <c r="E75" s="1080" t="s">
        <v>125</v>
      </c>
      <c r="F75" s="1080"/>
      <c r="G75" s="8" t="s">
        <v>129</v>
      </c>
      <c r="H75" s="9">
        <v>1.8499999999999999E-2</v>
      </c>
      <c r="I75" s="10">
        <v>62.47</v>
      </c>
      <c r="J75" s="495">
        <f t="shared" ref="J75:J77" si="4">I75*H75</f>
        <v>1.1556949999999999</v>
      </c>
    </row>
    <row r="76" spans="1:11" ht="14.45" customHeight="1">
      <c r="A76" s="494" t="s">
        <v>95</v>
      </c>
      <c r="B76" s="8" t="s">
        <v>200</v>
      </c>
      <c r="C76" s="8" t="s">
        <v>24</v>
      </c>
      <c r="D76" s="23" t="s">
        <v>201</v>
      </c>
      <c r="E76" s="1080" t="s">
        <v>125</v>
      </c>
      <c r="F76" s="1080"/>
      <c r="G76" s="8" t="s">
        <v>126</v>
      </c>
      <c r="H76" s="9">
        <v>4.1999999999999997E-3</v>
      </c>
      <c r="I76" s="10">
        <v>257.7</v>
      </c>
      <c r="J76" s="495">
        <f t="shared" si="4"/>
        <v>1.0823399999999999</v>
      </c>
    </row>
    <row r="77" spans="1:11" ht="25.5">
      <c r="A77" s="494" t="s">
        <v>95</v>
      </c>
      <c r="B77" s="8" t="s">
        <v>202</v>
      </c>
      <c r="C77" s="8" t="s">
        <v>24</v>
      </c>
      <c r="D77" s="23" t="s">
        <v>203</v>
      </c>
      <c r="E77" s="1080" t="s">
        <v>125</v>
      </c>
      <c r="F77" s="1080"/>
      <c r="G77" s="8" t="s">
        <v>129</v>
      </c>
      <c r="H77" s="9">
        <v>1.3299999999999999E-2</v>
      </c>
      <c r="I77" s="10">
        <v>102.49</v>
      </c>
      <c r="J77" s="495">
        <f t="shared" si="4"/>
        <v>1.3631169999999999</v>
      </c>
    </row>
    <row r="78" spans="1:11" ht="15" customHeight="1">
      <c r="A78" s="498"/>
      <c r="B78" s="20"/>
      <c r="C78" s="20"/>
      <c r="D78" s="499"/>
      <c r="E78" s="499" t="s">
        <v>116</v>
      </c>
      <c r="F78" s="500">
        <v>1.4</v>
      </c>
      <c r="G78" s="499" t="s">
        <v>117</v>
      </c>
      <c r="H78" s="500">
        <v>0</v>
      </c>
      <c r="I78" s="499" t="s">
        <v>118</v>
      </c>
      <c r="J78" s="501">
        <v>1.4</v>
      </c>
    </row>
    <row r="79" spans="1:11" ht="15" customHeight="1">
      <c r="A79" s="498"/>
      <c r="B79" s="20"/>
      <c r="C79" s="20"/>
      <c r="D79" s="499"/>
      <c r="E79" s="499" t="s">
        <v>119</v>
      </c>
      <c r="F79" s="500">
        <f>J79-J73</f>
        <v>1.6371912293999999</v>
      </c>
      <c r="G79" s="499"/>
      <c r="H79" s="1082" t="s">
        <v>120</v>
      </c>
      <c r="I79" s="1082"/>
      <c r="J79" s="501">
        <f>J73*(1+G2)</f>
        <v>9.444493229399999</v>
      </c>
    </row>
    <row r="80" spans="1:11" ht="15" customHeight="1" thickBot="1">
      <c r="A80" s="503"/>
      <c r="B80" s="666"/>
      <c r="C80" s="666"/>
      <c r="D80" s="14"/>
      <c r="E80" s="14"/>
      <c r="F80" s="14"/>
      <c r="G80" s="14" t="s">
        <v>121</v>
      </c>
      <c r="H80" s="667">
        <f>'OBRA 04 - MEMÓRIA'!O18</f>
        <v>62.6218</v>
      </c>
      <c r="I80" s="14" t="s">
        <v>122</v>
      </c>
      <c r="J80" s="505">
        <f>TRUNC(H80*J79,2)</f>
        <v>591.42999999999995</v>
      </c>
    </row>
    <row r="81" spans="1:11" ht="15" thickTop="1">
      <c r="A81" s="506"/>
      <c r="B81" s="230"/>
      <c r="C81" s="230"/>
      <c r="D81" s="15"/>
      <c r="E81" s="15"/>
      <c r="F81" s="15"/>
      <c r="G81" s="15"/>
      <c r="H81" s="15"/>
      <c r="I81" s="15"/>
      <c r="J81" s="507"/>
    </row>
    <row r="82" spans="1:11" ht="15">
      <c r="A82" s="490" t="s">
        <v>605</v>
      </c>
      <c r="B82" s="31" t="s">
        <v>7</v>
      </c>
      <c r="C82" s="31" t="s">
        <v>8</v>
      </c>
      <c r="D82" s="26" t="s">
        <v>9</v>
      </c>
      <c r="E82" s="1092" t="s">
        <v>92</v>
      </c>
      <c r="F82" s="1092"/>
      <c r="G82" s="31" t="s">
        <v>10</v>
      </c>
      <c r="H82" s="29" t="s">
        <v>11</v>
      </c>
      <c r="I82" s="29" t="s">
        <v>12</v>
      </c>
      <c r="J82" s="491" t="s">
        <v>14</v>
      </c>
      <c r="K82" t="s">
        <v>632</v>
      </c>
    </row>
    <row r="83" spans="1:11" ht="39" customHeight="1">
      <c r="A83" s="492" t="s">
        <v>93</v>
      </c>
      <c r="B83" s="4" t="s">
        <v>34</v>
      </c>
      <c r="C83" s="4" t="s">
        <v>24</v>
      </c>
      <c r="D83" s="27" t="s">
        <v>656</v>
      </c>
      <c r="E83" s="1079" t="s">
        <v>184</v>
      </c>
      <c r="F83" s="1079"/>
      <c r="G83" s="4" t="s">
        <v>36</v>
      </c>
      <c r="H83" s="5">
        <v>1</v>
      </c>
      <c r="I83" s="6">
        <v>2.92</v>
      </c>
      <c r="J83" s="493">
        <f>SUM(J84:J85)</f>
        <v>2.9732859999999999</v>
      </c>
    </row>
    <row r="84" spans="1:11" ht="51">
      <c r="A84" s="494" t="s">
        <v>95</v>
      </c>
      <c r="B84" s="8" t="s">
        <v>185</v>
      </c>
      <c r="C84" s="8" t="s">
        <v>24</v>
      </c>
      <c r="D84" s="23" t="s">
        <v>186</v>
      </c>
      <c r="E84" s="1080" t="s">
        <v>125</v>
      </c>
      <c r="F84" s="1080"/>
      <c r="G84" s="8" t="s">
        <v>126</v>
      </c>
      <c r="H84" s="9">
        <v>1.3899999999999999E-2</v>
      </c>
      <c r="I84" s="10">
        <v>186.94</v>
      </c>
      <c r="J84" s="495">
        <f>I84*H84</f>
        <v>2.5984659999999997</v>
      </c>
    </row>
    <row r="85" spans="1:11" ht="24" customHeight="1">
      <c r="A85" s="494" t="s">
        <v>95</v>
      </c>
      <c r="B85" s="8" t="s">
        <v>187</v>
      </c>
      <c r="C85" s="8" t="s">
        <v>24</v>
      </c>
      <c r="D85" s="23" t="s">
        <v>188</v>
      </c>
      <c r="E85" s="1080" t="s">
        <v>125</v>
      </c>
      <c r="F85" s="1080"/>
      <c r="G85" s="8" t="s">
        <v>129</v>
      </c>
      <c r="H85" s="9">
        <v>6.0000000000000001E-3</v>
      </c>
      <c r="I85" s="10">
        <v>62.47</v>
      </c>
      <c r="J85" s="495">
        <f>I85*H85</f>
        <v>0.37481999999999999</v>
      </c>
      <c r="K85" t="s">
        <v>684</v>
      </c>
    </row>
    <row r="86" spans="1:11" ht="15" customHeight="1">
      <c r="A86" s="498"/>
      <c r="B86" s="20"/>
      <c r="C86" s="20"/>
      <c r="D86" s="499"/>
      <c r="E86" s="499" t="s">
        <v>116</v>
      </c>
      <c r="F86" s="500">
        <v>0.41</v>
      </c>
      <c r="G86" s="499" t="s">
        <v>117</v>
      </c>
      <c r="H86" s="500">
        <v>0</v>
      </c>
      <c r="I86" s="499" t="s">
        <v>118</v>
      </c>
      <c r="J86" s="501">
        <v>0.41</v>
      </c>
    </row>
    <row r="87" spans="1:11" ht="14.45" customHeight="1">
      <c r="A87" s="498"/>
      <c r="B87" s="20"/>
      <c r="C87" s="20"/>
      <c r="D87" s="499"/>
      <c r="E87" s="499" t="s">
        <v>119</v>
      </c>
      <c r="F87" s="500">
        <v>0.73</v>
      </c>
      <c r="G87" s="499"/>
      <c r="H87" s="1082" t="s">
        <v>120</v>
      </c>
      <c r="I87" s="1082"/>
      <c r="J87" s="501">
        <f>J83*(1+G2)</f>
        <v>3.5967840741999999</v>
      </c>
    </row>
    <row r="88" spans="1:11" ht="15" customHeight="1" thickBot="1">
      <c r="A88" s="503"/>
      <c r="B88" s="666"/>
      <c r="C88" s="666"/>
      <c r="D88" s="14"/>
      <c r="E88" s="14"/>
      <c r="F88" s="14"/>
      <c r="G88" s="14" t="s">
        <v>121</v>
      </c>
      <c r="H88" s="504">
        <f>'OBRA 04 - MEMÓRIA'!O22</f>
        <v>1878.654</v>
      </c>
      <c r="I88" s="14" t="s">
        <v>122</v>
      </c>
      <c r="J88" s="505">
        <f>TRUNC(H88*J87,2)</f>
        <v>6757.11</v>
      </c>
    </row>
    <row r="89" spans="1:11" ht="15" customHeight="1" thickTop="1">
      <c r="A89" s="506"/>
      <c r="B89" s="230"/>
      <c r="C89" s="230"/>
      <c r="D89" s="15"/>
      <c r="E89" s="15"/>
      <c r="F89" s="15"/>
      <c r="G89" s="15"/>
      <c r="H89" s="15"/>
      <c r="I89" s="15"/>
      <c r="J89" s="507"/>
    </row>
    <row r="90" spans="1:11" ht="15" customHeight="1">
      <c r="A90" s="518" t="s">
        <v>37</v>
      </c>
      <c r="B90" s="229"/>
      <c r="C90" s="229"/>
      <c r="D90" s="25" t="s">
        <v>38</v>
      </c>
      <c r="E90" s="25"/>
      <c r="F90" s="1090"/>
      <c r="G90" s="1090"/>
      <c r="H90" s="1"/>
      <c r="I90" s="25"/>
      <c r="J90" s="519">
        <f>J99+J122+J130</f>
        <v>274230.58</v>
      </c>
    </row>
    <row r="91" spans="1:11" ht="15" customHeight="1">
      <c r="A91" s="490" t="s">
        <v>39</v>
      </c>
      <c r="B91" s="31" t="s">
        <v>7</v>
      </c>
      <c r="C91" s="31" t="s">
        <v>8</v>
      </c>
      <c r="D91" s="26" t="s">
        <v>9</v>
      </c>
      <c r="E91" s="1092" t="s">
        <v>92</v>
      </c>
      <c r="F91" s="1092"/>
      <c r="G91" s="31" t="s">
        <v>10</v>
      </c>
      <c r="H91" s="29" t="s">
        <v>11</v>
      </c>
      <c r="I91" s="29" t="s">
        <v>12</v>
      </c>
      <c r="J91" s="491" t="s">
        <v>14</v>
      </c>
    </row>
    <row r="92" spans="1:11" ht="42" customHeight="1">
      <c r="A92" s="492" t="s">
        <v>93</v>
      </c>
      <c r="B92" s="4" t="s">
        <v>626</v>
      </c>
      <c r="C92" s="4" t="s">
        <v>24</v>
      </c>
      <c r="D92" s="27" t="s">
        <v>397</v>
      </c>
      <c r="E92" s="1079" t="s">
        <v>189</v>
      </c>
      <c r="F92" s="1079"/>
      <c r="G92" s="4" t="s">
        <v>28</v>
      </c>
      <c r="H92" s="5">
        <v>1</v>
      </c>
      <c r="I92" s="6">
        <v>15.03</v>
      </c>
      <c r="J92" s="493">
        <f>SUM(J93:J96)</f>
        <v>15.327325</v>
      </c>
    </row>
    <row r="93" spans="1:11" ht="51">
      <c r="A93" s="494" t="s">
        <v>95</v>
      </c>
      <c r="B93" s="8" t="s">
        <v>627</v>
      </c>
      <c r="C93" s="8" t="s">
        <v>24</v>
      </c>
      <c r="D93" s="23" t="s">
        <v>403</v>
      </c>
      <c r="E93" s="1080" t="s">
        <v>184</v>
      </c>
      <c r="F93" s="1080"/>
      <c r="G93" s="8" t="s">
        <v>28</v>
      </c>
      <c r="H93" s="9">
        <v>1.25</v>
      </c>
      <c r="I93" s="10">
        <v>8.61</v>
      </c>
      <c r="J93" s="495">
        <f>I93*H93</f>
        <v>10.762499999999999</v>
      </c>
      <c r="K93" t="s">
        <v>632</v>
      </c>
    </row>
    <row r="94" spans="1:11" ht="25.5">
      <c r="A94" s="494" t="s">
        <v>95</v>
      </c>
      <c r="B94" s="8" t="s">
        <v>103</v>
      </c>
      <c r="C94" s="8" t="s">
        <v>24</v>
      </c>
      <c r="D94" s="23" t="s">
        <v>104</v>
      </c>
      <c r="E94" s="1080" t="s">
        <v>101</v>
      </c>
      <c r="F94" s="1080"/>
      <c r="G94" s="8" t="s">
        <v>102</v>
      </c>
      <c r="H94" s="9">
        <v>3.1E-2</v>
      </c>
      <c r="I94" s="10">
        <v>21.05</v>
      </c>
      <c r="J94" s="495">
        <f t="shared" ref="J94:J96" si="5">I94*H94</f>
        <v>0.65254999999999996</v>
      </c>
    </row>
    <row r="95" spans="1:11" ht="25.5">
      <c r="A95" s="494" t="s">
        <v>95</v>
      </c>
      <c r="B95" s="8" t="s">
        <v>628</v>
      </c>
      <c r="C95" s="8" t="s">
        <v>24</v>
      </c>
      <c r="D95" s="23" t="s">
        <v>401</v>
      </c>
      <c r="E95" s="1080" t="s">
        <v>125</v>
      </c>
      <c r="F95" s="1080"/>
      <c r="G95" s="8" t="s">
        <v>129</v>
      </c>
      <c r="H95" s="9">
        <v>1.95E-2</v>
      </c>
      <c r="I95" s="10">
        <v>80.77</v>
      </c>
      <c r="J95" s="495">
        <f t="shared" si="5"/>
        <v>1.5750149999999998</v>
      </c>
    </row>
    <row r="96" spans="1:11" ht="25.5">
      <c r="A96" s="494" t="s">
        <v>95</v>
      </c>
      <c r="B96" s="8" t="s">
        <v>629</v>
      </c>
      <c r="C96" s="8" t="s">
        <v>24</v>
      </c>
      <c r="D96" s="23" t="s">
        <v>402</v>
      </c>
      <c r="E96" s="1080" t="s">
        <v>125</v>
      </c>
      <c r="F96" s="1080"/>
      <c r="G96" s="8" t="s">
        <v>126</v>
      </c>
      <c r="H96" s="9">
        <v>1.15E-2</v>
      </c>
      <c r="I96" s="10">
        <v>203.24</v>
      </c>
      <c r="J96" s="495">
        <f t="shared" si="5"/>
        <v>2.3372600000000001</v>
      </c>
    </row>
    <row r="97" spans="1:10">
      <c r="A97" s="498"/>
      <c r="B97" s="20"/>
      <c r="C97" s="20"/>
      <c r="D97" s="499"/>
      <c r="E97" s="499" t="s">
        <v>116</v>
      </c>
      <c r="F97" s="500">
        <v>2.89</v>
      </c>
      <c r="G97" s="499" t="s">
        <v>117</v>
      </c>
      <c r="H97" s="500">
        <v>0</v>
      </c>
      <c r="I97" s="499" t="s">
        <v>118</v>
      </c>
      <c r="J97" s="501">
        <v>2.89</v>
      </c>
    </row>
    <row r="98" spans="1:10" ht="15" customHeight="1">
      <c r="A98" s="498"/>
      <c r="B98" s="20"/>
      <c r="C98" s="20"/>
      <c r="D98" s="499"/>
      <c r="E98" s="499" t="s">
        <v>119</v>
      </c>
      <c r="F98" s="500">
        <f>J98-J92</f>
        <v>3.2141400525000012</v>
      </c>
      <c r="G98" s="499"/>
      <c r="H98" s="1082" t="s">
        <v>120</v>
      </c>
      <c r="I98" s="1082"/>
      <c r="J98" s="501">
        <f>J92*(1+G2)</f>
        <v>18.541465052500001</v>
      </c>
    </row>
    <row r="99" spans="1:10" ht="26.25" thickBot="1">
      <c r="A99" s="503"/>
      <c r="B99" s="666"/>
      <c r="C99" s="666"/>
      <c r="D99" s="14"/>
      <c r="E99" s="14"/>
      <c r="F99" s="14"/>
      <c r="G99" s="14" t="s">
        <v>121</v>
      </c>
      <c r="H99" s="504">
        <f>'OBRA 04 - MEMÓRIA'!O25</f>
        <v>2071.63</v>
      </c>
      <c r="I99" s="14" t="s">
        <v>122</v>
      </c>
      <c r="J99" s="505">
        <f>TRUNC(H99*J98,2)</f>
        <v>38411.050000000003</v>
      </c>
    </row>
    <row r="100" spans="1:10" ht="15" thickTop="1">
      <c r="A100" s="506"/>
      <c r="B100" s="230"/>
      <c r="C100" s="230"/>
      <c r="D100" s="15"/>
      <c r="E100" s="15"/>
      <c r="F100" s="15"/>
      <c r="G100" s="15"/>
      <c r="H100" s="15"/>
      <c r="I100" s="15"/>
      <c r="J100" s="507"/>
    </row>
    <row r="101" spans="1:10" ht="15">
      <c r="A101" s="490" t="s">
        <v>40</v>
      </c>
      <c r="B101" s="31" t="s">
        <v>7</v>
      </c>
      <c r="C101" s="31" t="s">
        <v>8</v>
      </c>
      <c r="D101" s="26" t="s">
        <v>9</v>
      </c>
      <c r="E101" s="1092" t="s">
        <v>92</v>
      </c>
      <c r="F101" s="1092"/>
      <c r="G101" s="31" t="s">
        <v>10</v>
      </c>
      <c r="H101" s="29" t="s">
        <v>11</v>
      </c>
      <c r="I101" s="29" t="s">
        <v>12</v>
      </c>
      <c r="J101" s="491" t="s">
        <v>14</v>
      </c>
    </row>
    <row r="102" spans="1:10">
      <c r="A102" s="492" t="s">
        <v>93</v>
      </c>
      <c r="B102" s="4" t="s">
        <v>41</v>
      </c>
      <c r="C102" s="4" t="s">
        <v>27</v>
      </c>
      <c r="D102" s="27" t="s">
        <v>562</v>
      </c>
      <c r="E102" s="1079" t="s">
        <v>136</v>
      </c>
      <c r="F102" s="1079"/>
      <c r="G102" s="4" t="s">
        <v>28</v>
      </c>
      <c r="H102" s="5">
        <v>1</v>
      </c>
      <c r="I102" s="6">
        <v>4.8899999999999997</v>
      </c>
      <c r="J102" s="493">
        <f>J119+J117</f>
        <v>4.9014837633769313</v>
      </c>
    </row>
    <row r="103" spans="1:10" ht="15">
      <c r="A103" s="1096" t="s">
        <v>137</v>
      </c>
      <c r="B103" s="1089" t="s">
        <v>7</v>
      </c>
      <c r="C103" s="1089" t="s">
        <v>8</v>
      </c>
      <c r="D103" s="1092" t="s">
        <v>138</v>
      </c>
      <c r="E103" s="1085" t="s">
        <v>139</v>
      </c>
      <c r="F103" s="1089" t="s">
        <v>140</v>
      </c>
      <c r="G103" s="1085"/>
      <c r="H103" s="1089" t="s">
        <v>141</v>
      </c>
      <c r="I103" s="1085"/>
      <c r="J103" s="1103" t="s">
        <v>142</v>
      </c>
    </row>
    <row r="104" spans="1:10" ht="30">
      <c r="A104" s="1097"/>
      <c r="B104" s="1089"/>
      <c r="C104" s="1089"/>
      <c r="D104" s="1085"/>
      <c r="E104" s="1085"/>
      <c r="F104" s="29" t="s">
        <v>143</v>
      </c>
      <c r="G104" s="29" t="s">
        <v>144</v>
      </c>
      <c r="H104" s="29" t="s">
        <v>143</v>
      </c>
      <c r="I104" s="29" t="s">
        <v>144</v>
      </c>
      <c r="J104" s="1103"/>
    </row>
    <row r="105" spans="1:10">
      <c r="A105" s="496" t="s">
        <v>105</v>
      </c>
      <c r="B105" s="11" t="s">
        <v>190</v>
      </c>
      <c r="C105" s="11" t="s">
        <v>27</v>
      </c>
      <c r="D105" s="24" t="s">
        <v>191</v>
      </c>
      <c r="E105" s="12">
        <v>1</v>
      </c>
      <c r="F105" s="13">
        <v>0.9</v>
      </c>
      <c r="G105" s="13">
        <v>0.1</v>
      </c>
      <c r="H105" s="30">
        <v>317.52929999999998</v>
      </c>
      <c r="I105" s="30">
        <v>83.430800000000005</v>
      </c>
      <c r="J105" s="510">
        <f>E105*(F105*H105+G105*I105)</f>
        <v>294.11944999999997</v>
      </c>
    </row>
    <row r="106" spans="1:10">
      <c r="A106" s="496" t="s">
        <v>105</v>
      </c>
      <c r="B106" s="11" t="s">
        <v>192</v>
      </c>
      <c r="C106" s="11" t="s">
        <v>27</v>
      </c>
      <c r="D106" s="24" t="s">
        <v>193</v>
      </c>
      <c r="E106" s="12">
        <v>1</v>
      </c>
      <c r="F106" s="13">
        <v>0.52</v>
      </c>
      <c r="G106" s="13">
        <v>0.48</v>
      </c>
      <c r="H106" s="30">
        <v>5.0606</v>
      </c>
      <c r="I106" s="30">
        <v>3.5240999999999998</v>
      </c>
      <c r="J106" s="510">
        <f t="shared" ref="J106:J109" si="6">E106*(F106*H106+G106*I106)</f>
        <v>4.32308</v>
      </c>
    </row>
    <row r="107" spans="1:10">
      <c r="A107" s="496" t="s">
        <v>105</v>
      </c>
      <c r="B107" s="11" t="s">
        <v>194</v>
      </c>
      <c r="C107" s="11" t="s">
        <v>27</v>
      </c>
      <c r="D107" s="24" t="s">
        <v>195</v>
      </c>
      <c r="E107" s="12">
        <v>1</v>
      </c>
      <c r="F107" s="13">
        <v>0.28999999999999998</v>
      </c>
      <c r="G107" s="13">
        <v>0.71</v>
      </c>
      <c r="H107" s="30">
        <v>283.78109999999998</v>
      </c>
      <c r="I107" s="30">
        <v>123.81480000000001</v>
      </c>
      <c r="J107" s="510">
        <f t="shared" si="6"/>
        <v>170.20502699999997</v>
      </c>
    </row>
    <row r="108" spans="1:10" ht="25.5">
      <c r="A108" s="496" t="s">
        <v>105</v>
      </c>
      <c r="B108" s="11" t="s">
        <v>196</v>
      </c>
      <c r="C108" s="11" t="s">
        <v>27</v>
      </c>
      <c r="D108" s="24" t="s">
        <v>197</v>
      </c>
      <c r="E108" s="12">
        <v>1</v>
      </c>
      <c r="F108" s="13">
        <v>1</v>
      </c>
      <c r="G108" s="13">
        <v>0</v>
      </c>
      <c r="H108" s="30">
        <v>215.97239999999999</v>
      </c>
      <c r="I108" s="30">
        <v>96.660799999999995</v>
      </c>
      <c r="J108" s="510">
        <f t="shared" si="6"/>
        <v>215.97239999999999</v>
      </c>
    </row>
    <row r="109" spans="1:10">
      <c r="A109" s="496" t="s">
        <v>105</v>
      </c>
      <c r="B109" s="11" t="s">
        <v>198</v>
      </c>
      <c r="C109" s="11" t="s">
        <v>27</v>
      </c>
      <c r="D109" s="24" t="s">
        <v>199</v>
      </c>
      <c r="E109" s="12">
        <v>1</v>
      </c>
      <c r="F109" s="13">
        <v>0.52</v>
      </c>
      <c r="G109" s="13">
        <v>0.48</v>
      </c>
      <c r="H109" s="30">
        <v>150.51249999999999</v>
      </c>
      <c r="I109" s="30">
        <v>56.817900000000002</v>
      </c>
      <c r="J109" s="510">
        <f t="shared" si="6"/>
        <v>105.539092</v>
      </c>
    </row>
    <row r="110" spans="1:10">
      <c r="A110" s="1083"/>
      <c r="B110" s="1084"/>
      <c r="C110" s="1084"/>
      <c r="D110" s="1084"/>
      <c r="E110" s="1084"/>
      <c r="F110" s="1084" t="s">
        <v>145</v>
      </c>
      <c r="G110" s="1084"/>
      <c r="H110" s="1084"/>
      <c r="I110" s="1084"/>
      <c r="J110" s="511">
        <f>SUM(J105:J109)</f>
        <v>790.15904899999987</v>
      </c>
    </row>
    <row r="111" spans="1:10" ht="15">
      <c r="A111" s="490" t="s">
        <v>146</v>
      </c>
      <c r="B111" s="31" t="s">
        <v>7</v>
      </c>
      <c r="C111" s="31" t="s">
        <v>8</v>
      </c>
      <c r="D111" s="26" t="s">
        <v>147</v>
      </c>
      <c r="E111" s="29" t="s">
        <v>139</v>
      </c>
      <c r="F111" s="1085" t="s">
        <v>148</v>
      </c>
      <c r="G111" s="1085"/>
      <c r="H111" s="1085"/>
      <c r="I111" s="1085"/>
      <c r="J111" s="491" t="s">
        <v>142</v>
      </c>
    </row>
    <row r="112" spans="1:10">
      <c r="A112" s="496" t="s">
        <v>105</v>
      </c>
      <c r="B112" s="11">
        <v>88316</v>
      </c>
      <c r="C112" s="11" t="s">
        <v>24</v>
      </c>
      <c r="D112" s="24" t="s">
        <v>149</v>
      </c>
      <c r="E112" s="12">
        <v>1</v>
      </c>
      <c r="F112" s="24"/>
      <c r="G112" s="24"/>
      <c r="H112" s="24"/>
      <c r="I112" s="30">
        <v>21.05</v>
      </c>
      <c r="J112" s="510">
        <f>I112*E112</f>
        <v>21.05</v>
      </c>
    </row>
    <row r="113" spans="1:11">
      <c r="A113" s="1083"/>
      <c r="B113" s="1084"/>
      <c r="C113" s="1084"/>
      <c r="D113" s="1084"/>
      <c r="E113" s="1084"/>
      <c r="F113" s="1084" t="s">
        <v>150</v>
      </c>
      <c r="G113" s="1084"/>
      <c r="H113" s="1084"/>
      <c r="I113" s="1084"/>
      <c r="J113" s="511">
        <f>J112</f>
        <v>21.05</v>
      </c>
    </row>
    <row r="114" spans="1:11">
      <c r="A114" s="1083"/>
      <c r="B114" s="1084"/>
      <c r="C114" s="1084"/>
      <c r="D114" s="1084"/>
      <c r="E114" s="1084"/>
      <c r="F114" s="1084" t="s">
        <v>151</v>
      </c>
      <c r="G114" s="1084"/>
      <c r="H114" s="1084"/>
      <c r="I114" s="1084"/>
      <c r="J114" s="511">
        <v>0</v>
      </c>
    </row>
    <row r="115" spans="1:11">
      <c r="A115" s="1083"/>
      <c r="B115" s="1084"/>
      <c r="C115" s="1084"/>
      <c r="D115" s="1084"/>
      <c r="E115" s="1084"/>
      <c r="F115" s="1084" t="s">
        <v>152</v>
      </c>
      <c r="G115" s="1084"/>
      <c r="H115" s="1084"/>
      <c r="I115" s="1084"/>
      <c r="J115" s="511">
        <f>J112+J110</f>
        <v>811.20904899999982</v>
      </c>
    </row>
    <row r="116" spans="1:11">
      <c r="A116" s="1083"/>
      <c r="B116" s="1084"/>
      <c r="C116" s="1084"/>
      <c r="D116" s="1084"/>
      <c r="E116" s="1084"/>
      <c r="F116" s="1084" t="s">
        <v>153</v>
      </c>
      <c r="G116" s="1084"/>
      <c r="H116" s="1084"/>
      <c r="I116" s="1084"/>
      <c r="J116" s="511">
        <v>1.6299999999999999E-2</v>
      </c>
      <c r="K116" t="s">
        <v>632</v>
      </c>
    </row>
    <row r="117" spans="1:11">
      <c r="A117" s="1083"/>
      <c r="B117" s="1084"/>
      <c r="C117" s="1084"/>
      <c r="D117" s="1084"/>
      <c r="E117" s="1084"/>
      <c r="F117" s="1084" t="s">
        <v>154</v>
      </c>
      <c r="G117" s="1084"/>
      <c r="H117" s="1084"/>
      <c r="I117" s="1084"/>
      <c r="J117" s="511">
        <v>7.8600000000000003E-2</v>
      </c>
    </row>
    <row r="118" spans="1:11">
      <c r="A118" s="1083"/>
      <c r="B118" s="1084"/>
      <c r="C118" s="1084"/>
      <c r="D118" s="1084"/>
      <c r="E118" s="1084"/>
      <c r="F118" s="1084" t="s">
        <v>155</v>
      </c>
      <c r="G118" s="1084"/>
      <c r="H118" s="1084"/>
      <c r="I118" s="1084"/>
      <c r="J118" s="511">
        <v>168.2</v>
      </c>
    </row>
    <row r="119" spans="1:11">
      <c r="A119" s="1083"/>
      <c r="B119" s="1084"/>
      <c r="C119" s="1084"/>
      <c r="D119" s="1084"/>
      <c r="E119" s="1084"/>
      <c r="F119" s="1084" t="s">
        <v>156</v>
      </c>
      <c r="G119" s="1084"/>
      <c r="H119" s="1084"/>
      <c r="I119" s="1084"/>
      <c r="J119" s="511">
        <f>J115/J118</f>
        <v>4.8228837633769315</v>
      </c>
    </row>
    <row r="120" spans="1:11">
      <c r="A120" s="498"/>
      <c r="B120" s="20"/>
      <c r="C120" s="20"/>
      <c r="D120" s="499"/>
      <c r="E120" s="499" t="s">
        <v>116</v>
      </c>
      <c r="F120" s="500">
        <v>0.12714447086801428</v>
      </c>
      <c r="G120" s="499" t="s">
        <v>117</v>
      </c>
      <c r="H120" s="500">
        <v>0</v>
      </c>
      <c r="I120" s="499" t="s">
        <v>118</v>
      </c>
      <c r="J120" s="501">
        <v>0.12714447086801428</v>
      </c>
    </row>
    <row r="121" spans="1:11" ht="15" customHeight="1">
      <c r="A121" s="498"/>
      <c r="B121" s="20"/>
      <c r="C121" s="20"/>
      <c r="D121" s="499"/>
      <c r="E121" s="499" t="s">
        <v>119</v>
      </c>
      <c r="F121" s="500">
        <f>J121-J102</f>
        <v>1.0278411451801421</v>
      </c>
      <c r="G121" s="499"/>
      <c r="H121" s="1082" t="s">
        <v>120</v>
      </c>
      <c r="I121" s="1082"/>
      <c r="J121" s="501">
        <f>J102*(1+G2)</f>
        <v>5.9293249085570734</v>
      </c>
    </row>
    <row r="122" spans="1:11" ht="26.25" thickBot="1">
      <c r="A122" s="503"/>
      <c r="B122" s="666"/>
      <c r="C122" s="666"/>
      <c r="D122" s="14"/>
      <c r="E122" s="14"/>
      <c r="F122" s="14"/>
      <c r="G122" s="14" t="s">
        <v>121</v>
      </c>
      <c r="H122" s="504">
        <f>'OBRA 04 - MEMÓRIA'!O27</f>
        <v>2071.63</v>
      </c>
      <c r="I122" s="14" t="s">
        <v>122</v>
      </c>
      <c r="J122" s="505">
        <f>TRUNC(H122*J121,2)</f>
        <v>12283.36</v>
      </c>
    </row>
    <row r="123" spans="1:11" ht="15" thickTop="1">
      <c r="A123" s="506"/>
      <c r="B123" s="230"/>
      <c r="C123" s="230"/>
      <c r="D123" s="15"/>
      <c r="E123" s="15"/>
      <c r="F123" s="15"/>
      <c r="G123" s="15"/>
      <c r="H123" s="15"/>
      <c r="I123" s="15"/>
      <c r="J123" s="507"/>
    </row>
    <row r="124" spans="1:11" ht="15">
      <c r="A124" s="490" t="s">
        <v>606</v>
      </c>
      <c r="B124" s="31" t="s">
        <v>7</v>
      </c>
      <c r="C124" s="31" t="s">
        <v>8</v>
      </c>
      <c r="D124" s="26" t="s">
        <v>9</v>
      </c>
      <c r="E124" s="1092" t="s">
        <v>92</v>
      </c>
      <c r="F124" s="1092"/>
      <c r="G124" s="31" t="s">
        <v>10</v>
      </c>
      <c r="H124" s="29" t="s">
        <v>11</v>
      </c>
      <c r="I124" s="29" t="s">
        <v>12</v>
      </c>
      <c r="J124" s="491" t="s">
        <v>14</v>
      </c>
      <c r="K124" t="s">
        <v>632</v>
      </c>
    </row>
    <row r="125" spans="1:11" ht="25.5">
      <c r="A125" s="492" t="s">
        <v>93</v>
      </c>
      <c r="B125" s="4" t="s">
        <v>34</v>
      </c>
      <c r="C125" s="4" t="s">
        <v>24</v>
      </c>
      <c r="D125" s="27" t="s">
        <v>654</v>
      </c>
      <c r="E125" s="1079" t="s">
        <v>184</v>
      </c>
      <c r="F125" s="1079"/>
      <c r="G125" s="4" t="s">
        <v>36</v>
      </c>
      <c r="H125" s="5">
        <v>1</v>
      </c>
      <c r="I125" s="6">
        <v>2.92</v>
      </c>
      <c r="J125" s="493">
        <f>SUM(J126:J127)</f>
        <v>2.9732859999999999</v>
      </c>
    </row>
    <row r="126" spans="1:11" ht="51">
      <c r="A126" s="494" t="s">
        <v>95</v>
      </c>
      <c r="B126" s="8" t="s">
        <v>185</v>
      </c>
      <c r="C126" s="8" t="s">
        <v>24</v>
      </c>
      <c r="D126" s="23" t="s">
        <v>186</v>
      </c>
      <c r="E126" s="1080" t="s">
        <v>125</v>
      </c>
      <c r="F126" s="1080"/>
      <c r="G126" s="8" t="s">
        <v>126</v>
      </c>
      <c r="H126" s="9">
        <v>1.3899999999999999E-2</v>
      </c>
      <c r="I126" s="10">
        <v>186.94</v>
      </c>
      <c r="J126" s="495">
        <f>I126*H126</f>
        <v>2.5984659999999997</v>
      </c>
    </row>
    <row r="127" spans="1:11" ht="51">
      <c r="A127" s="494" t="s">
        <v>95</v>
      </c>
      <c r="B127" s="8" t="s">
        <v>187</v>
      </c>
      <c r="C127" s="8" t="s">
        <v>24</v>
      </c>
      <c r="D127" s="23" t="s">
        <v>188</v>
      </c>
      <c r="E127" s="1080" t="s">
        <v>125</v>
      </c>
      <c r="F127" s="1080"/>
      <c r="G127" s="8" t="s">
        <v>129</v>
      </c>
      <c r="H127" s="9">
        <v>6.0000000000000001E-3</v>
      </c>
      <c r="I127" s="10">
        <v>62.47</v>
      </c>
      <c r="J127" s="495">
        <f>I127*H127</f>
        <v>0.37481999999999999</v>
      </c>
    </row>
    <row r="128" spans="1:11">
      <c r="A128" s="498"/>
      <c r="B128" s="20"/>
      <c r="C128" s="20"/>
      <c r="D128" s="499"/>
      <c r="E128" s="499" t="s">
        <v>116</v>
      </c>
      <c r="F128" s="500">
        <v>0.41</v>
      </c>
      <c r="G128" s="499" t="s">
        <v>117</v>
      </c>
      <c r="H128" s="500">
        <v>0</v>
      </c>
      <c r="I128" s="499" t="s">
        <v>118</v>
      </c>
      <c r="J128" s="501">
        <v>0.41</v>
      </c>
      <c r="K128" t="s">
        <v>684</v>
      </c>
    </row>
    <row r="129" spans="1:10" ht="15" customHeight="1">
      <c r="A129" s="498"/>
      <c r="B129" s="20"/>
      <c r="C129" s="20"/>
      <c r="D129" s="499"/>
      <c r="E129" s="499" t="s">
        <v>119</v>
      </c>
      <c r="F129" s="500">
        <f>J129-J125</f>
        <v>0.62349807420000003</v>
      </c>
      <c r="G129" s="499"/>
      <c r="H129" s="1082" t="s">
        <v>120</v>
      </c>
      <c r="I129" s="1082"/>
      <c r="J129" s="501">
        <f>J125*(1+G2)</f>
        <v>3.5967840741999999</v>
      </c>
    </row>
    <row r="130" spans="1:10" ht="15" customHeight="1" thickBot="1">
      <c r="A130" s="503"/>
      <c r="B130" s="666"/>
      <c r="C130" s="666"/>
      <c r="D130" s="14"/>
      <c r="E130" s="14"/>
      <c r="F130" s="14"/>
      <c r="G130" s="14" t="s">
        <v>121</v>
      </c>
      <c r="H130" s="504">
        <f>'OBRA 04 - MEMÓRIA'!O29</f>
        <v>62148.9</v>
      </c>
      <c r="I130" s="14" t="s">
        <v>122</v>
      </c>
      <c r="J130" s="505">
        <f>TRUNC(H130*J129,2)</f>
        <v>223536.17</v>
      </c>
    </row>
    <row r="131" spans="1:10" ht="15" customHeight="1" thickTop="1">
      <c r="A131" s="506"/>
      <c r="B131" s="230"/>
      <c r="C131" s="230"/>
      <c r="D131" s="15"/>
      <c r="E131" s="15"/>
      <c r="F131" s="15"/>
      <c r="G131" s="15"/>
      <c r="H131" s="15"/>
      <c r="I131" s="15"/>
      <c r="J131" s="507"/>
    </row>
    <row r="132" spans="1:10" ht="15" customHeight="1">
      <c r="A132" s="518" t="s">
        <v>44</v>
      </c>
      <c r="B132" s="229"/>
      <c r="C132" s="229"/>
      <c r="D132" s="25" t="s">
        <v>45</v>
      </c>
      <c r="E132" s="25"/>
      <c r="F132" s="1090"/>
      <c r="G132" s="1090"/>
      <c r="H132" s="1"/>
      <c r="I132" s="25"/>
      <c r="J132" s="519">
        <f>J133+J207</f>
        <v>1441350.0500000003</v>
      </c>
    </row>
    <row r="133" spans="1:10" ht="15" customHeight="1">
      <c r="A133" s="518" t="s">
        <v>46</v>
      </c>
      <c r="B133" s="229"/>
      <c r="C133" s="229"/>
      <c r="D133" s="25" t="s">
        <v>47</v>
      </c>
      <c r="E133" s="25"/>
      <c r="F133" s="1090"/>
      <c r="G133" s="1090"/>
      <c r="H133" s="1"/>
      <c r="I133" s="25"/>
      <c r="J133" s="519">
        <f>J145+J165+J171+J187+J197+J205</f>
        <v>581422.88</v>
      </c>
    </row>
    <row r="134" spans="1:10" ht="15" customHeight="1">
      <c r="A134" s="490" t="s">
        <v>48</v>
      </c>
      <c r="B134" s="31" t="s">
        <v>7</v>
      </c>
      <c r="C134" s="31" t="s">
        <v>8</v>
      </c>
      <c r="D134" s="26" t="s">
        <v>9</v>
      </c>
      <c r="E134" s="1092" t="s">
        <v>92</v>
      </c>
      <c r="F134" s="1092"/>
      <c r="G134" s="31" t="s">
        <v>10</v>
      </c>
      <c r="H134" s="29" t="s">
        <v>11</v>
      </c>
      <c r="I134" s="29" t="s">
        <v>12</v>
      </c>
      <c r="J134" s="491" t="s">
        <v>14</v>
      </c>
    </row>
    <row r="135" spans="1:10" ht="26.45" customHeight="1">
      <c r="A135" s="492" t="s">
        <v>93</v>
      </c>
      <c r="B135" s="4">
        <v>105598</v>
      </c>
      <c r="C135" s="27" t="s">
        <v>24</v>
      </c>
      <c r="D135" s="27" t="s">
        <v>50</v>
      </c>
      <c r="E135" s="1079" t="s">
        <v>204</v>
      </c>
      <c r="F135" s="1079"/>
      <c r="G135" s="4" t="s">
        <v>21</v>
      </c>
      <c r="H135" s="5">
        <v>1</v>
      </c>
      <c r="I135" s="6">
        <v>1.25</v>
      </c>
      <c r="J135" s="493">
        <f>SUM(J136:J142)</f>
        <v>1.98004779</v>
      </c>
    </row>
    <row r="136" spans="1:10" ht="54.6" customHeight="1">
      <c r="A136" s="494" t="s">
        <v>95</v>
      </c>
      <c r="B136" s="8" t="s">
        <v>205</v>
      </c>
      <c r="C136" s="23" t="s">
        <v>24</v>
      </c>
      <c r="D136" s="23" t="s">
        <v>206</v>
      </c>
      <c r="E136" s="1080" t="s">
        <v>125</v>
      </c>
      <c r="F136" s="1080"/>
      <c r="G136" s="8" t="s">
        <v>126</v>
      </c>
      <c r="H136" s="174">
        <v>1.0702000000000001E-3</v>
      </c>
      <c r="I136" s="10">
        <v>317.66000000000003</v>
      </c>
      <c r="J136" s="495">
        <f>I136*H136</f>
        <v>0.33995973200000007</v>
      </c>
    </row>
    <row r="137" spans="1:10" ht="54.6" customHeight="1">
      <c r="A137" s="494" t="s">
        <v>95</v>
      </c>
      <c r="B137" s="8" t="s">
        <v>207</v>
      </c>
      <c r="C137" s="23" t="s">
        <v>24</v>
      </c>
      <c r="D137" s="23" t="s">
        <v>208</v>
      </c>
      <c r="E137" s="1080" t="s">
        <v>125</v>
      </c>
      <c r="F137" s="1080"/>
      <c r="G137" s="8" t="s">
        <v>129</v>
      </c>
      <c r="H137" s="174">
        <v>4.2364000000000004E-3</v>
      </c>
      <c r="I137" s="10">
        <v>71.599999999999994</v>
      </c>
      <c r="J137" s="495">
        <f t="shared" ref="J137:J142" si="7">I137*H137</f>
        <v>0.30332624000000002</v>
      </c>
    </row>
    <row r="138" spans="1:10" ht="38.25">
      <c r="A138" s="494" t="s">
        <v>95</v>
      </c>
      <c r="B138" s="8" t="s">
        <v>209</v>
      </c>
      <c r="C138" s="23" t="s">
        <v>24</v>
      </c>
      <c r="D138" s="23" t="s">
        <v>210</v>
      </c>
      <c r="E138" s="1080" t="s">
        <v>125</v>
      </c>
      <c r="F138" s="1080"/>
      <c r="G138" s="8" t="s">
        <v>126</v>
      </c>
      <c r="H138" s="174">
        <v>3.0249999999999998E-4</v>
      </c>
      <c r="I138" s="10">
        <v>262.45999999999998</v>
      </c>
      <c r="J138" s="495">
        <f t="shared" si="7"/>
        <v>7.9394149999999983E-2</v>
      </c>
    </row>
    <row r="139" spans="1:10" ht="30" customHeight="1">
      <c r="A139" s="494" t="s">
        <v>95</v>
      </c>
      <c r="B139" s="8" t="s">
        <v>211</v>
      </c>
      <c r="C139" s="23" t="s">
        <v>24</v>
      </c>
      <c r="D139" s="23" t="s">
        <v>212</v>
      </c>
      <c r="E139" s="1080" t="s">
        <v>125</v>
      </c>
      <c r="F139" s="1080"/>
      <c r="G139" s="8" t="s">
        <v>129</v>
      </c>
      <c r="H139" s="174">
        <v>5.0041E-3</v>
      </c>
      <c r="I139" s="10">
        <v>103.25</v>
      </c>
      <c r="J139" s="495">
        <f t="shared" si="7"/>
        <v>0.51667332499999996</v>
      </c>
    </row>
    <row r="140" spans="1:10" ht="30" customHeight="1">
      <c r="A140" s="494" t="s">
        <v>95</v>
      </c>
      <c r="B140" s="8" t="s">
        <v>103</v>
      </c>
      <c r="C140" s="23" t="s">
        <v>24</v>
      </c>
      <c r="D140" s="23" t="s">
        <v>104</v>
      </c>
      <c r="E140" s="1080" t="s">
        <v>101</v>
      </c>
      <c r="F140" s="1080"/>
      <c r="G140" s="8" t="s">
        <v>102</v>
      </c>
      <c r="H140" s="174">
        <v>5.3065999999999999E-3</v>
      </c>
      <c r="I140" s="10">
        <v>21.05</v>
      </c>
      <c r="J140" s="495">
        <f t="shared" si="7"/>
        <v>0.11170393000000001</v>
      </c>
    </row>
    <row r="141" spans="1:10" ht="38.25">
      <c r="A141" s="494" t="s">
        <v>95</v>
      </c>
      <c r="B141" s="8" t="s">
        <v>213</v>
      </c>
      <c r="C141" s="23" t="s">
        <v>24</v>
      </c>
      <c r="D141" s="23" t="s">
        <v>214</v>
      </c>
      <c r="E141" s="1080" t="s">
        <v>125</v>
      </c>
      <c r="F141" s="1080"/>
      <c r="G141" s="8" t="s">
        <v>126</v>
      </c>
      <c r="H141" s="174">
        <v>7.5109999999999999E-4</v>
      </c>
      <c r="I141" s="10">
        <v>230.43</v>
      </c>
      <c r="J141" s="495">
        <f t="shared" si="7"/>
        <v>0.17307597299999999</v>
      </c>
    </row>
    <row r="142" spans="1:10" ht="38.25">
      <c r="A142" s="494" t="s">
        <v>95</v>
      </c>
      <c r="B142" s="8" t="s">
        <v>215</v>
      </c>
      <c r="C142" s="23" t="s">
        <v>24</v>
      </c>
      <c r="D142" s="23" t="s">
        <v>216</v>
      </c>
      <c r="E142" s="1080" t="s">
        <v>125</v>
      </c>
      <c r="F142" s="1080"/>
      <c r="G142" s="8" t="s">
        <v>129</v>
      </c>
      <c r="H142" s="174">
        <v>4.5554999999999997E-3</v>
      </c>
      <c r="I142" s="10">
        <v>100.08</v>
      </c>
      <c r="J142" s="495">
        <f t="shared" si="7"/>
        <v>0.45591443999999998</v>
      </c>
    </row>
    <row r="143" spans="1:10">
      <c r="A143" s="498"/>
      <c r="B143" s="20"/>
      <c r="C143" s="499"/>
      <c r="D143" s="499"/>
      <c r="E143" s="499" t="s">
        <v>116</v>
      </c>
      <c r="F143" s="500">
        <v>0.27</v>
      </c>
      <c r="G143" s="499" t="s">
        <v>117</v>
      </c>
      <c r="H143" s="500">
        <v>0</v>
      </c>
      <c r="I143" s="499" t="s">
        <v>118</v>
      </c>
      <c r="J143" s="501">
        <v>0.27</v>
      </c>
    </row>
    <row r="144" spans="1:10" ht="15" customHeight="1">
      <c r="A144" s="498"/>
      <c r="B144" s="20"/>
      <c r="C144" s="499"/>
      <c r="D144" s="499"/>
      <c r="E144" s="499" t="s">
        <v>119</v>
      </c>
      <c r="F144" s="500">
        <f>J144-J135</f>
        <v>0.41521602156299986</v>
      </c>
      <c r="G144" s="499"/>
      <c r="H144" s="1082" t="s">
        <v>120</v>
      </c>
      <c r="I144" s="1082"/>
      <c r="J144" s="517">
        <f>J135*(1+G2)</f>
        <v>2.3952638115629998</v>
      </c>
    </row>
    <row r="145" spans="1:10" ht="26.25" thickBot="1">
      <c r="A145" s="503"/>
      <c r="B145" s="666"/>
      <c r="C145" s="14"/>
      <c r="D145" s="14"/>
      <c r="E145" s="14"/>
      <c r="F145" s="14"/>
      <c r="G145" s="14" t="s">
        <v>121</v>
      </c>
      <c r="H145" s="504">
        <f>'OBRA 04 - MEMÓRIA'!O33</f>
        <v>4143.26</v>
      </c>
      <c r="I145" s="14" t="s">
        <v>122</v>
      </c>
      <c r="J145" s="505">
        <f>TRUNC(H145*J144,2)</f>
        <v>9924.2000000000007</v>
      </c>
    </row>
    <row r="146" spans="1:10" ht="15" thickTop="1">
      <c r="A146" s="506"/>
      <c r="B146" s="230"/>
      <c r="C146" s="230"/>
      <c r="D146" s="15"/>
      <c r="E146" s="15"/>
      <c r="F146" s="15"/>
      <c r="G146" s="15"/>
      <c r="H146" s="15"/>
      <c r="I146" s="15"/>
      <c r="J146" s="507"/>
    </row>
    <row r="147" spans="1:10" ht="15">
      <c r="A147" s="490" t="s">
        <v>51</v>
      </c>
      <c r="B147" s="31" t="s">
        <v>7</v>
      </c>
      <c r="C147" s="31" t="s">
        <v>8</v>
      </c>
      <c r="D147" s="26" t="s">
        <v>9</v>
      </c>
      <c r="E147" s="1092" t="s">
        <v>92</v>
      </c>
      <c r="F147" s="1092"/>
      <c r="G147" s="31" t="s">
        <v>10</v>
      </c>
      <c r="H147" s="29" t="s">
        <v>11</v>
      </c>
      <c r="I147" s="29" t="s">
        <v>12</v>
      </c>
      <c r="J147" s="491" t="s">
        <v>14</v>
      </c>
    </row>
    <row r="148" spans="1:10" ht="51">
      <c r="A148" s="492" t="s">
        <v>93</v>
      </c>
      <c r="B148" s="4" t="s">
        <v>52</v>
      </c>
      <c r="C148" s="4" t="s">
        <v>24</v>
      </c>
      <c r="D148" s="27" t="s">
        <v>53</v>
      </c>
      <c r="E148" s="1079" t="s">
        <v>204</v>
      </c>
      <c r="F148" s="1079"/>
      <c r="G148" s="4" t="s">
        <v>28</v>
      </c>
      <c r="H148" s="5">
        <v>1</v>
      </c>
      <c r="I148" s="6">
        <v>95.63</v>
      </c>
      <c r="J148" s="493">
        <f>SUM(J149:J162)</f>
        <v>93.440669999999997</v>
      </c>
    </row>
    <row r="149" spans="1:10" ht="42" customHeight="1">
      <c r="A149" s="494" t="s">
        <v>95</v>
      </c>
      <c r="B149" s="8" t="s">
        <v>217</v>
      </c>
      <c r="C149" s="8" t="s">
        <v>24</v>
      </c>
      <c r="D149" s="23" t="s">
        <v>218</v>
      </c>
      <c r="E149" s="1080" t="s">
        <v>125</v>
      </c>
      <c r="F149" s="1080"/>
      <c r="G149" s="8" t="s">
        <v>126</v>
      </c>
      <c r="H149" s="9">
        <v>1.2E-2</v>
      </c>
      <c r="I149" s="10">
        <v>170.5</v>
      </c>
      <c r="J149" s="495">
        <f>I149*H149</f>
        <v>2.0460000000000003</v>
      </c>
    </row>
    <row r="150" spans="1:10" ht="42" customHeight="1">
      <c r="A150" s="494" t="s">
        <v>95</v>
      </c>
      <c r="B150" s="8" t="s">
        <v>219</v>
      </c>
      <c r="C150" s="8" t="s">
        <v>24</v>
      </c>
      <c r="D150" s="23" t="s">
        <v>220</v>
      </c>
      <c r="E150" s="1080" t="s">
        <v>125</v>
      </c>
      <c r="F150" s="1080"/>
      <c r="G150" s="8" t="s">
        <v>129</v>
      </c>
      <c r="H150" s="9">
        <v>2.8000000000000001E-2</v>
      </c>
      <c r="I150" s="10">
        <v>73.290000000000006</v>
      </c>
      <c r="J150" s="495">
        <f t="shared" ref="J150:J162" si="8">I150*H150</f>
        <v>2.0521200000000004</v>
      </c>
    </row>
    <row r="151" spans="1:10" ht="51">
      <c r="A151" s="494" t="s">
        <v>95</v>
      </c>
      <c r="B151" s="8" t="s">
        <v>205</v>
      </c>
      <c r="C151" s="8" t="s">
        <v>24</v>
      </c>
      <c r="D151" s="23" t="s">
        <v>206</v>
      </c>
      <c r="E151" s="1080" t="s">
        <v>125</v>
      </c>
      <c r="F151" s="1080"/>
      <c r="G151" s="8" t="s">
        <v>126</v>
      </c>
      <c r="H151" s="9">
        <v>4.0000000000000001E-3</v>
      </c>
      <c r="I151" s="10">
        <v>317.66000000000003</v>
      </c>
      <c r="J151" s="495">
        <f t="shared" si="8"/>
        <v>1.2706400000000002</v>
      </c>
    </row>
    <row r="152" spans="1:10" ht="51">
      <c r="A152" s="494" t="s">
        <v>95</v>
      </c>
      <c r="B152" s="8" t="s">
        <v>207</v>
      </c>
      <c r="C152" s="8" t="s">
        <v>24</v>
      </c>
      <c r="D152" s="23" t="s">
        <v>208</v>
      </c>
      <c r="E152" s="1080" t="s">
        <v>125</v>
      </c>
      <c r="F152" s="1080"/>
      <c r="G152" s="8" t="s">
        <v>129</v>
      </c>
      <c r="H152" s="9">
        <v>3.5999999999999997E-2</v>
      </c>
      <c r="I152" s="10">
        <v>71.599999999999994</v>
      </c>
      <c r="J152" s="495">
        <f t="shared" si="8"/>
        <v>2.5775999999999994</v>
      </c>
    </row>
    <row r="153" spans="1:10" ht="25.5">
      <c r="A153" s="494" t="s">
        <v>95</v>
      </c>
      <c r="B153" s="8" t="s">
        <v>221</v>
      </c>
      <c r="C153" s="8" t="s">
        <v>24</v>
      </c>
      <c r="D153" s="23" t="s">
        <v>222</v>
      </c>
      <c r="E153" s="1080" t="s">
        <v>125</v>
      </c>
      <c r="F153" s="1080"/>
      <c r="G153" s="8" t="s">
        <v>126</v>
      </c>
      <c r="H153" s="9">
        <v>8.0000000000000002E-3</v>
      </c>
      <c r="I153" s="10">
        <v>4.9400000000000004</v>
      </c>
      <c r="J153" s="495">
        <f t="shared" si="8"/>
        <v>3.9520000000000007E-2</v>
      </c>
    </row>
    <row r="154" spans="1:10" ht="25.5">
      <c r="A154" s="494" t="s">
        <v>95</v>
      </c>
      <c r="B154" s="8" t="s">
        <v>223</v>
      </c>
      <c r="C154" s="8" t="s">
        <v>24</v>
      </c>
      <c r="D154" s="23" t="s">
        <v>224</v>
      </c>
      <c r="E154" s="1080" t="s">
        <v>125</v>
      </c>
      <c r="F154" s="1080"/>
      <c r="G154" s="8" t="s">
        <v>129</v>
      </c>
      <c r="H154" s="9">
        <v>3.2000000000000001E-2</v>
      </c>
      <c r="I154" s="10">
        <v>3.2</v>
      </c>
      <c r="J154" s="495">
        <f t="shared" si="8"/>
        <v>0.1024</v>
      </c>
    </row>
    <row r="155" spans="1:10" ht="38.25">
      <c r="A155" s="494" t="s">
        <v>95</v>
      </c>
      <c r="B155" s="8" t="s">
        <v>209</v>
      </c>
      <c r="C155" s="8" t="s">
        <v>24</v>
      </c>
      <c r="D155" s="23" t="s">
        <v>210</v>
      </c>
      <c r="E155" s="1080" t="s">
        <v>125</v>
      </c>
      <c r="F155" s="1080"/>
      <c r="G155" s="8" t="s">
        <v>126</v>
      </c>
      <c r="H155" s="9">
        <v>8.0000000000000002E-3</v>
      </c>
      <c r="I155" s="10">
        <v>262.45999999999998</v>
      </c>
      <c r="J155" s="495">
        <f t="shared" si="8"/>
        <v>2.0996799999999998</v>
      </c>
    </row>
    <row r="156" spans="1:10" ht="38.25">
      <c r="A156" s="494" t="s">
        <v>95</v>
      </c>
      <c r="B156" s="8" t="s">
        <v>211</v>
      </c>
      <c r="C156" s="8" t="s">
        <v>24</v>
      </c>
      <c r="D156" s="23" t="s">
        <v>212</v>
      </c>
      <c r="E156" s="1080" t="s">
        <v>125</v>
      </c>
      <c r="F156" s="1080"/>
      <c r="G156" s="8" t="s">
        <v>129</v>
      </c>
      <c r="H156" s="9">
        <v>3.2000000000000001E-2</v>
      </c>
      <c r="I156" s="10">
        <v>103.25</v>
      </c>
      <c r="J156" s="495">
        <f t="shared" si="8"/>
        <v>3.3040000000000003</v>
      </c>
    </row>
    <row r="157" spans="1:10" ht="25.5">
      <c r="A157" s="494" t="s">
        <v>95</v>
      </c>
      <c r="B157" s="8" t="s">
        <v>103</v>
      </c>
      <c r="C157" s="8" t="s">
        <v>24</v>
      </c>
      <c r="D157" s="23" t="s">
        <v>104</v>
      </c>
      <c r="E157" s="1080" t="s">
        <v>101</v>
      </c>
      <c r="F157" s="1080"/>
      <c r="G157" s="8" t="s">
        <v>102</v>
      </c>
      <c r="H157" s="9">
        <v>0.16</v>
      </c>
      <c r="I157" s="10">
        <v>21.05</v>
      </c>
      <c r="J157" s="495">
        <f t="shared" si="8"/>
        <v>3.3680000000000003</v>
      </c>
    </row>
    <row r="158" spans="1:10" ht="25.5">
      <c r="A158" s="494" t="s">
        <v>95</v>
      </c>
      <c r="B158" s="8" t="s">
        <v>225</v>
      </c>
      <c r="C158" s="8" t="s">
        <v>24</v>
      </c>
      <c r="D158" s="23" t="s">
        <v>226</v>
      </c>
      <c r="E158" s="1080" t="s">
        <v>125</v>
      </c>
      <c r="F158" s="1080"/>
      <c r="G158" s="8" t="s">
        <v>126</v>
      </c>
      <c r="H158" s="9">
        <v>8.0000000000000002E-3</v>
      </c>
      <c r="I158" s="10">
        <v>134.34</v>
      </c>
      <c r="J158" s="495">
        <f t="shared" si="8"/>
        <v>1.0747200000000001</v>
      </c>
    </row>
    <row r="159" spans="1:10" ht="25.5">
      <c r="A159" s="494" t="s">
        <v>95</v>
      </c>
      <c r="B159" s="8" t="s">
        <v>227</v>
      </c>
      <c r="C159" s="8" t="s">
        <v>24</v>
      </c>
      <c r="D159" s="23" t="s">
        <v>228</v>
      </c>
      <c r="E159" s="1080" t="s">
        <v>125</v>
      </c>
      <c r="F159" s="1080"/>
      <c r="G159" s="8" t="s">
        <v>129</v>
      </c>
      <c r="H159" s="9">
        <v>3.2000000000000001E-2</v>
      </c>
      <c r="I159" s="10">
        <v>50.98</v>
      </c>
      <c r="J159" s="495">
        <f t="shared" si="8"/>
        <v>1.6313599999999999</v>
      </c>
    </row>
    <row r="160" spans="1:10" ht="38.25">
      <c r="A160" s="494" t="s">
        <v>95</v>
      </c>
      <c r="B160" s="8" t="s">
        <v>213</v>
      </c>
      <c r="C160" s="8" t="s">
        <v>24</v>
      </c>
      <c r="D160" s="23" t="s">
        <v>214</v>
      </c>
      <c r="E160" s="1080" t="s">
        <v>125</v>
      </c>
      <c r="F160" s="1080"/>
      <c r="G160" s="8" t="s">
        <v>126</v>
      </c>
      <c r="H160" s="9">
        <v>5.0000000000000001E-3</v>
      </c>
      <c r="I160" s="10">
        <v>230.43</v>
      </c>
      <c r="J160" s="495">
        <f t="shared" si="8"/>
        <v>1.15215</v>
      </c>
    </row>
    <row r="161" spans="1:15" ht="38.25">
      <c r="A161" s="494" t="s">
        <v>95</v>
      </c>
      <c r="B161" s="8" t="s">
        <v>215</v>
      </c>
      <c r="C161" s="8" t="s">
        <v>24</v>
      </c>
      <c r="D161" s="23" t="s">
        <v>216</v>
      </c>
      <c r="E161" s="1080" t="s">
        <v>125</v>
      </c>
      <c r="F161" s="1080"/>
      <c r="G161" s="8" t="s">
        <v>129</v>
      </c>
      <c r="H161" s="9">
        <v>3.5000000000000003E-2</v>
      </c>
      <c r="I161" s="10">
        <v>100.08</v>
      </c>
      <c r="J161" s="495">
        <f t="shared" si="8"/>
        <v>3.5028000000000001</v>
      </c>
    </row>
    <row r="162" spans="1:15" ht="25.5">
      <c r="A162" s="496" t="s">
        <v>105</v>
      </c>
      <c r="B162" s="11" t="s">
        <v>229</v>
      </c>
      <c r="C162" s="11" t="s">
        <v>24</v>
      </c>
      <c r="D162" s="24" t="s">
        <v>230</v>
      </c>
      <c r="E162" s="1087" t="s">
        <v>108</v>
      </c>
      <c r="F162" s="1087"/>
      <c r="G162" s="11" t="s">
        <v>28</v>
      </c>
      <c r="H162" s="12">
        <v>0.68799999999999994</v>
      </c>
      <c r="I162" s="13">
        <v>100.61</v>
      </c>
      <c r="J162" s="497">
        <f t="shared" si="8"/>
        <v>69.219679999999997</v>
      </c>
    </row>
    <row r="163" spans="1:15">
      <c r="A163" s="498"/>
      <c r="B163" s="20"/>
      <c r="C163" s="20"/>
      <c r="D163" s="499"/>
      <c r="E163" s="499" t="s">
        <v>116</v>
      </c>
      <c r="F163" s="500">
        <v>8.09</v>
      </c>
      <c r="G163" s="499" t="s">
        <v>117</v>
      </c>
      <c r="H163" s="500">
        <v>0</v>
      </c>
      <c r="I163" s="499" t="s">
        <v>118</v>
      </c>
      <c r="J163" s="501">
        <v>8.09</v>
      </c>
    </row>
    <row r="164" spans="1:15" ht="15" customHeight="1">
      <c r="A164" s="498"/>
      <c r="B164" s="20"/>
      <c r="C164" s="20"/>
      <c r="D164" s="499"/>
      <c r="E164" s="499" t="s">
        <v>119</v>
      </c>
      <c r="F164" s="500">
        <f>J164-J148</f>
        <v>19.594508499</v>
      </c>
      <c r="G164" s="499"/>
      <c r="H164" s="1082" t="s">
        <v>120</v>
      </c>
      <c r="I164" s="1082"/>
      <c r="J164" s="501">
        <f>J148*(1+G2)</f>
        <v>113.035178499</v>
      </c>
    </row>
    <row r="165" spans="1:15" ht="26.25" thickBot="1">
      <c r="A165" s="503"/>
      <c r="B165" s="666"/>
      <c r="C165" s="666"/>
      <c r="D165" s="14"/>
      <c r="E165" s="14"/>
      <c r="F165" s="14"/>
      <c r="G165" s="14" t="s">
        <v>121</v>
      </c>
      <c r="H165" s="504">
        <f>'OBRA 04 - MEMÓRIA'!O35</f>
        <v>828.65200000000004</v>
      </c>
      <c r="I165" s="14" t="s">
        <v>122</v>
      </c>
      <c r="J165" s="505">
        <f>TRUNC(H165*J164,2)</f>
        <v>93666.82</v>
      </c>
    </row>
    <row r="166" spans="1:15" ht="15" thickTop="1">
      <c r="A166" s="506"/>
      <c r="B166" s="230"/>
      <c r="C166" s="230"/>
      <c r="D166" s="15"/>
      <c r="E166" s="15"/>
      <c r="F166" s="15"/>
      <c r="G166" s="15"/>
      <c r="H166" s="15"/>
      <c r="I166" s="15"/>
      <c r="J166" s="507"/>
    </row>
    <row r="167" spans="1:15" ht="15">
      <c r="A167" s="490" t="s">
        <v>411</v>
      </c>
      <c r="B167" s="31" t="s">
        <v>7</v>
      </c>
      <c r="C167" s="31" t="s">
        <v>8</v>
      </c>
      <c r="D167" s="26" t="s">
        <v>9</v>
      </c>
      <c r="E167" s="1092" t="s">
        <v>92</v>
      </c>
      <c r="F167" s="1092"/>
      <c r="G167" s="31" t="s">
        <v>10</v>
      </c>
      <c r="H167" s="29" t="s">
        <v>11</v>
      </c>
      <c r="I167" s="29" t="s">
        <v>12</v>
      </c>
      <c r="J167" s="491" t="s">
        <v>14</v>
      </c>
    </row>
    <row r="168" spans="1:15">
      <c r="A168" s="522" t="s">
        <v>105</v>
      </c>
      <c r="B168" s="17" t="s">
        <v>307</v>
      </c>
      <c r="C168" s="17" t="s">
        <v>24</v>
      </c>
      <c r="D168" s="28" t="s">
        <v>308</v>
      </c>
      <c r="E168" s="1099" t="s">
        <v>108</v>
      </c>
      <c r="F168" s="1099"/>
      <c r="G168" s="17" t="s">
        <v>28</v>
      </c>
      <c r="H168" s="18">
        <v>1</v>
      </c>
      <c r="I168" s="19">
        <v>60.92</v>
      </c>
      <c r="J168" s="523">
        <v>60.92</v>
      </c>
    </row>
    <row r="169" spans="1:15">
      <c r="A169" s="498"/>
      <c r="B169" s="20"/>
      <c r="C169" s="20"/>
      <c r="D169" s="499"/>
      <c r="E169" s="499" t="s">
        <v>116</v>
      </c>
      <c r="F169" s="500">
        <v>0</v>
      </c>
      <c r="G169" s="499" t="s">
        <v>117</v>
      </c>
      <c r="H169" s="500">
        <v>0</v>
      </c>
      <c r="I169" s="499" t="s">
        <v>118</v>
      </c>
      <c r="J169" s="501">
        <v>0</v>
      </c>
    </row>
    <row r="170" spans="1:15" ht="15" customHeight="1">
      <c r="A170" s="498"/>
      <c r="B170" s="20"/>
      <c r="C170" s="20"/>
      <c r="D170" s="499"/>
      <c r="E170" s="499" t="s">
        <v>119</v>
      </c>
      <c r="F170" s="500">
        <v>15.23</v>
      </c>
      <c r="G170" s="499"/>
      <c r="H170" s="1082" t="s">
        <v>120</v>
      </c>
      <c r="I170" s="1082"/>
      <c r="J170" s="501">
        <f>J168*(1+H2)</f>
        <v>69.46098400000001</v>
      </c>
      <c r="L170" t="s">
        <v>207</v>
      </c>
      <c r="M170">
        <v>3.3000000000000002E-2</v>
      </c>
      <c r="N170">
        <v>71.599999999999994</v>
      </c>
      <c r="O170" t="s">
        <v>632</v>
      </c>
    </row>
    <row r="171" spans="1:15" ht="26.25" thickBot="1">
      <c r="A171" s="503"/>
      <c r="B171" s="666"/>
      <c r="C171" s="666"/>
      <c r="D171" s="14"/>
      <c r="E171" s="14"/>
      <c r="F171" s="14"/>
      <c r="G171" s="14" t="s">
        <v>121</v>
      </c>
      <c r="H171" s="504">
        <f>'OBRA 04 - MEMÓRIA'!O37</f>
        <v>517.90750000000003</v>
      </c>
      <c r="I171" s="14" t="s">
        <v>122</v>
      </c>
      <c r="J171" s="505">
        <f>TRUNC(H171*J170,2)</f>
        <v>35974.36</v>
      </c>
      <c r="L171" t="s">
        <v>205</v>
      </c>
      <c r="M171">
        <v>2E-3</v>
      </c>
      <c r="N171">
        <v>317.66000000000003</v>
      </c>
      <c r="O171" t="s">
        <v>632</v>
      </c>
    </row>
    <row r="172" spans="1:15" ht="15" thickTop="1">
      <c r="A172" s="506"/>
      <c r="B172" s="230"/>
      <c r="C172" s="230"/>
      <c r="D172" s="15"/>
      <c r="E172" s="15"/>
      <c r="F172" s="15"/>
      <c r="G172" s="15"/>
      <c r="H172" s="15"/>
      <c r="I172" s="15"/>
      <c r="J172" s="507"/>
      <c r="L172" t="s">
        <v>211</v>
      </c>
      <c r="M172">
        <v>2.7E-2</v>
      </c>
      <c r="N172">
        <v>103.25</v>
      </c>
      <c r="O172" t="s">
        <v>632</v>
      </c>
    </row>
    <row r="173" spans="1:15" ht="15">
      <c r="A173" s="490" t="s">
        <v>607</v>
      </c>
      <c r="B173" s="31" t="s">
        <v>7</v>
      </c>
      <c r="C173" s="31" t="s">
        <v>8</v>
      </c>
      <c r="D173" s="26" t="s">
        <v>9</v>
      </c>
      <c r="E173" s="1092" t="s">
        <v>92</v>
      </c>
      <c r="F173" s="1092"/>
      <c r="G173" s="31" t="s">
        <v>10</v>
      </c>
      <c r="H173" s="29" t="s">
        <v>11</v>
      </c>
      <c r="I173" s="29" t="s">
        <v>12</v>
      </c>
      <c r="J173" s="491" t="s">
        <v>14</v>
      </c>
      <c r="L173" t="s">
        <v>209</v>
      </c>
      <c r="M173">
        <v>8.0000000000000002E-3</v>
      </c>
      <c r="N173">
        <v>262.45999999999998</v>
      </c>
      <c r="O173" t="s">
        <v>632</v>
      </c>
    </row>
    <row r="174" spans="1:15" ht="38.25">
      <c r="A174" s="492" t="s">
        <v>93</v>
      </c>
      <c r="B174" s="4">
        <v>96396</v>
      </c>
      <c r="C174" s="4" t="s">
        <v>24</v>
      </c>
      <c r="D174" s="27" t="s">
        <v>412</v>
      </c>
      <c r="E174" s="1079" t="s">
        <v>204</v>
      </c>
      <c r="F174" s="1079"/>
      <c r="G174" s="4" t="s">
        <v>28</v>
      </c>
      <c r="H174" s="5">
        <v>1</v>
      </c>
      <c r="I174" s="6">
        <v>236.48</v>
      </c>
      <c r="J174" s="493">
        <f>SUM(J175:J184)</f>
        <v>234.43374999999997</v>
      </c>
      <c r="L174" t="s">
        <v>215</v>
      </c>
      <c r="M174">
        <v>3.1E-2</v>
      </c>
      <c r="N174">
        <v>100.08</v>
      </c>
    </row>
    <row r="175" spans="1:15" ht="51">
      <c r="A175" s="494" t="s">
        <v>95</v>
      </c>
      <c r="B175" s="8" t="s">
        <v>217</v>
      </c>
      <c r="C175" s="8" t="s">
        <v>24</v>
      </c>
      <c r="D175" s="23" t="s">
        <v>218</v>
      </c>
      <c r="E175" s="1080" t="s">
        <v>125</v>
      </c>
      <c r="F175" s="1080"/>
      <c r="G175" s="8" t="s">
        <v>126</v>
      </c>
      <c r="H175" s="9">
        <v>0.01</v>
      </c>
      <c r="I175" s="10">
        <v>170.5</v>
      </c>
      <c r="J175" s="495">
        <f>I175*H175</f>
        <v>1.7050000000000001</v>
      </c>
      <c r="L175" t="s">
        <v>213</v>
      </c>
      <c r="M175">
        <v>4.0000000000000001E-3</v>
      </c>
      <c r="N175">
        <v>230.43</v>
      </c>
    </row>
    <row r="176" spans="1:15" ht="51">
      <c r="A176" s="494" t="s">
        <v>95</v>
      </c>
      <c r="B176" s="8" t="s">
        <v>219</v>
      </c>
      <c r="C176" s="8" t="s">
        <v>24</v>
      </c>
      <c r="D176" s="23" t="s">
        <v>220</v>
      </c>
      <c r="E176" s="1080" t="s">
        <v>125</v>
      </c>
      <c r="F176" s="1080"/>
      <c r="G176" s="8" t="s">
        <v>129</v>
      </c>
      <c r="H176" s="9">
        <v>2.5000000000000001E-2</v>
      </c>
      <c r="I176" s="10">
        <v>73.290000000000006</v>
      </c>
      <c r="J176" s="495">
        <f t="shared" ref="J176:J184" si="9">I176*H176</f>
        <v>1.8322500000000002</v>
      </c>
      <c r="L176" t="s">
        <v>219</v>
      </c>
      <c r="M176">
        <v>2.5000000000000001E-2</v>
      </c>
      <c r="N176">
        <v>73.290000000000006</v>
      </c>
      <c r="O176" t="s">
        <v>632</v>
      </c>
    </row>
    <row r="177" spans="1:15" ht="51">
      <c r="A177" s="494" t="s">
        <v>95</v>
      </c>
      <c r="B177" s="8" t="s">
        <v>205</v>
      </c>
      <c r="C177" s="8" t="s">
        <v>24</v>
      </c>
      <c r="D177" s="23" t="s">
        <v>206</v>
      </c>
      <c r="E177" s="1080" t="s">
        <v>125</v>
      </c>
      <c r="F177" s="1080"/>
      <c r="G177" s="8" t="s">
        <v>126</v>
      </c>
      <c r="H177" s="9">
        <v>2E-3</v>
      </c>
      <c r="I177" s="10">
        <v>317.66000000000003</v>
      </c>
      <c r="J177" s="495">
        <f t="shared" si="9"/>
        <v>0.63532000000000011</v>
      </c>
      <c r="L177" t="s">
        <v>217</v>
      </c>
      <c r="M177">
        <v>0.01</v>
      </c>
      <c r="N177">
        <v>170.5</v>
      </c>
      <c r="O177" t="s">
        <v>632</v>
      </c>
    </row>
    <row r="178" spans="1:15" ht="51">
      <c r="A178" s="494" t="s">
        <v>95</v>
      </c>
      <c r="B178" s="8" t="s">
        <v>207</v>
      </c>
      <c r="C178" s="8" t="s">
        <v>24</v>
      </c>
      <c r="D178" s="23" t="s">
        <v>208</v>
      </c>
      <c r="E178" s="1080" t="s">
        <v>125</v>
      </c>
      <c r="F178" s="1080"/>
      <c r="G178" s="8" t="s">
        <v>129</v>
      </c>
      <c r="H178" s="9">
        <v>3.3000000000000002E-2</v>
      </c>
      <c r="I178" s="10">
        <v>71.599999999999994</v>
      </c>
      <c r="J178" s="495">
        <f t="shared" si="9"/>
        <v>2.3628</v>
      </c>
      <c r="L178" t="s">
        <v>103</v>
      </c>
      <c r="M178">
        <v>3.5000000000000003E-2</v>
      </c>
      <c r="N178">
        <v>21.05</v>
      </c>
      <c r="O178" t="s">
        <v>632</v>
      </c>
    </row>
    <row r="179" spans="1:15" ht="38.25">
      <c r="A179" s="494" t="s">
        <v>95</v>
      </c>
      <c r="B179" s="8" t="s">
        <v>209</v>
      </c>
      <c r="C179" s="8" t="s">
        <v>24</v>
      </c>
      <c r="D179" s="23" t="s">
        <v>210</v>
      </c>
      <c r="E179" s="1080" t="s">
        <v>125</v>
      </c>
      <c r="F179" s="1080"/>
      <c r="G179" s="8" t="s">
        <v>126</v>
      </c>
      <c r="H179" s="9">
        <v>8.0000000000000002E-3</v>
      </c>
      <c r="I179" s="10">
        <v>262.45999999999998</v>
      </c>
      <c r="J179" s="495">
        <f t="shared" si="9"/>
        <v>2.0996799999999998</v>
      </c>
      <c r="L179" t="s">
        <v>434</v>
      </c>
      <c r="M179">
        <v>1</v>
      </c>
      <c r="N179">
        <v>218.25</v>
      </c>
      <c r="O179" t="s">
        <v>632</v>
      </c>
    </row>
    <row r="180" spans="1:15" ht="38.25">
      <c r="A180" s="494" t="s">
        <v>95</v>
      </c>
      <c r="B180" s="8" t="s">
        <v>211</v>
      </c>
      <c r="C180" s="8" t="s">
        <v>24</v>
      </c>
      <c r="D180" s="23" t="s">
        <v>212</v>
      </c>
      <c r="E180" s="1080" t="s">
        <v>125</v>
      </c>
      <c r="F180" s="1080"/>
      <c r="G180" s="8" t="s">
        <v>129</v>
      </c>
      <c r="H180" s="9">
        <v>2.7E-2</v>
      </c>
      <c r="I180" s="10">
        <v>103.25</v>
      </c>
      <c r="J180" s="495">
        <f t="shared" si="9"/>
        <v>2.78775</v>
      </c>
      <c r="L180" t="s">
        <v>634</v>
      </c>
    </row>
    <row r="181" spans="1:15" ht="25.5">
      <c r="A181" s="494" t="s">
        <v>95</v>
      </c>
      <c r="B181" s="8" t="s">
        <v>103</v>
      </c>
      <c r="C181" s="8" t="s">
        <v>24</v>
      </c>
      <c r="D181" s="23" t="s">
        <v>104</v>
      </c>
      <c r="E181" s="1080" t="s">
        <v>101</v>
      </c>
      <c r="F181" s="1080"/>
      <c r="G181" s="8" t="s">
        <v>102</v>
      </c>
      <c r="H181" s="9">
        <v>3.5000000000000003E-2</v>
      </c>
      <c r="I181" s="10">
        <v>21.05</v>
      </c>
      <c r="J181" s="495">
        <f t="shared" si="9"/>
        <v>0.73675000000000013</v>
      </c>
      <c r="K181" t="s">
        <v>632</v>
      </c>
    </row>
    <row r="182" spans="1:15" ht="25.5">
      <c r="A182" s="494" t="s">
        <v>95</v>
      </c>
      <c r="B182" s="8" t="s">
        <v>434</v>
      </c>
      <c r="C182" s="8" t="s">
        <v>24</v>
      </c>
      <c r="D182" s="23" t="s">
        <v>435</v>
      </c>
      <c r="E182" s="1080" t="s">
        <v>204</v>
      </c>
      <c r="F182" s="1080"/>
      <c r="G182" s="8" t="s">
        <v>28</v>
      </c>
      <c r="H182" s="9">
        <v>1</v>
      </c>
      <c r="I182" s="10">
        <v>218.25</v>
      </c>
      <c r="J182" s="495">
        <f t="shared" si="9"/>
        <v>218.25</v>
      </c>
    </row>
    <row r="183" spans="1:15" ht="38.25">
      <c r="A183" s="494" t="s">
        <v>95</v>
      </c>
      <c r="B183" s="8" t="s">
        <v>213</v>
      </c>
      <c r="C183" s="8" t="s">
        <v>24</v>
      </c>
      <c r="D183" s="23" t="s">
        <v>214</v>
      </c>
      <c r="E183" s="1080" t="s">
        <v>125</v>
      </c>
      <c r="F183" s="1080"/>
      <c r="G183" s="8" t="s">
        <v>126</v>
      </c>
      <c r="H183" s="9">
        <v>4.0000000000000001E-3</v>
      </c>
      <c r="I183" s="10">
        <v>230.43</v>
      </c>
      <c r="J183" s="495">
        <f t="shared" si="9"/>
        <v>0.92172000000000009</v>
      </c>
    </row>
    <row r="184" spans="1:15" ht="38.25">
      <c r="A184" s="494" t="s">
        <v>95</v>
      </c>
      <c r="B184" s="8" t="s">
        <v>215</v>
      </c>
      <c r="C184" s="8" t="s">
        <v>24</v>
      </c>
      <c r="D184" s="23" t="s">
        <v>216</v>
      </c>
      <c r="E184" s="1080" t="s">
        <v>125</v>
      </c>
      <c r="F184" s="1080"/>
      <c r="G184" s="8" t="s">
        <v>129</v>
      </c>
      <c r="H184" s="9">
        <v>3.1E-2</v>
      </c>
      <c r="I184" s="10">
        <v>100.08</v>
      </c>
      <c r="J184" s="495">
        <f t="shared" si="9"/>
        <v>3.1024799999999999</v>
      </c>
    </row>
    <row r="185" spans="1:15" ht="15" customHeight="1">
      <c r="A185" s="498"/>
      <c r="B185" s="20"/>
      <c r="C185" s="20"/>
      <c r="D185" s="499"/>
      <c r="E185" s="499" t="s">
        <v>116</v>
      </c>
      <c r="F185" s="500">
        <v>6.24</v>
      </c>
      <c r="G185" s="499" t="s">
        <v>117</v>
      </c>
      <c r="H185" s="500">
        <v>0</v>
      </c>
      <c r="I185" s="499" t="s">
        <v>118</v>
      </c>
      <c r="J185" s="501">
        <v>6.24</v>
      </c>
    </row>
    <row r="186" spans="1:15" ht="15" customHeight="1">
      <c r="A186" s="498"/>
      <c r="B186" s="20"/>
      <c r="C186" s="20"/>
      <c r="D186" s="499"/>
      <c r="E186" s="499" t="s">
        <v>119</v>
      </c>
      <c r="F186" s="500">
        <v>59.12</v>
      </c>
      <c r="G186" s="499"/>
      <c r="H186" s="1082" t="s">
        <v>120</v>
      </c>
      <c r="I186" s="1082"/>
      <c r="J186" s="501">
        <f>J174*(1+G2)</f>
        <v>283.59450737499998</v>
      </c>
    </row>
    <row r="187" spans="1:15" ht="15" customHeight="1" thickBot="1">
      <c r="A187" s="503"/>
      <c r="B187" s="666"/>
      <c r="C187" s="666"/>
      <c r="D187" s="14"/>
      <c r="E187" s="14"/>
      <c r="F187" s="14"/>
      <c r="G187" s="14" t="s">
        <v>121</v>
      </c>
      <c r="H187" s="504">
        <f>'OBRA 04 - MEMÓRIA'!O39</f>
        <v>828.65200000000004</v>
      </c>
      <c r="I187" s="14" t="s">
        <v>122</v>
      </c>
      <c r="J187" s="505">
        <f>TRUNC(H187*J186,2)</f>
        <v>235001.15</v>
      </c>
    </row>
    <row r="188" spans="1:15" ht="15" thickTop="1">
      <c r="A188" s="506"/>
      <c r="B188" s="230"/>
      <c r="C188" s="230"/>
      <c r="D188" s="15"/>
      <c r="E188" s="15"/>
      <c r="F188" s="15"/>
      <c r="G188" s="15"/>
      <c r="H188" s="15"/>
      <c r="I188" s="15"/>
      <c r="J188" s="507"/>
    </row>
    <row r="189" spans="1:15" ht="15">
      <c r="A189" s="490" t="s">
        <v>326</v>
      </c>
      <c r="B189" s="31" t="s">
        <v>7</v>
      </c>
      <c r="C189" s="31" t="s">
        <v>8</v>
      </c>
      <c r="D189" s="26" t="s">
        <v>9</v>
      </c>
      <c r="E189" s="1092" t="s">
        <v>92</v>
      </c>
      <c r="F189" s="1092"/>
      <c r="G189" s="31" t="s">
        <v>10</v>
      </c>
      <c r="H189" s="29" t="s">
        <v>11</v>
      </c>
      <c r="I189" s="29" t="s">
        <v>12</v>
      </c>
      <c r="J189" s="491" t="s">
        <v>14</v>
      </c>
    </row>
    <row r="190" spans="1:15" ht="51">
      <c r="A190" s="492" t="s">
        <v>93</v>
      </c>
      <c r="B190" s="4" t="s">
        <v>42</v>
      </c>
      <c r="C190" s="4" t="s">
        <v>24</v>
      </c>
      <c r="D190" s="27" t="s">
        <v>659</v>
      </c>
      <c r="E190" s="1079" t="s">
        <v>184</v>
      </c>
      <c r="F190" s="1079"/>
      <c r="G190" s="4" t="s">
        <v>28</v>
      </c>
      <c r="H190" s="5">
        <v>1</v>
      </c>
      <c r="I190" s="6">
        <v>7.67</v>
      </c>
      <c r="J190" s="493">
        <f>SUM(J191:J194)</f>
        <v>7.8073019999999991</v>
      </c>
    </row>
    <row r="191" spans="1:15" ht="51">
      <c r="A191" s="494" t="s">
        <v>95</v>
      </c>
      <c r="B191" s="8" t="s">
        <v>185</v>
      </c>
      <c r="C191" s="8" t="s">
        <v>24</v>
      </c>
      <c r="D191" s="23" t="s">
        <v>186</v>
      </c>
      <c r="E191" s="1080" t="s">
        <v>125</v>
      </c>
      <c r="F191" s="1080"/>
      <c r="G191" s="8" t="s">
        <v>126</v>
      </c>
      <c r="H191" s="9">
        <v>2.2499999999999999E-2</v>
      </c>
      <c r="I191" s="10">
        <v>186.94</v>
      </c>
      <c r="J191" s="495">
        <f>I191*H191</f>
        <v>4.2061500000000001</v>
      </c>
      <c r="K191" t="s">
        <v>632</v>
      </c>
    </row>
    <row r="192" spans="1:15" ht="51">
      <c r="A192" s="494" t="s">
        <v>95</v>
      </c>
      <c r="B192" s="8" t="s">
        <v>187</v>
      </c>
      <c r="C192" s="8" t="s">
        <v>24</v>
      </c>
      <c r="D192" s="23" t="s">
        <v>188</v>
      </c>
      <c r="E192" s="1080" t="s">
        <v>125</v>
      </c>
      <c r="F192" s="1080"/>
      <c r="G192" s="8" t="s">
        <v>129</v>
      </c>
      <c r="H192" s="9">
        <v>1.8499999999999999E-2</v>
      </c>
      <c r="I192" s="10">
        <v>62.47</v>
      </c>
      <c r="J192" s="495">
        <f t="shared" ref="J192:J194" si="10">I192*H192</f>
        <v>1.1556949999999999</v>
      </c>
    </row>
    <row r="193" spans="1:11" ht="25.5">
      <c r="A193" s="494" t="s">
        <v>95</v>
      </c>
      <c r="B193" s="8" t="s">
        <v>200</v>
      </c>
      <c r="C193" s="8" t="s">
        <v>24</v>
      </c>
      <c r="D193" s="23" t="s">
        <v>201</v>
      </c>
      <c r="E193" s="1080" t="s">
        <v>125</v>
      </c>
      <c r="F193" s="1080"/>
      <c r="G193" s="8" t="s">
        <v>126</v>
      </c>
      <c r="H193" s="9">
        <v>4.1999999999999997E-3</v>
      </c>
      <c r="I193" s="10">
        <v>257.7</v>
      </c>
      <c r="J193" s="495">
        <f t="shared" si="10"/>
        <v>1.0823399999999999</v>
      </c>
    </row>
    <row r="194" spans="1:11" ht="25.5">
      <c r="A194" s="494" t="s">
        <v>95</v>
      </c>
      <c r="B194" s="8" t="s">
        <v>202</v>
      </c>
      <c r="C194" s="8" t="s">
        <v>24</v>
      </c>
      <c r="D194" s="23" t="s">
        <v>203</v>
      </c>
      <c r="E194" s="1080" t="s">
        <v>125</v>
      </c>
      <c r="F194" s="1080"/>
      <c r="G194" s="8" t="s">
        <v>129</v>
      </c>
      <c r="H194" s="9">
        <v>1.3299999999999999E-2</v>
      </c>
      <c r="I194" s="10">
        <v>102.49</v>
      </c>
      <c r="J194" s="495">
        <f t="shared" si="10"/>
        <v>1.3631169999999999</v>
      </c>
    </row>
    <row r="195" spans="1:11" ht="15" customHeight="1">
      <c r="A195" s="498"/>
      <c r="B195" s="20"/>
      <c r="C195" s="20"/>
      <c r="D195" s="499"/>
      <c r="E195" s="499" t="s">
        <v>116</v>
      </c>
      <c r="F195" s="500">
        <v>1.4</v>
      </c>
      <c r="G195" s="499" t="s">
        <v>117</v>
      </c>
      <c r="H195" s="500">
        <v>0</v>
      </c>
      <c r="I195" s="499" t="s">
        <v>118</v>
      </c>
      <c r="J195" s="501">
        <v>1.4</v>
      </c>
    </row>
    <row r="196" spans="1:11" ht="15" customHeight="1">
      <c r="A196" s="498"/>
      <c r="B196" s="20"/>
      <c r="C196" s="20"/>
      <c r="D196" s="499"/>
      <c r="E196" s="499" t="s">
        <v>119</v>
      </c>
      <c r="F196" s="500">
        <f>J196-J190</f>
        <v>1.6371912293999999</v>
      </c>
      <c r="G196" s="499"/>
      <c r="H196" s="1082" t="s">
        <v>120</v>
      </c>
      <c r="I196" s="1082"/>
      <c r="J196" s="501">
        <f>J190*(1+G2)</f>
        <v>9.444493229399999</v>
      </c>
    </row>
    <row r="197" spans="1:11" ht="15" customHeight="1" thickBot="1">
      <c r="A197" s="503"/>
      <c r="B197" s="666"/>
      <c r="C197" s="666"/>
      <c r="D197" s="14"/>
      <c r="E197" s="14"/>
      <c r="F197" s="14"/>
      <c r="G197" s="14" t="s">
        <v>121</v>
      </c>
      <c r="H197" s="504">
        <f>'OBRA 04 - MEMÓRIA'!O41</f>
        <v>2071.63</v>
      </c>
      <c r="I197" s="14" t="s">
        <v>122</v>
      </c>
      <c r="J197" s="505">
        <f>TRUNC(H197*J196,2)</f>
        <v>19565.490000000002</v>
      </c>
    </row>
    <row r="198" spans="1:11" ht="15" thickTop="1">
      <c r="A198" s="506"/>
      <c r="B198" s="230"/>
      <c r="C198" s="230"/>
      <c r="D198" s="15"/>
      <c r="E198" s="15"/>
      <c r="F198" s="15"/>
      <c r="G198" s="15"/>
      <c r="H198" s="15"/>
      <c r="I198" s="15"/>
      <c r="J198" s="507"/>
    </row>
    <row r="199" spans="1:11" ht="15">
      <c r="A199" s="490" t="s">
        <v>327</v>
      </c>
      <c r="B199" s="31" t="s">
        <v>7</v>
      </c>
      <c r="C199" s="31" t="s">
        <v>8</v>
      </c>
      <c r="D199" s="26" t="s">
        <v>9</v>
      </c>
      <c r="E199" s="1092" t="s">
        <v>92</v>
      </c>
      <c r="F199" s="1092"/>
      <c r="G199" s="31" t="s">
        <v>10</v>
      </c>
      <c r="H199" s="29" t="s">
        <v>11</v>
      </c>
      <c r="I199" s="29" t="s">
        <v>12</v>
      </c>
      <c r="J199" s="491" t="s">
        <v>14</v>
      </c>
      <c r="K199" t="s">
        <v>632</v>
      </c>
    </row>
    <row r="200" spans="1:11" ht="25.5">
      <c r="A200" s="492" t="s">
        <v>93</v>
      </c>
      <c r="B200" s="4" t="s">
        <v>56</v>
      </c>
      <c r="C200" s="4" t="s">
        <v>24</v>
      </c>
      <c r="D200" s="27" t="s">
        <v>658</v>
      </c>
      <c r="E200" s="1079" t="s">
        <v>184</v>
      </c>
      <c r="F200" s="1079"/>
      <c r="G200" s="4" t="s">
        <v>36</v>
      </c>
      <c r="H200" s="5">
        <v>1</v>
      </c>
      <c r="I200" s="6">
        <v>2.46</v>
      </c>
      <c r="J200" s="493">
        <f>SUM(J201:J202)</f>
        <v>2.4911820000000002</v>
      </c>
    </row>
    <row r="201" spans="1:11" ht="51">
      <c r="A201" s="494" t="s">
        <v>95</v>
      </c>
      <c r="B201" s="8" t="s">
        <v>233</v>
      </c>
      <c r="C201" s="8" t="s">
        <v>24</v>
      </c>
      <c r="D201" s="23" t="s">
        <v>234</v>
      </c>
      <c r="E201" s="1080" t="s">
        <v>125</v>
      </c>
      <c r="F201" s="1080"/>
      <c r="G201" s="8" t="s">
        <v>126</v>
      </c>
      <c r="H201" s="9">
        <v>8.3000000000000001E-3</v>
      </c>
      <c r="I201" s="10">
        <v>268.74</v>
      </c>
      <c r="J201" s="495">
        <f>I201*H201</f>
        <v>2.2305420000000002</v>
      </c>
    </row>
    <row r="202" spans="1:11" ht="51">
      <c r="A202" s="494" t="s">
        <v>95</v>
      </c>
      <c r="B202" s="8" t="s">
        <v>235</v>
      </c>
      <c r="C202" s="8" t="s">
        <v>24</v>
      </c>
      <c r="D202" s="23" t="s">
        <v>236</v>
      </c>
      <c r="E202" s="1080" t="s">
        <v>125</v>
      </c>
      <c r="F202" s="1080"/>
      <c r="G202" s="8" t="s">
        <v>129</v>
      </c>
      <c r="H202" s="9">
        <v>3.5999999999999999E-3</v>
      </c>
      <c r="I202" s="10">
        <v>72.400000000000006</v>
      </c>
      <c r="J202" s="495">
        <f>I202*H202</f>
        <v>0.26064000000000004</v>
      </c>
    </row>
    <row r="203" spans="1:11" ht="15" customHeight="1">
      <c r="A203" s="498"/>
      <c r="B203" s="20"/>
      <c r="C203" s="20"/>
      <c r="D203" s="499"/>
      <c r="E203" s="499" t="s">
        <v>116</v>
      </c>
      <c r="F203" s="500">
        <v>0.24000000000000002</v>
      </c>
      <c r="G203" s="499" t="s">
        <v>117</v>
      </c>
      <c r="H203" s="500">
        <v>0</v>
      </c>
      <c r="I203" s="499" t="s">
        <v>118</v>
      </c>
      <c r="J203" s="501">
        <v>0.24000000000000002</v>
      </c>
    </row>
    <row r="204" spans="1:11" ht="15" customHeight="1">
      <c r="A204" s="498"/>
      <c r="B204" s="20"/>
      <c r="C204" s="20"/>
      <c r="D204" s="499"/>
      <c r="E204" s="499" t="s">
        <v>119</v>
      </c>
      <c r="F204" s="500">
        <f>J204-J200</f>
        <v>0.52240086539999986</v>
      </c>
      <c r="G204" s="499"/>
      <c r="H204" s="1082" t="s">
        <v>120</v>
      </c>
      <c r="I204" s="1082"/>
      <c r="J204" s="501">
        <f>J200*(1+G2)</f>
        <v>3.0135828654000001</v>
      </c>
    </row>
    <row r="205" spans="1:11" ht="15" customHeight="1" thickBot="1">
      <c r="A205" s="503"/>
      <c r="B205" s="666"/>
      <c r="C205" s="666"/>
      <c r="D205" s="14"/>
      <c r="E205" s="14"/>
      <c r="F205" s="14"/>
      <c r="G205" s="14" t="s">
        <v>121</v>
      </c>
      <c r="H205" s="504">
        <f>'OBRA 04 - MEMÓRIA'!O44</f>
        <v>62148.9</v>
      </c>
      <c r="I205" s="14" t="s">
        <v>122</v>
      </c>
      <c r="J205" s="505">
        <f>TRUNC(H205*J204,2)</f>
        <v>187290.86</v>
      </c>
    </row>
    <row r="206" spans="1:11" ht="15" thickTop="1">
      <c r="A206" s="506"/>
      <c r="B206" s="230"/>
      <c r="C206" s="230"/>
      <c r="D206" s="15"/>
      <c r="E206" s="15"/>
      <c r="F206" s="15"/>
      <c r="G206" s="15"/>
      <c r="H206" s="15"/>
      <c r="I206" s="15"/>
      <c r="J206" s="507"/>
    </row>
    <row r="207" spans="1:11">
      <c r="A207" s="518" t="s">
        <v>58</v>
      </c>
      <c r="B207" s="229"/>
      <c r="C207" s="229"/>
      <c r="D207" s="25" t="s">
        <v>59</v>
      </c>
      <c r="E207" s="25"/>
      <c r="F207" s="1090"/>
      <c r="G207" s="1090"/>
      <c r="H207" s="1"/>
      <c r="I207" s="25"/>
      <c r="J207" s="519">
        <f>J247+J270+J293+J324+J332+J340+J348+J356+J363+J369+J375+J381</f>
        <v>859927.17000000016</v>
      </c>
    </row>
    <row r="208" spans="1:11" ht="15">
      <c r="A208" s="490" t="s">
        <v>457</v>
      </c>
      <c r="B208" s="31" t="s">
        <v>7</v>
      </c>
      <c r="C208" s="31" t="s">
        <v>8</v>
      </c>
      <c r="D208" s="26" t="s">
        <v>9</v>
      </c>
      <c r="E208" s="1092" t="s">
        <v>92</v>
      </c>
      <c r="F208" s="1092"/>
      <c r="G208" s="31" t="s">
        <v>10</v>
      </c>
      <c r="H208" s="29" t="s">
        <v>11</v>
      </c>
      <c r="I208" s="29" t="s">
        <v>12</v>
      </c>
      <c r="J208" s="491" t="s">
        <v>14</v>
      </c>
    </row>
    <row r="209" spans="1:10" ht="25.5">
      <c r="A209" s="492" t="s">
        <v>93</v>
      </c>
      <c r="B209" s="4" t="s">
        <v>603</v>
      </c>
      <c r="C209" s="27" t="s">
        <v>27</v>
      </c>
      <c r="D209" s="27" t="s">
        <v>665</v>
      </c>
      <c r="E209" s="1141" t="s">
        <v>136</v>
      </c>
      <c r="F209" s="1142"/>
      <c r="G209" s="4" t="s">
        <v>28</v>
      </c>
      <c r="H209" s="5">
        <v>1</v>
      </c>
      <c r="I209" s="6">
        <v>116.71</v>
      </c>
      <c r="J209" s="493">
        <f>J227+J229+J235+J239</f>
        <v>116.68798715613828</v>
      </c>
    </row>
    <row r="210" spans="1:10" ht="15">
      <c r="A210" s="1145" t="s">
        <v>137</v>
      </c>
      <c r="B210" s="1147" t="s">
        <v>7</v>
      </c>
      <c r="C210" s="1149" t="s">
        <v>8</v>
      </c>
      <c r="D210" s="1149" t="s">
        <v>138</v>
      </c>
      <c r="E210" s="1151" t="s">
        <v>139</v>
      </c>
      <c r="F210" s="1128" t="s">
        <v>140</v>
      </c>
      <c r="G210" s="1130"/>
      <c r="H210" s="1128" t="s">
        <v>141</v>
      </c>
      <c r="I210" s="1130"/>
      <c r="J210" s="1133" t="s">
        <v>142</v>
      </c>
    </row>
    <row r="211" spans="1:10" ht="15" customHeight="1">
      <c r="A211" s="1146"/>
      <c r="B211" s="1148"/>
      <c r="C211" s="1150"/>
      <c r="D211" s="1150"/>
      <c r="E211" s="1152"/>
      <c r="F211" s="29" t="s">
        <v>143</v>
      </c>
      <c r="G211" s="29" t="s">
        <v>144</v>
      </c>
      <c r="H211" s="29" t="s">
        <v>143</v>
      </c>
      <c r="I211" s="29" t="s">
        <v>144</v>
      </c>
      <c r="J211" s="1134"/>
    </row>
    <row r="212" spans="1:10">
      <c r="A212" s="496" t="s">
        <v>105</v>
      </c>
      <c r="B212" s="11" t="s">
        <v>608</v>
      </c>
      <c r="C212" s="24" t="s">
        <v>27</v>
      </c>
      <c r="D212" s="24" t="s">
        <v>609</v>
      </c>
      <c r="E212" s="12">
        <v>1</v>
      </c>
      <c r="F212" s="13">
        <v>0.26</v>
      </c>
      <c r="G212" s="13">
        <v>0.74</v>
      </c>
      <c r="H212" s="30">
        <v>432.64949999999999</v>
      </c>
      <c r="I212" s="30">
        <v>133.863</v>
      </c>
      <c r="J212" s="510">
        <f>E212*(F212*H212+G212*I212)</f>
        <v>211.54749000000001</v>
      </c>
    </row>
    <row r="213" spans="1:10">
      <c r="A213" s="496" t="s">
        <v>105</v>
      </c>
      <c r="B213" s="11" t="s">
        <v>190</v>
      </c>
      <c r="C213" s="24" t="s">
        <v>27</v>
      </c>
      <c r="D213" s="24" t="s">
        <v>191</v>
      </c>
      <c r="E213" s="12">
        <v>2</v>
      </c>
      <c r="F213" s="13">
        <v>0.64</v>
      </c>
      <c r="G213" s="13">
        <v>0.36</v>
      </c>
      <c r="H213" s="30">
        <v>320.50740000000002</v>
      </c>
      <c r="I213" s="30">
        <v>86.967100000000002</v>
      </c>
      <c r="J213" s="510">
        <f t="shared" ref="J213:J219" si="11">E213*(F213*H213+G213*I213)</f>
        <v>472.86578400000002</v>
      </c>
    </row>
    <row r="214" spans="1:10">
      <c r="A214" s="496" t="s">
        <v>105</v>
      </c>
      <c r="B214" s="11" t="s">
        <v>436</v>
      </c>
      <c r="C214" s="24" t="s">
        <v>27</v>
      </c>
      <c r="D214" s="24" t="s">
        <v>437</v>
      </c>
      <c r="E214" s="12">
        <v>1</v>
      </c>
      <c r="F214" s="13">
        <v>1</v>
      </c>
      <c r="G214" s="13">
        <v>0</v>
      </c>
      <c r="H214" s="30">
        <v>276.98910000000001</v>
      </c>
      <c r="I214" s="30">
        <v>103.1454</v>
      </c>
      <c r="J214" s="510">
        <f t="shared" si="11"/>
        <v>276.98910000000001</v>
      </c>
    </row>
    <row r="215" spans="1:10" ht="13.9" customHeight="1">
      <c r="A215" s="496" t="s">
        <v>105</v>
      </c>
      <c r="B215" s="11" t="s">
        <v>194</v>
      </c>
      <c r="C215" s="24" t="s">
        <v>27</v>
      </c>
      <c r="D215" s="24" t="s">
        <v>195</v>
      </c>
      <c r="E215" s="12">
        <v>1</v>
      </c>
      <c r="F215" s="13">
        <v>0.28999999999999998</v>
      </c>
      <c r="G215" s="13">
        <v>0.71</v>
      </c>
      <c r="H215" s="30">
        <v>283.32670000000002</v>
      </c>
      <c r="I215" s="30">
        <v>124.3669</v>
      </c>
      <c r="J215" s="510">
        <f t="shared" si="11"/>
        <v>170.46524199999999</v>
      </c>
    </row>
    <row r="216" spans="1:10" ht="13.9" customHeight="1">
      <c r="A216" s="496" t="s">
        <v>105</v>
      </c>
      <c r="B216" s="11" t="s">
        <v>438</v>
      </c>
      <c r="C216" s="24" t="s">
        <v>27</v>
      </c>
      <c r="D216" s="24" t="s">
        <v>439</v>
      </c>
      <c r="E216" s="12">
        <v>1</v>
      </c>
      <c r="F216" s="13">
        <v>1</v>
      </c>
      <c r="G216" s="13">
        <v>0</v>
      </c>
      <c r="H216" s="30">
        <v>1304.6833999999999</v>
      </c>
      <c r="I216" s="30">
        <v>421.12849999999997</v>
      </c>
      <c r="J216" s="510">
        <f t="shared" si="11"/>
        <v>1304.6833999999999</v>
      </c>
    </row>
    <row r="217" spans="1:10">
      <c r="A217" s="496" t="s">
        <v>105</v>
      </c>
      <c r="B217" s="11" t="s">
        <v>247</v>
      </c>
      <c r="C217" s="24" t="s">
        <v>27</v>
      </c>
      <c r="D217" s="24" t="s">
        <v>248</v>
      </c>
      <c r="E217" s="12">
        <v>1</v>
      </c>
      <c r="F217" s="13">
        <v>0.52</v>
      </c>
      <c r="G217" s="13">
        <v>0.48</v>
      </c>
      <c r="H217" s="30">
        <v>251.78749999999999</v>
      </c>
      <c r="I217" s="30">
        <v>123.43300000000001</v>
      </c>
      <c r="J217" s="510">
        <f t="shared" si="11"/>
        <v>190.17733999999999</v>
      </c>
    </row>
    <row r="218" spans="1:10" ht="13.9" customHeight="1">
      <c r="A218" s="496" t="s">
        <v>105</v>
      </c>
      <c r="B218" s="11" t="s">
        <v>440</v>
      </c>
      <c r="C218" s="24" t="s">
        <v>27</v>
      </c>
      <c r="D218" s="24" t="s">
        <v>441</v>
      </c>
      <c r="E218" s="12">
        <v>1</v>
      </c>
      <c r="F218" s="13">
        <v>0.42</v>
      </c>
      <c r="G218" s="13">
        <v>0.57999999999999996</v>
      </c>
      <c r="H218" s="30">
        <v>244.7064</v>
      </c>
      <c r="I218" s="30">
        <v>106.66889999999999</v>
      </c>
      <c r="J218" s="510">
        <f t="shared" si="11"/>
        <v>164.64464999999998</v>
      </c>
    </row>
    <row r="219" spans="1:10" ht="13.9" customHeight="1">
      <c r="A219" s="496" t="s">
        <v>105</v>
      </c>
      <c r="B219" s="11" t="s">
        <v>196</v>
      </c>
      <c r="C219" s="24" t="s">
        <v>27</v>
      </c>
      <c r="D219" s="24" t="s">
        <v>197</v>
      </c>
      <c r="E219" s="12">
        <v>1</v>
      </c>
      <c r="F219" s="13">
        <v>1</v>
      </c>
      <c r="G219" s="13">
        <v>0</v>
      </c>
      <c r="H219" s="30">
        <v>215.80500000000001</v>
      </c>
      <c r="I219" s="30">
        <v>97.373599999999996</v>
      </c>
      <c r="J219" s="510">
        <f t="shared" si="11"/>
        <v>215.80500000000001</v>
      </c>
    </row>
    <row r="220" spans="1:10" ht="13.9" customHeight="1">
      <c r="A220" s="1124"/>
      <c r="B220" s="1125"/>
      <c r="C220" s="1125"/>
      <c r="D220" s="1125"/>
      <c r="E220" s="1125"/>
      <c r="F220" s="1125" t="s">
        <v>145</v>
      </c>
      <c r="G220" s="1125"/>
      <c r="H220" s="1125"/>
      <c r="I220" s="1125"/>
      <c r="J220" s="511">
        <f>SUM(J212:J219)</f>
        <v>3007.1780060000001</v>
      </c>
    </row>
    <row r="221" spans="1:10" ht="13.9" customHeight="1">
      <c r="A221" s="490" t="s">
        <v>146</v>
      </c>
      <c r="B221" s="31" t="s">
        <v>7</v>
      </c>
      <c r="C221" s="26" t="s">
        <v>8</v>
      </c>
      <c r="D221" s="26" t="s">
        <v>147</v>
      </c>
      <c r="E221" s="29" t="s">
        <v>139</v>
      </c>
      <c r="F221" s="1118" t="s">
        <v>148</v>
      </c>
      <c r="G221" s="1119"/>
      <c r="H221" s="1119"/>
      <c r="I221" s="1120"/>
      <c r="J221" s="491" t="s">
        <v>142</v>
      </c>
    </row>
    <row r="222" spans="1:10" ht="13.9" customHeight="1">
      <c r="A222" s="496" t="s">
        <v>105</v>
      </c>
      <c r="B222" s="11" t="s">
        <v>651</v>
      </c>
      <c r="C222" s="24" t="s">
        <v>27</v>
      </c>
      <c r="D222" s="24" t="s">
        <v>149</v>
      </c>
      <c r="E222" s="12">
        <v>6</v>
      </c>
      <c r="F222" s="24"/>
      <c r="G222" s="24"/>
      <c r="H222" s="24"/>
      <c r="I222" s="30">
        <v>21.05</v>
      </c>
      <c r="J222" s="510">
        <f>I222*E222</f>
        <v>126.30000000000001</v>
      </c>
    </row>
    <row r="223" spans="1:10" ht="13.9" customHeight="1">
      <c r="A223" s="1131"/>
      <c r="B223" s="1132"/>
      <c r="C223" s="1132"/>
      <c r="D223" s="1132"/>
      <c r="E223" s="1132"/>
      <c r="F223" s="1132" t="s">
        <v>150</v>
      </c>
      <c r="G223" s="1132"/>
      <c r="H223" s="1132"/>
      <c r="I223" s="1132"/>
      <c r="J223" s="511">
        <f>J222</f>
        <v>126.30000000000001</v>
      </c>
    </row>
    <row r="224" spans="1:10" ht="13.9" customHeight="1">
      <c r="A224" s="1083"/>
      <c r="B224" s="1084"/>
      <c r="C224" s="1084"/>
      <c r="D224" s="1084"/>
      <c r="E224" s="1084"/>
      <c r="F224" s="1084" t="s">
        <v>151</v>
      </c>
      <c r="G224" s="1084"/>
      <c r="H224" s="1084"/>
      <c r="I224" s="1084"/>
      <c r="J224" s="511">
        <v>0</v>
      </c>
    </row>
    <row r="225" spans="1:10" ht="13.9" customHeight="1">
      <c r="A225" s="1083"/>
      <c r="B225" s="1084"/>
      <c r="C225" s="1084"/>
      <c r="D225" s="1084"/>
      <c r="E225" s="1084"/>
      <c r="F225" s="1084" t="s">
        <v>152</v>
      </c>
      <c r="G225" s="1084"/>
      <c r="H225" s="1084"/>
      <c r="I225" s="1084"/>
      <c r="J225" s="511">
        <f>J223+J220</f>
        <v>3133.4780060000003</v>
      </c>
    </row>
    <row r="226" spans="1:10">
      <c r="A226" s="1083"/>
      <c r="B226" s="1084"/>
      <c r="C226" s="1084"/>
      <c r="D226" s="1084"/>
      <c r="E226" s="1084"/>
      <c r="F226" s="1084" t="s">
        <v>153</v>
      </c>
      <c r="G226" s="1084"/>
      <c r="H226" s="1084"/>
      <c r="I226" s="1084"/>
      <c r="J226" s="511">
        <v>1.09E-2</v>
      </c>
    </row>
    <row r="227" spans="1:10">
      <c r="A227" s="1083"/>
      <c r="B227" s="1084"/>
      <c r="C227" s="1084"/>
      <c r="D227" s="1084"/>
      <c r="E227" s="1084"/>
      <c r="F227" s="1084" t="s">
        <v>154</v>
      </c>
      <c r="G227" s="1084"/>
      <c r="H227" s="1084"/>
      <c r="I227" s="1084"/>
      <c r="J227" s="511">
        <v>0.3755</v>
      </c>
    </row>
    <row r="228" spans="1:10">
      <c r="A228" s="1083"/>
      <c r="B228" s="1084"/>
      <c r="C228" s="1084"/>
      <c r="D228" s="1084"/>
      <c r="E228" s="1084"/>
      <c r="F228" s="1084" t="s">
        <v>155</v>
      </c>
      <c r="G228" s="1084"/>
      <c r="H228" s="1084"/>
      <c r="I228" s="1084"/>
      <c r="J228" s="511">
        <v>90.84</v>
      </c>
    </row>
    <row r="229" spans="1:10">
      <c r="A229" s="1116"/>
      <c r="B229" s="1117"/>
      <c r="C229" s="1117"/>
      <c r="D229" s="1117"/>
      <c r="E229" s="1117"/>
      <c r="F229" s="1117" t="s">
        <v>156</v>
      </c>
      <c r="G229" s="1117"/>
      <c r="H229" s="1117"/>
      <c r="I229" s="1117"/>
      <c r="J229" s="511">
        <f>J225/J228</f>
        <v>34.494473866138264</v>
      </c>
    </row>
    <row r="230" spans="1:10" ht="13.9" customHeight="1">
      <c r="A230" s="490" t="s">
        <v>157</v>
      </c>
      <c r="B230" s="31" t="s">
        <v>8</v>
      </c>
      <c r="C230" s="26" t="s">
        <v>7</v>
      </c>
      <c r="D230" s="26" t="s">
        <v>108</v>
      </c>
      <c r="E230" s="29" t="s">
        <v>139</v>
      </c>
      <c r="F230" s="29" t="s">
        <v>158</v>
      </c>
      <c r="G230" s="1118" t="s">
        <v>159</v>
      </c>
      <c r="H230" s="1119"/>
      <c r="I230" s="1120"/>
      <c r="J230" s="491" t="s">
        <v>142</v>
      </c>
    </row>
    <row r="231" spans="1:10">
      <c r="A231" s="496" t="s">
        <v>105</v>
      </c>
      <c r="B231" s="11" t="s">
        <v>27</v>
      </c>
      <c r="C231" s="24" t="s">
        <v>442</v>
      </c>
      <c r="D231" s="24" t="s">
        <v>443</v>
      </c>
      <c r="E231" s="12">
        <v>0.25</v>
      </c>
      <c r="F231" s="11" t="s">
        <v>28</v>
      </c>
      <c r="G231" s="1121">
        <v>135.11330000000001</v>
      </c>
      <c r="H231" s="1122"/>
      <c r="I231" s="1123"/>
      <c r="J231" s="510">
        <f>G231*E231</f>
        <v>33.778325000000002</v>
      </c>
    </row>
    <row r="232" spans="1:10">
      <c r="A232" s="496" t="s">
        <v>105</v>
      </c>
      <c r="B232" s="11" t="s">
        <v>27</v>
      </c>
      <c r="C232" s="24" t="s">
        <v>610</v>
      </c>
      <c r="D232" s="24" t="s">
        <v>611</v>
      </c>
      <c r="E232" s="12">
        <v>66</v>
      </c>
      <c r="F232" s="11" t="s">
        <v>612</v>
      </c>
      <c r="G232" s="1121">
        <v>0.61060000000000003</v>
      </c>
      <c r="H232" s="1122"/>
      <c r="I232" s="1123"/>
      <c r="J232" s="510">
        <f t="shared" ref="J232:J234" si="12">G232*E232</f>
        <v>40.299600000000005</v>
      </c>
    </row>
    <row r="233" spans="1:10">
      <c r="A233" s="496" t="s">
        <v>105</v>
      </c>
      <c r="B233" s="11" t="s">
        <v>27</v>
      </c>
      <c r="C233" s="24" t="s">
        <v>444</v>
      </c>
      <c r="D233" s="24" t="s">
        <v>445</v>
      </c>
      <c r="E233" s="12">
        <v>9.5000000000000001E-2</v>
      </c>
      <c r="F233" s="11" t="s">
        <v>84</v>
      </c>
      <c r="G233" s="1121">
        <v>54.179099999999998</v>
      </c>
      <c r="H233" s="1122"/>
      <c r="I233" s="1123"/>
      <c r="J233" s="510">
        <f t="shared" si="12"/>
        <v>5.1470145</v>
      </c>
    </row>
    <row r="234" spans="1:10" ht="13.9" customHeight="1">
      <c r="A234" s="496" t="s">
        <v>105</v>
      </c>
      <c r="B234" s="11" t="s">
        <v>27</v>
      </c>
      <c r="C234" s="24" t="s">
        <v>446</v>
      </c>
      <c r="D234" s="24" t="s">
        <v>447</v>
      </c>
      <c r="E234" s="12">
        <v>1.0499999999999999E-3</v>
      </c>
      <c r="F234" s="11" t="s">
        <v>84</v>
      </c>
      <c r="G234" s="1121">
        <v>493.27980000000002</v>
      </c>
      <c r="H234" s="1122"/>
      <c r="I234" s="1123"/>
      <c r="J234" s="510">
        <f t="shared" si="12"/>
        <v>0.51794379000000002</v>
      </c>
    </row>
    <row r="235" spans="1:10" ht="15" customHeight="1">
      <c r="A235" s="1124"/>
      <c r="B235" s="1125"/>
      <c r="C235" s="1125"/>
      <c r="D235" s="1125"/>
      <c r="E235" s="1125"/>
      <c r="F235" s="1125" t="s">
        <v>160</v>
      </c>
      <c r="G235" s="1125"/>
      <c r="H235" s="1125"/>
      <c r="I235" s="1125"/>
      <c r="J235" s="511">
        <f>SUM(J231:J234)</f>
        <v>79.742883290000009</v>
      </c>
    </row>
    <row r="236" spans="1:10" ht="15" customHeight="1">
      <c r="A236" s="490" t="s">
        <v>161</v>
      </c>
      <c r="B236" s="31" t="s">
        <v>8</v>
      </c>
      <c r="C236" s="26" t="s">
        <v>105</v>
      </c>
      <c r="D236" s="26" t="s">
        <v>162</v>
      </c>
      <c r="E236" s="29" t="s">
        <v>7</v>
      </c>
      <c r="F236" s="29" t="s">
        <v>139</v>
      </c>
      <c r="G236" s="31" t="s">
        <v>158</v>
      </c>
      <c r="H236" s="1118" t="s">
        <v>159</v>
      </c>
      <c r="I236" s="1120"/>
      <c r="J236" s="491" t="s">
        <v>142</v>
      </c>
    </row>
    <row r="237" spans="1:10" ht="38.25">
      <c r="A237" s="494" t="s">
        <v>163</v>
      </c>
      <c r="B237" s="8" t="s">
        <v>27</v>
      </c>
      <c r="C237" s="23" t="s">
        <v>442</v>
      </c>
      <c r="D237" s="23" t="s">
        <v>613</v>
      </c>
      <c r="E237" s="7">
        <v>5914651</v>
      </c>
      <c r="F237" s="9">
        <v>0.375</v>
      </c>
      <c r="G237" s="8" t="s">
        <v>61</v>
      </c>
      <c r="H237" s="1126">
        <v>2.5099999999999998</v>
      </c>
      <c r="I237" s="1127"/>
      <c r="J237" s="514">
        <f>F237*H237</f>
        <v>0.94124999999999992</v>
      </c>
    </row>
    <row r="238" spans="1:10" ht="25.5">
      <c r="A238" s="494" t="s">
        <v>163</v>
      </c>
      <c r="B238" s="8" t="s">
        <v>27</v>
      </c>
      <c r="C238" s="23" t="s">
        <v>610</v>
      </c>
      <c r="D238" s="23" t="s">
        <v>614</v>
      </c>
      <c r="E238" s="7">
        <v>5914363</v>
      </c>
      <c r="F238" s="9">
        <v>6.6000000000000003E-2</v>
      </c>
      <c r="G238" s="8" t="s">
        <v>61</v>
      </c>
      <c r="H238" s="1126">
        <v>17.18</v>
      </c>
      <c r="I238" s="1127"/>
      <c r="J238" s="514">
        <f>F238*H238</f>
        <v>1.13388</v>
      </c>
    </row>
    <row r="239" spans="1:10" ht="13.9" customHeight="1">
      <c r="A239" s="1124"/>
      <c r="B239" s="1125"/>
      <c r="C239" s="1125"/>
      <c r="D239" s="1125"/>
      <c r="E239" s="1125"/>
      <c r="F239" s="1125" t="s">
        <v>164</v>
      </c>
      <c r="G239" s="1125"/>
      <c r="H239" s="1125"/>
      <c r="I239" s="1125"/>
      <c r="J239" s="511">
        <f>SUM(J237:J238)</f>
        <v>2.0751299999999997</v>
      </c>
    </row>
    <row r="240" spans="1:10" ht="15" customHeight="1">
      <c r="A240" s="490" t="s">
        <v>165</v>
      </c>
      <c r="B240" s="31" t="s">
        <v>8</v>
      </c>
      <c r="C240" s="26" t="s">
        <v>105</v>
      </c>
      <c r="D240" s="26" t="s">
        <v>166</v>
      </c>
      <c r="E240" s="29" t="s">
        <v>139</v>
      </c>
      <c r="F240" s="29" t="s">
        <v>158</v>
      </c>
      <c r="G240" s="1128" t="s">
        <v>167</v>
      </c>
      <c r="H240" s="1129"/>
      <c r="I240" s="1130"/>
      <c r="J240" s="491" t="s">
        <v>142</v>
      </c>
    </row>
    <row r="241" spans="1:11" ht="15">
      <c r="A241" s="515"/>
      <c r="B241" s="31"/>
      <c r="C241" s="31"/>
      <c r="D241" s="31"/>
      <c r="E241" s="31"/>
      <c r="F241" s="31"/>
      <c r="G241" s="31" t="s">
        <v>168</v>
      </c>
      <c r="H241" s="31" t="s">
        <v>169</v>
      </c>
      <c r="I241" s="31" t="s">
        <v>170</v>
      </c>
      <c r="J241" s="516"/>
      <c r="K241" t="s">
        <v>634</v>
      </c>
    </row>
    <row r="242" spans="1:11" ht="13.9" customHeight="1">
      <c r="A242" s="494" t="s">
        <v>166</v>
      </c>
      <c r="B242" s="8" t="s">
        <v>27</v>
      </c>
      <c r="C242" s="23" t="s">
        <v>442</v>
      </c>
      <c r="D242" s="23" t="s">
        <v>615</v>
      </c>
      <c r="E242" s="9">
        <v>0.375</v>
      </c>
      <c r="F242" s="8" t="s">
        <v>171</v>
      </c>
      <c r="G242" s="7" t="s">
        <v>260</v>
      </c>
      <c r="H242" s="7" t="s">
        <v>261</v>
      </c>
      <c r="I242" s="7" t="s">
        <v>262</v>
      </c>
      <c r="J242" s="514">
        <v>0</v>
      </c>
    </row>
    <row r="243" spans="1:11" ht="38.25">
      <c r="A243" s="494" t="s">
        <v>166</v>
      </c>
      <c r="B243" s="8" t="s">
        <v>27</v>
      </c>
      <c r="C243" s="23" t="s">
        <v>610</v>
      </c>
      <c r="D243" s="23" t="s">
        <v>616</v>
      </c>
      <c r="E243" s="9">
        <v>6.6000000000000003E-2</v>
      </c>
      <c r="F243" s="8" t="s">
        <v>171</v>
      </c>
      <c r="G243" s="7" t="s">
        <v>617</v>
      </c>
      <c r="H243" s="7" t="s">
        <v>618</v>
      </c>
      <c r="I243" s="7" t="s">
        <v>619</v>
      </c>
      <c r="J243" s="514">
        <v>0</v>
      </c>
    </row>
    <row r="244" spans="1:11">
      <c r="A244" s="1131"/>
      <c r="B244" s="1132"/>
      <c r="C244" s="1132"/>
      <c r="D244" s="1132"/>
      <c r="E244" s="1132"/>
      <c r="F244" s="1132" t="s">
        <v>172</v>
      </c>
      <c r="G244" s="1132"/>
      <c r="H244" s="1132"/>
      <c r="I244" s="1132"/>
      <c r="J244" s="511">
        <v>0</v>
      </c>
    </row>
    <row r="245" spans="1:11">
      <c r="A245" s="498"/>
      <c r="B245" s="20"/>
      <c r="C245" s="499"/>
      <c r="D245" s="499"/>
      <c r="E245" s="499" t="s">
        <v>116</v>
      </c>
      <c r="F245" s="500">
        <v>1.4125297225891678</v>
      </c>
      <c r="G245" s="499" t="s">
        <v>117</v>
      </c>
      <c r="H245" s="500">
        <v>0</v>
      </c>
      <c r="I245" s="499" t="s">
        <v>118</v>
      </c>
      <c r="J245" s="501">
        <v>1.4125297225891678</v>
      </c>
    </row>
    <row r="246" spans="1:11" ht="15" customHeight="1">
      <c r="A246" s="498"/>
      <c r="B246" s="20"/>
      <c r="C246" s="499"/>
      <c r="D246" s="499"/>
      <c r="E246" s="499" t="s">
        <v>119</v>
      </c>
      <c r="F246" s="500">
        <v>29.17</v>
      </c>
      <c r="G246" s="499"/>
      <c r="H246" s="1082" t="s">
        <v>120</v>
      </c>
      <c r="I246" s="1082"/>
      <c r="J246" s="501">
        <f>J209*(1+G2)</f>
        <v>141.15745806278048</v>
      </c>
    </row>
    <row r="247" spans="1:11" ht="25.5">
      <c r="A247" s="503"/>
      <c r="B247" s="666"/>
      <c r="C247" s="14"/>
      <c r="D247" s="14"/>
      <c r="E247" s="14"/>
      <c r="F247" s="14"/>
      <c r="G247" s="14" t="s">
        <v>121</v>
      </c>
      <c r="H247" s="504">
        <f>'OBRA 04 - MEMÓRIA'!O47</f>
        <v>1296.135</v>
      </c>
      <c r="I247" s="14" t="s">
        <v>122</v>
      </c>
      <c r="J247" s="505">
        <f>TRUNC(H247*J246,2)</f>
        <v>182959.12</v>
      </c>
    </row>
    <row r="248" spans="1:11">
      <c r="A248" s="503"/>
      <c r="B248" s="666"/>
      <c r="C248" s="14"/>
      <c r="D248" s="14"/>
      <c r="E248" s="14"/>
      <c r="F248" s="14"/>
      <c r="G248" s="14"/>
      <c r="H248" s="504"/>
      <c r="I248" s="14"/>
      <c r="J248" s="505"/>
    </row>
    <row r="249" spans="1:11" ht="15">
      <c r="A249" s="490" t="s">
        <v>414</v>
      </c>
      <c r="B249" s="31" t="s">
        <v>7</v>
      </c>
      <c r="C249" s="31" t="s">
        <v>8</v>
      </c>
      <c r="D249" s="26" t="s">
        <v>9</v>
      </c>
      <c r="E249" s="1092" t="s">
        <v>92</v>
      </c>
      <c r="F249" s="1092"/>
      <c r="G249" s="31" t="s">
        <v>10</v>
      </c>
      <c r="H249" s="29" t="s">
        <v>11</v>
      </c>
      <c r="I249" s="29" t="s">
        <v>12</v>
      </c>
      <c r="J249" s="491" t="s">
        <v>14</v>
      </c>
    </row>
    <row r="250" spans="1:11">
      <c r="A250" s="492" t="s">
        <v>93</v>
      </c>
      <c r="B250" s="4" t="s">
        <v>62</v>
      </c>
      <c r="C250" s="4" t="s">
        <v>27</v>
      </c>
      <c r="D250" s="27" t="s">
        <v>563</v>
      </c>
      <c r="E250" s="1079" t="s">
        <v>136</v>
      </c>
      <c r="F250" s="1079"/>
      <c r="G250" s="4" t="s">
        <v>21</v>
      </c>
      <c r="H250" s="5">
        <v>1</v>
      </c>
      <c r="I250" s="6">
        <v>0.4</v>
      </c>
      <c r="J250" s="493">
        <f>SUM(J264+J262)</f>
        <v>0.39891387824278257</v>
      </c>
    </row>
    <row r="251" spans="1:11" ht="15">
      <c r="A251" s="1096" t="s">
        <v>137</v>
      </c>
      <c r="B251" s="1089" t="s">
        <v>7</v>
      </c>
      <c r="C251" s="1089" t="s">
        <v>8</v>
      </c>
      <c r="D251" s="1092" t="s">
        <v>138</v>
      </c>
      <c r="E251" s="1085" t="s">
        <v>139</v>
      </c>
      <c r="F251" s="1089" t="s">
        <v>140</v>
      </c>
      <c r="G251" s="1085"/>
      <c r="H251" s="1089" t="s">
        <v>141</v>
      </c>
      <c r="I251" s="1085"/>
      <c r="J251" s="1103" t="s">
        <v>142</v>
      </c>
    </row>
    <row r="252" spans="1:11" ht="15" customHeight="1">
      <c r="A252" s="1097"/>
      <c r="B252" s="1089"/>
      <c r="C252" s="1089"/>
      <c r="D252" s="1085"/>
      <c r="E252" s="1085"/>
      <c r="F252" s="29" t="s">
        <v>143</v>
      </c>
      <c r="G252" s="29" t="s">
        <v>144</v>
      </c>
      <c r="H252" s="29" t="s">
        <v>143</v>
      </c>
      <c r="I252" s="29" t="s">
        <v>144</v>
      </c>
      <c r="J252" s="1103"/>
    </row>
    <row r="253" spans="1:11" ht="25.5">
      <c r="A253" s="496" t="s">
        <v>105</v>
      </c>
      <c r="B253" s="11" t="s">
        <v>263</v>
      </c>
      <c r="C253" s="11" t="s">
        <v>27</v>
      </c>
      <c r="D253" s="24" t="s">
        <v>264</v>
      </c>
      <c r="E253" s="12">
        <v>1</v>
      </c>
      <c r="F253" s="13">
        <v>1</v>
      </c>
      <c r="G253" s="13">
        <v>0</v>
      </c>
      <c r="H253" s="30">
        <v>255.0376</v>
      </c>
      <c r="I253" s="30">
        <v>74.468100000000007</v>
      </c>
      <c r="J253" s="510">
        <f>E253*(F253*H253+G253*I253)</f>
        <v>255.0376</v>
      </c>
    </row>
    <row r="254" spans="1:11">
      <c r="A254" s="496" t="s">
        <v>105</v>
      </c>
      <c r="B254" s="11" t="s">
        <v>265</v>
      </c>
      <c r="C254" s="11" t="s">
        <v>27</v>
      </c>
      <c r="D254" s="24" t="s">
        <v>266</v>
      </c>
      <c r="E254" s="12">
        <v>2</v>
      </c>
      <c r="F254" s="13">
        <v>1</v>
      </c>
      <c r="G254" s="13">
        <v>0</v>
      </c>
      <c r="H254" s="30">
        <v>57.988100000000003</v>
      </c>
      <c r="I254" s="30">
        <v>39.610100000000003</v>
      </c>
      <c r="J254" s="510">
        <f>E254*(F254*H254+G254*I254)</f>
        <v>115.97620000000001</v>
      </c>
    </row>
    <row r="255" spans="1:11">
      <c r="A255" s="1083"/>
      <c r="B255" s="1084"/>
      <c r="C255" s="1084"/>
      <c r="D255" s="1084"/>
      <c r="E255" s="1084"/>
      <c r="F255" s="1084" t="s">
        <v>145</v>
      </c>
      <c r="G255" s="1084"/>
      <c r="H255" s="1084"/>
      <c r="I255" s="1084"/>
      <c r="J255" s="511">
        <f>SUM(J253:J254)</f>
        <v>371.0138</v>
      </c>
    </row>
    <row r="256" spans="1:11" ht="15">
      <c r="A256" s="490" t="s">
        <v>146</v>
      </c>
      <c r="B256" s="31" t="s">
        <v>7</v>
      </c>
      <c r="C256" s="31" t="s">
        <v>8</v>
      </c>
      <c r="D256" s="26" t="s">
        <v>147</v>
      </c>
      <c r="E256" s="29" t="s">
        <v>139</v>
      </c>
      <c r="F256" s="1085" t="s">
        <v>148</v>
      </c>
      <c r="G256" s="1085"/>
      <c r="H256" s="1085"/>
      <c r="I256" s="1085"/>
      <c r="J256" s="491" t="s">
        <v>142</v>
      </c>
    </row>
    <row r="257" spans="1:10">
      <c r="A257" s="496" t="s">
        <v>105</v>
      </c>
      <c r="B257" s="11">
        <v>88316</v>
      </c>
      <c r="C257" s="11" t="s">
        <v>24</v>
      </c>
      <c r="D257" s="24" t="s">
        <v>149</v>
      </c>
      <c r="E257" s="12">
        <v>2</v>
      </c>
      <c r="F257" s="24"/>
      <c r="G257" s="24"/>
      <c r="H257" s="24"/>
      <c r="I257" s="30">
        <v>21.05</v>
      </c>
      <c r="J257" s="510">
        <f>I257*E257</f>
        <v>42.1</v>
      </c>
    </row>
    <row r="258" spans="1:10">
      <c r="A258" s="1083"/>
      <c r="B258" s="1084"/>
      <c r="C258" s="1084"/>
      <c r="D258" s="1084"/>
      <c r="E258" s="1084"/>
      <c r="F258" s="1084" t="s">
        <v>150</v>
      </c>
      <c r="G258" s="1084"/>
      <c r="H258" s="1084"/>
      <c r="I258" s="1084"/>
      <c r="J258" s="511">
        <f>J257</f>
        <v>42.1</v>
      </c>
    </row>
    <row r="259" spans="1:10">
      <c r="A259" s="1083"/>
      <c r="B259" s="1084"/>
      <c r="C259" s="1084"/>
      <c r="D259" s="1084"/>
      <c r="E259" s="1084"/>
      <c r="F259" s="1084" t="s">
        <v>151</v>
      </c>
      <c r="G259" s="1084"/>
      <c r="H259" s="1084"/>
      <c r="I259" s="1084"/>
      <c r="J259" s="511">
        <v>0</v>
      </c>
    </row>
    <row r="260" spans="1:10">
      <c r="A260" s="1083"/>
      <c r="B260" s="1084"/>
      <c r="C260" s="1084"/>
      <c r="D260" s="1084"/>
      <c r="E260" s="1084"/>
      <c r="F260" s="1084" t="s">
        <v>152</v>
      </c>
      <c r="G260" s="1084"/>
      <c r="H260" s="1084"/>
      <c r="I260" s="1084"/>
      <c r="J260" s="511">
        <f>J258+J255</f>
        <v>413.11380000000003</v>
      </c>
    </row>
    <row r="261" spans="1:10">
      <c r="A261" s="1083"/>
      <c r="B261" s="1084"/>
      <c r="C261" s="1084"/>
      <c r="D261" s="1084"/>
      <c r="E261" s="1084"/>
      <c r="F261" s="1084" t="s">
        <v>153</v>
      </c>
      <c r="G261" s="1084"/>
      <c r="H261" s="1084"/>
      <c r="I261" s="1084"/>
      <c r="J261" s="511">
        <v>2.7000000000000001E-3</v>
      </c>
    </row>
    <row r="262" spans="1:10">
      <c r="A262" s="1083"/>
      <c r="B262" s="1084"/>
      <c r="C262" s="1084"/>
      <c r="D262" s="1084"/>
      <c r="E262" s="1084"/>
      <c r="F262" s="1084" t="s">
        <v>154</v>
      </c>
      <c r="G262" s="1084"/>
      <c r="H262" s="1084"/>
      <c r="I262" s="1084"/>
      <c r="J262" s="511">
        <v>1.1000000000000001E-3</v>
      </c>
    </row>
    <row r="263" spans="1:10">
      <c r="A263" s="1083"/>
      <c r="B263" s="1084"/>
      <c r="C263" s="1084"/>
      <c r="D263" s="1084"/>
      <c r="E263" s="1084"/>
      <c r="F263" s="1084" t="s">
        <v>155</v>
      </c>
      <c r="G263" s="1084"/>
      <c r="H263" s="1084"/>
      <c r="I263" s="1084"/>
      <c r="J263" s="511">
        <v>1038.46</v>
      </c>
    </row>
    <row r="264" spans="1:10">
      <c r="A264" s="1083"/>
      <c r="B264" s="1084"/>
      <c r="C264" s="1084"/>
      <c r="D264" s="1084"/>
      <c r="E264" s="1084"/>
      <c r="F264" s="1084" t="s">
        <v>156</v>
      </c>
      <c r="G264" s="1084"/>
      <c r="H264" s="1084"/>
      <c r="I264" s="1084"/>
      <c r="J264" s="511">
        <f>J260/J263</f>
        <v>0.39781387824278258</v>
      </c>
    </row>
    <row r="265" spans="1:10" ht="15">
      <c r="A265" s="490" t="s">
        <v>157</v>
      </c>
      <c r="B265" s="31" t="s">
        <v>8</v>
      </c>
      <c r="C265" s="31" t="s">
        <v>7</v>
      </c>
      <c r="D265" s="26" t="s">
        <v>108</v>
      </c>
      <c r="E265" s="29" t="s">
        <v>139</v>
      </c>
      <c r="F265" s="29" t="s">
        <v>158</v>
      </c>
      <c r="G265" s="1085" t="s">
        <v>159</v>
      </c>
      <c r="H265" s="1085"/>
      <c r="I265" s="1085"/>
      <c r="J265" s="491" t="s">
        <v>142</v>
      </c>
    </row>
    <row r="266" spans="1:10">
      <c r="A266" s="496" t="s">
        <v>105</v>
      </c>
      <c r="B266" s="11" t="s">
        <v>27</v>
      </c>
      <c r="C266" s="11" t="s">
        <v>267</v>
      </c>
      <c r="D266" s="24" t="s">
        <v>268</v>
      </c>
      <c r="E266" s="12">
        <v>1.2999999999999999E-3</v>
      </c>
      <c r="F266" s="11" t="s">
        <v>61</v>
      </c>
      <c r="G266" s="1086">
        <v>0</v>
      </c>
      <c r="H266" s="1086"/>
      <c r="I266" s="1087"/>
      <c r="J266" s="510">
        <v>0</v>
      </c>
    </row>
    <row r="267" spans="1:10">
      <c r="A267" s="1083"/>
      <c r="B267" s="1084"/>
      <c r="C267" s="1084"/>
      <c r="D267" s="1084"/>
      <c r="E267" s="1084"/>
      <c r="F267" s="1084" t="s">
        <v>160</v>
      </c>
      <c r="G267" s="1084"/>
      <c r="H267" s="1084"/>
      <c r="I267" s="1084"/>
      <c r="J267" s="511">
        <v>0</v>
      </c>
    </row>
    <row r="268" spans="1:10">
      <c r="A268" s="498"/>
      <c r="B268" s="20"/>
      <c r="C268" s="20"/>
      <c r="D268" s="499"/>
      <c r="E268" s="499" t="s">
        <v>116</v>
      </c>
      <c r="F268" s="500">
        <v>4.1187335092348287E-2</v>
      </c>
      <c r="G268" s="499" t="s">
        <v>117</v>
      </c>
      <c r="H268" s="500">
        <v>0</v>
      </c>
      <c r="I268" s="499" t="s">
        <v>118</v>
      </c>
      <c r="J268" s="501">
        <v>4.1187335092348287E-2</v>
      </c>
    </row>
    <row r="269" spans="1:10" ht="13.9" customHeight="1">
      <c r="A269" s="498"/>
      <c r="B269" s="20"/>
      <c r="C269" s="20"/>
      <c r="D269" s="499"/>
      <c r="E269" s="499" t="s">
        <v>119</v>
      </c>
      <c r="F269" s="500">
        <v>0.1</v>
      </c>
      <c r="G269" s="499"/>
      <c r="H269" s="1082" t="s">
        <v>120</v>
      </c>
      <c r="I269" s="1082"/>
      <c r="J269" s="501">
        <f>J250*(1+G2)</f>
        <v>0.48256611851029407</v>
      </c>
    </row>
    <row r="270" spans="1:10" ht="26.25" thickBot="1">
      <c r="A270" s="503"/>
      <c r="B270" s="666"/>
      <c r="C270" s="666"/>
      <c r="D270" s="14"/>
      <c r="E270" s="14"/>
      <c r="F270" s="14"/>
      <c r="G270" s="14" t="s">
        <v>121</v>
      </c>
      <c r="H270" s="504">
        <f>'OBRA 04 - MEMÓRIA'!O49</f>
        <v>4143.26</v>
      </c>
      <c r="I270" s="14" t="s">
        <v>122</v>
      </c>
      <c r="J270" s="505">
        <f>TRUNC(H270*J269,2)</f>
        <v>1999.39</v>
      </c>
    </row>
    <row r="271" spans="1:10" ht="15" thickTop="1">
      <c r="A271" s="506"/>
      <c r="B271" s="230"/>
      <c r="C271" s="230"/>
      <c r="D271" s="15"/>
      <c r="E271" s="15"/>
      <c r="F271" s="15"/>
      <c r="G271" s="15"/>
      <c r="H271" s="15"/>
      <c r="I271" s="15"/>
      <c r="J271" s="507"/>
    </row>
    <row r="272" spans="1:10" ht="15">
      <c r="A272" s="490" t="s">
        <v>415</v>
      </c>
      <c r="B272" s="31" t="s">
        <v>7</v>
      </c>
      <c r="C272" s="31" t="s">
        <v>8</v>
      </c>
      <c r="D272" s="26" t="s">
        <v>9</v>
      </c>
      <c r="E272" s="1092" t="s">
        <v>92</v>
      </c>
      <c r="F272" s="1092"/>
      <c r="G272" s="31" t="s">
        <v>10</v>
      </c>
      <c r="H272" s="29" t="s">
        <v>11</v>
      </c>
      <c r="I272" s="29" t="s">
        <v>12</v>
      </c>
      <c r="J272" s="491" t="s">
        <v>14</v>
      </c>
    </row>
    <row r="273" spans="1:10" ht="13.9" customHeight="1">
      <c r="A273" s="492" t="s">
        <v>93</v>
      </c>
      <c r="B273" s="4" t="s">
        <v>63</v>
      </c>
      <c r="C273" s="27" t="s">
        <v>27</v>
      </c>
      <c r="D273" s="27" t="s">
        <v>564</v>
      </c>
      <c r="E273" s="1079" t="s">
        <v>136</v>
      </c>
      <c r="F273" s="1079"/>
      <c r="G273" s="4" t="s">
        <v>21</v>
      </c>
      <c r="H273" s="5">
        <v>1</v>
      </c>
      <c r="I273" s="6">
        <v>0.28000000000000003</v>
      </c>
      <c r="J273" s="509">
        <f>J287+J285+J289</f>
        <v>0.27620920000000004</v>
      </c>
    </row>
    <row r="274" spans="1:10" ht="15">
      <c r="A274" s="1096" t="s">
        <v>137</v>
      </c>
      <c r="B274" s="1089" t="s">
        <v>7</v>
      </c>
      <c r="C274" s="1092" t="s">
        <v>8</v>
      </c>
      <c r="D274" s="1092" t="s">
        <v>138</v>
      </c>
      <c r="E274" s="1085" t="s">
        <v>139</v>
      </c>
      <c r="F274" s="1089" t="s">
        <v>140</v>
      </c>
      <c r="G274" s="1085"/>
      <c r="H274" s="1089" t="s">
        <v>141</v>
      </c>
      <c r="I274" s="1085"/>
      <c r="J274" s="1103" t="s">
        <v>142</v>
      </c>
    </row>
    <row r="275" spans="1:10" ht="15" customHeight="1">
      <c r="A275" s="1097"/>
      <c r="B275" s="1089"/>
      <c r="C275" s="1085"/>
      <c r="D275" s="1085"/>
      <c r="E275" s="1085"/>
      <c r="F275" s="29" t="s">
        <v>143</v>
      </c>
      <c r="G275" s="29" t="s">
        <v>144</v>
      </c>
      <c r="H275" s="29" t="s">
        <v>143</v>
      </c>
      <c r="I275" s="29" t="s">
        <v>144</v>
      </c>
      <c r="J275" s="1103"/>
    </row>
    <row r="276" spans="1:10" ht="13.9" customHeight="1">
      <c r="A276" s="496" t="s">
        <v>105</v>
      </c>
      <c r="B276" s="11" t="s">
        <v>263</v>
      </c>
      <c r="C276" s="24" t="s">
        <v>27</v>
      </c>
      <c r="D276" s="24" t="s">
        <v>264</v>
      </c>
      <c r="E276" s="12">
        <v>1</v>
      </c>
      <c r="F276" s="13">
        <v>1</v>
      </c>
      <c r="G276" s="13">
        <v>0</v>
      </c>
      <c r="H276" s="30">
        <v>255.0376</v>
      </c>
      <c r="I276" s="30">
        <v>74.468100000000007</v>
      </c>
      <c r="J276" s="510">
        <f>H276*F276+I276*G276</f>
        <v>255.0376</v>
      </c>
    </row>
    <row r="277" spans="1:10" ht="13.9" customHeight="1">
      <c r="A277" s="496" t="s">
        <v>105</v>
      </c>
      <c r="B277" s="11" t="s">
        <v>265</v>
      </c>
      <c r="C277" s="24" t="s">
        <v>27</v>
      </c>
      <c r="D277" s="24" t="s">
        <v>266</v>
      </c>
      <c r="E277" s="12">
        <v>2</v>
      </c>
      <c r="F277" s="13">
        <v>1</v>
      </c>
      <c r="G277" s="13">
        <v>0</v>
      </c>
      <c r="H277" s="30">
        <v>57.988100000000003</v>
      </c>
      <c r="I277" s="30">
        <v>39.610100000000003</v>
      </c>
      <c r="J277" s="510">
        <f>(H277*F277+I277*G277)*E277</f>
        <v>115.97620000000001</v>
      </c>
    </row>
    <row r="278" spans="1:10" ht="13.9" customHeight="1">
      <c r="A278" s="1083"/>
      <c r="B278" s="1084"/>
      <c r="C278" s="1084"/>
      <c r="D278" s="1084"/>
      <c r="E278" s="1084"/>
      <c r="F278" s="1084" t="s">
        <v>145</v>
      </c>
      <c r="G278" s="1084"/>
      <c r="H278" s="1084"/>
      <c r="I278" s="1084"/>
      <c r="J278" s="511">
        <f>J277+J276</f>
        <v>371.0138</v>
      </c>
    </row>
    <row r="279" spans="1:10" ht="13.9" customHeight="1">
      <c r="A279" s="490" t="s">
        <v>146</v>
      </c>
      <c r="B279" s="31" t="s">
        <v>7</v>
      </c>
      <c r="C279" s="26" t="s">
        <v>8</v>
      </c>
      <c r="D279" s="26" t="s">
        <v>147</v>
      </c>
      <c r="E279" s="29" t="s">
        <v>139</v>
      </c>
      <c r="F279" s="1085" t="s">
        <v>148</v>
      </c>
      <c r="G279" s="1085"/>
      <c r="H279" s="1085"/>
      <c r="I279" s="1085"/>
      <c r="J279" s="491" t="s">
        <v>142</v>
      </c>
    </row>
    <row r="280" spans="1:10" ht="13.9" customHeight="1">
      <c r="A280" s="496" t="s">
        <v>105</v>
      </c>
      <c r="B280" s="11">
        <v>88316</v>
      </c>
      <c r="C280" s="24" t="s">
        <v>24</v>
      </c>
      <c r="D280" s="24" t="s">
        <v>149</v>
      </c>
      <c r="E280" s="12">
        <v>2</v>
      </c>
      <c r="F280" s="24"/>
      <c r="G280" s="24"/>
      <c r="H280" s="24"/>
      <c r="I280" s="30">
        <v>21.05</v>
      </c>
      <c r="J280" s="510">
        <f>I280*E280</f>
        <v>42.1</v>
      </c>
    </row>
    <row r="281" spans="1:10" ht="13.9" customHeight="1">
      <c r="A281" s="1083"/>
      <c r="B281" s="1084"/>
      <c r="C281" s="1084"/>
      <c r="D281" s="1084"/>
      <c r="E281" s="1084"/>
      <c r="F281" s="1084" t="s">
        <v>150</v>
      </c>
      <c r="G281" s="1084"/>
      <c r="H281" s="1084"/>
      <c r="I281" s="1084"/>
      <c r="J281" s="511">
        <f>J280</f>
        <v>42.1</v>
      </c>
    </row>
    <row r="282" spans="1:10" ht="13.9" customHeight="1">
      <c r="A282" s="1083"/>
      <c r="B282" s="1084"/>
      <c r="C282" s="1084"/>
      <c r="D282" s="1084"/>
      <c r="E282" s="1084"/>
      <c r="F282" s="1084" t="s">
        <v>151</v>
      </c>
      <c r="G282" s="1084"/>
      <c r="H282" s="1084"/>
      <c r="I282" s="1084"/>
      <c r="J282" s="511">
        <v>0</v>
      </c>
    </row>
    <row r="283" spans="1:10">
      <c r="A283" s="1083"/>
      <c r="B283" s="1084"/>
      <c r="C283" s="1084"/>
      <c r="D283" s="1084"/>
      <c r="E283" s="1084"/>
      <c r="F283" s="1084" t="s">
        <v>152</v>
      </c>
      <c r="G283" s="1084"/>
      <c r="H283" s="1084"/>
      <c r="I283" s="1084"/>
      <c r="J283" s="511">
        <f>J281+J278</f>
        <v>413.11380000000003</v>
      </c>
    </row>
    <row r="284" spans="1:10">
      <c r="A284" s="1083"/>
      <c r="B284" s="1084"/>
      <c r="C284" s="1084"/>
      <c r="D284" s="1084"/>
      <c r="E284" s="1084"/>
      <c r="F284" s="1084" t="s">
        <v>153</v>
      </c>
      <c r="G284" s="1084"/>
      <c r="H284" s="1084"/>
      <c r="I284" s="1084"/>
      <c r="J284" s="511">
        <v>2.5000000000000001E-3</v>
      </c>
    </row>
    <row r="285" spans="1:10" ht="13.9" customHeight="1">
      <c r="A285" s="1083"/>
      <c r="B285" s="1084"/>
      <c r="C285" s="1084"/>
      <c r="D285" s="1084"/>
      <c r="E285" s="1084"/>
      <c r="F285" s="1084" t="s">
        <v>154</v>
      </c>
      <c r="G285" s="1084"/>
      <c r="H285" s="1084"/>
      <c r="I285" s="1084"/>
      <c r="J285" s="511">
        <v>8.0000000000000004E-4</v>
      </c>
    </row>
    <row r="286" spans="1:10">
      <c r="A286" s="1083"/>
      <c r="B286" s="1084"/>
      <c r="C286" s="1084"/>
      <c r="D286" s="1084"/>
      <c r="E286" s="1084"/>
      <c r="F286" s="1084" t="s">
        <v>155</v>
      </c>
      <c r="G286" s="1084"/>
      <c r="H286" s="1084"/>
      <c r="I286" s="1084"/>
      <c r="J286" s="511">
        <v>1500</v>
      </c>
    </row>
    <row r="287" spans="1:10">
      <c r="A287" s="1083"/>
      <c r="B287" s="1084"/>
      <c r="C287" s="1084"/>
      <c r="D287" s="1084"/>
      <c r="E287" s="1084"/>
      <c r="F287" s="1084" t="s">
        <v>156</v>
      </c>
      <c r="G287" s="1084"/>
      <c r="H287" s="1084"/>
      <c r="I287" s="1084"/>
      <c r="J287" s="511">
        <f>J283/J286</f>
        <v>0.27540920000000002</v>
      </c>
    </row>
    <row r="288" spans="1:10" ht="15">
      <c r="A288" s="490" t="s">
        <v>157</v>
      </c>
      <c r="B288" s="31" t="s">
        <v>8</v>
      </c>
      <c r="C288" s="26" t="s">
        <v>7</v>
      </c>
      <c r="D288" s="26" t="s">
        <v>108</v>
      </c>
      <c r="E288" s="29" t="s">
        <v>139</v>
      </c>
      <c r="F288" s="29" t="s">
        <v>158</v>
      </c>
      <c r="G288" s="1085" t="s">
        <v>159</v>
      </c>
      <c r="H288" s="1085"/>
      <c r="I288" s="1085"/>
      <c r="J288" s="491" t="s">
        <v>142</v>
      </c>
    </row>
    <row r="289" spans="1:10">
      <c r="A289" s="496" t="s">
        <v>105</v>
      </c>
      <c r="B289" s="11" t="s">
        <v>27</v>
      </c>
      <c r="C289" s="24" t="s">
        <v>269</v>
      </c>
      <c r="D289" s="24" t="s">
        <v>270</v>
      </c>
      <c r="E289" s="12">
        <v>4.4999999999999999E-4</v>
      </c>
      <c r="F289" s="11" t="s">
        <v>61</v>
      </c>
      <c r="G289" s="1086">
        <v>0</v>
      </c>
      <c r="H289" s="1086"/>
      <c r="I289" s="1087"/>
      <c r="J289" s="510">
        <v>0</v>
      </c>
    </row>
    <row r="290" spans="1:10">
      <c r="A290" s="1083"/>
      <c r="B290" s="1084"/>
      <c r="C290" s="1084"/>
      <c r="D290" s="1084"/>
      <c r="E290" s="1084"/>
      <c r="F290" s="1084" t="s">
        <v>160</v>
      </c>
      <c r="G290" s="1084"/>
      <c r="H290" s="1084"/>
      <c r="I290" s="1084"/>
      <c r="J290" s="511">
        <v>0</v>
      </c>
    </row>
    <row r="291" spans="1:10">
      <c r="A291" s="498"/>
      <c r="B291" s="20"/>
      <c r="C291" s="499"/>
      <c r="D291" s="499"/>
      <c r="E291" s="499" t="s">
        <v>116</v>
      </c>
      <c r="F291" s="500">
        <v>2.8514266666666666E-2</v>
      </c>
      <c r="G291" s="499" t="s">
        <v>117</v>
      </c>
      <c r="H291" s="500">
        <v>0</v>
      </c>
      <c r="I291" s="499" t="s">
        <v>118</v>
      </c>
      <c r="J291" s="501">
        <v>2.8514266666666666E-2</v>
      </c>
    </row>
    <row r="292" spans="1:10" ht="15" customHeight="1">
      <c r="A292" s="498"/>
      <c r="B292" s="20"/>
      <c r="C292" s="499"/>
      <c r="D292" s="499"/>
      <c r="E292" s="499" t="s">
        <v>119</v>
      </c>
      <c r="F292" s="500">
        <f>J292-J273</f>
        <v>5.7921069240000012E-2</v>
      </c>
      <c r="G292" s="499"/>
      <c r="H292" s="1082" t="s">
        <v>120</v>
      </c>
      <c r="I292" s="1082"/>
      <c r="J292" s="526">
        <f>J273*(1+G2)</f>
        <v>0.33413026924000006</v>
      </c>
    </row>
    <row r="293" spans="1:10" ht="26.25" thickBot="1">
      <c r="A293" s="503"/>
      <c r="B293" s="666"/>
      <c r="C293" s="14"/>
      <c r="D293" s="14"/>
      <c r="E293" s="14"/>
      <c r="F293" s="14"/>
      <c r="G293" s="14" t="s">
        <v>121</v>
      </c>
      <c r="H293" s="504">
        <f>'OBRA 04 - MEMÓRIA'!O51</f>
        <v>8463.7099999999991</v>
      </c>
      <c r="I293" s="14" t="s">
        <v>122</v>
      </c>
      <c r="J293" s="505">
        <f>TRUNC(J292*H293,2)</f>
        <v>2827.98</v>
      </c>
    </row>
    <row r="294" spans="1:10" ht="15" thickTop="1">
      <c r="A294" s="506"/>
      <c r="B294" s="230"/>
      <c r="C294" s="230"/>
      <c r="D294" s="15"/>
      <c r="E294" s="15"/>
      <c r="F294" s="15"/>
      <c r="G294" s="15"/>
      <c r="H294" s="15"/>
      <c r="I294" s="15"/>
      <c r="J294" s="507"/>
    </row>
    <row r="295" spans="1:10" ht="15">
      <c r="A295" s="490" t="s">
        <v>416</v>
      </c>
      <c r="B295" s="31" t="s">
        <v>7</v>
      </c>
      <c r="C295" s="31" t="s">
        <v>8</v>
      </c>
      <c r="D295" s="26" t="s">
        <v>9</v>
      </c>
      <c r="E295" s="1092" t="s">
        <v>92</v>
      </c>
      <c r="F295" s="1092"/>
      <c r="G295" s="31" t="s">
        <v>10</v>
      </c>
      <c r="H295" s="29" t="s">
        <v>11</v>
      </c>
      <c r="I295" s="29" t="s">
        <v>12</v>
      </c>
      <c r="J295" s="491" t="s">
        <v>14</v>
      </c>
    </row>
    <row r="296" spans="1:10">
      <c r="A296" s="492" t="s">
        <v>93</v>
      </c>
      <c r="B296" s="4" t="s">
        <v>60</v>
      </c>
      <c r="C296" s="4" t="s">
        <v>27</v>
      </c>
      <c r="D296" s="27" t="s">
        <v>565</v>
      </c>
      <c r="E296" s="1079" t="s">
        <v>136</v>
      </c>
      <c r="F296" s="1079"/>
      <c r="G296" s="4" t="s">
        <v>61</v>
      </c>
      <c r="H296" s="5">
        <v>1</v>
      </c>
      <c r="I296" s="6">
        <v>193.45</v>
      </c>
      <c r="J296" s="493">
        <f>J309+J311+J314+J317+J321</f>
        <v>196.22979753012049</v>
      </c>
    </row>
    <row r="297" spans="1:10" ht="15">
      <c r="A297" s="1096" t="s">
        <v>137</v>
      </c>
      <c r="B297" s="1089" t="s">
        <v>7</v>
      </c>
      <c r="C297" s="1089" t="s">
        <v>8</v>
      </c>
      <c r="D297" s="1092" t="s">
        <v>138</v>
      </c>
      <c r="E297" s="1085" t="s">
        <v>139</v>
      </c>
      <c r="F297" s="1089" t="s">
        <v>140</v>
      </c>
      <c r="G297" s="1085"/>
      <c r="H297" s="1089" t="s">
        <v>141</v>
      </c>
      <c r="I297" s="1085"/>
      <c r="J297" s="1103" t="s">
        <v>142</v>
      </c>
    </row>
    <row r="298" spans="1:10" ht="15" customHeight="1">
      <c r="A298" s="1097"/>
      <c r="B298" s="1089"/>
      <c r="C298" s="1089"/>
      <c r="D298" s="1085"/>
      <c r="E298" s="1085"/>
      <c r="F298" s="29" t="s">
        <v>143</v>
      </c>
      <c r="G298" s="29" t="s">
        <v>144</v>
      </c>
      <c r="H298" s="29" t="s">
        <v>143</v>
      </c>
      <c r="I298" s="29" t="s">
        <v>144</v>
      </c>
      <c r="J298" s="1103"/>
    </row>
    <row r="299" spans="1:10">
      <c r="A299" s="496" t="s">
        <v>105</v>
      </c>
      <c r="B299" s="11" t="s">
        <v>247</v>
      </c>
      <c r="C299" s="11" t="s">
        <v>27</v>
      </c>
      <c r="D299" s="24" t="s">
        <v>248</v>
      </c>
      <c r="E299" s="12">
        <v>1</v>
      </c>
      <c r="F299" s="13">
        <v>0.71</v>
      </c>
      <c r="G299" s="13">
        <v>0.28999999999999998</v>
      </c>
      <c r="H299" s="30">
        <v>253.07490000000001</v>
      </c>
      <c r="I299" s="30">
        <v>123.47490000000001</v>
      </c>
      <c r="J299" s="510">
        <f>E299*(F299*H299+G299*I299)</f>
        <v>215.49090000000001</v>
      </c>
    </row>
    <row r="300" spans="1:10">
      <c r="A300" s="496" t="s">
        <v>105</v>
      </c>
      <c r="B300" s="11" t="s">
        <v>249</v>
      </c>
      <c r="C300" s="11" t="s">
        <v>27</v>
      </c>
      <c r="D300" s="24" t="s">
        <v>250</v>
      </c>
      <c r="E300" s="12">
        <v>1</v>
      </c>
      <c r="F300" s="13">
        <v>0.82</v>
      </c>
      <c r="G300" s="13">
        <v>0.18</v>
      </c>
      <c r="H300" s="30">
        <v>282.21789999999999</v>
      </c>
      <c r="I300" s="30">
        <v>107.3302</v>
      </c>
      <c r="J300" s="510">
        <f t="shared" ref="J300:J301" si="13">E300*(F300*H300+G300*I300)</f>
        <v>250.73811399999997</v>
      </c>
    </row>
    <row r="301" spans="1:10">
      <c r="A301" s="496" t="s">
        <v>105</v>
      </c>
      <c r="B301" s="11" t="s">
        <v>251</v>
      </c>
      <c r="C301" s="11" t="s">
        <v>27</v>
      </c>
      <c r="D301" s="24" t="s">
        <v>252</v>
      </c>
      <c r="E301" s="12">
        <v>1</v>
      </c>
      <c r="F301" s="13">
        <v>1</v>
      </c>
      <c r="G301" s="13">
        <v>0</v>
      </c>
      <c r="H301" s="30">
        <v>613.91650000000004</v>
      </c>
      <c r="I301" s="30">
        <v>291.87169999999998</v>
      </c>
      <c r="J301" s="510">
        <f t="shared" si="13"/>
        <v>613.91650000000004</v>
      </c>
    </row>
    <row r="302" spans="1:10">
      <c r="A302" s="1083"/>
      <c r="B302" s="1084"/>
      <c r="C302" s="1084"/>
      <c r="D302" s="1084"/>
      <c r="E302" s="1084"/>
      <c r="F302" s="1084" t="s">
        <v>145</v>
      </c>
      <c r="G302" s="1084"/>
      <c r="H302" s="1084"/>
      <c r="I302" s="1084"/>
      <c r="J302" s="511">
        <f>SUM(J299:J301)</f>
        <v>1080.145514</v>
      </c>
    </row>
    <row r="303" spans="1:10" ht="15">
      <c r="A303" s="490" t="s">
        <v>146</v>
      </c>
      <c r="B303" s="31" t="s">
        <v>7</v>
      </c>
      <c r="C303" s="31" t="s">
        <v>8</v>
      </c>
      <c r="D303" s="26" t="s">
        <v>147</v>
      </c>
      <c r="E303" s="29" t="s">
        <v>139</v>
      </c>
      <c r="F303" s="1085" t="s">
        <v>148</v>
      </c>
      <c r="G303" s="1085"/>
      <c r="H303" s="1085"/>
      <c r="I303" s="1085"/>
      <c r="J303" s="491" t="s">
        <v>142</v>
      </c>
    </row>
    <row r="304" spans="1:10">
      <c r="A304" s="496" t="s">
        <v>105</v>
      </c>
      <c r="B304" s="11">
        <v>88316</v>
      </c>
      <c r="C304" s="11" t="s">
        <v>24</v>
      </c>
      <c r="D304" s="24" t="s">
        <v>149</v>
      </c>
      <c r="E304" s="12">
        <v>8</v>
      </c>
      <c r="F304" s="24"/>
      <c r="G304" s="24"/>
      <c r="H304" s="24"/>
      <c r="I304" s="30">
        <v>21.05</v>
      </c>
      <c r="J304" s="510">
        <f>I304*E304</f>
        <v>168.4</v>
      </c>
    </row>
    <row r="305" spans="1:11">
      <c r="A305" s="1083"/>
      <c r="B305" s="1084"/>
      <c r="C305" s="1084"/>
      <c r="D305" s="1084"/>
      <c r="E305" s="1084"/>
      <c r="F305" s="1084" t="s">
        <v>150</v>
      </c>
      <c r="G305" s="1084"/>
      <c r="H305" s="1084"/>
      <c r="I305" s="1084"/>
      <c r="J305" s="511">
        <f>J304</f>
        <v>168.4</v>
      </c>
    </row>
    <row r="306" spans="1:11">
      <c r="A306" s="1083"/>
      <c r="B306" s="1084"/>
      <c r="C306" s="1084"/>
      <c r="D306" s="1084"/>
      <c r="E306" s="1084"/>
      <c r="F306" s="1084" t="s">
        <v>151</v>
      </c>
      <c r="G306" s="1084"/>
      <c r="H306" s="1084"/>
      <c r="I306" s="1084"/>
      <c r="J306" s="511">
        <v>0</v>
      </c>
    </row>
    <row r="307" spans="1:11">
      <c r="A307" s="1083"/>
      <c r="B307" s="1084"/>
      <c r="C307" s="1084"/>
      <c r="D307" s="1084"/>
      <c r="E307" s="1084"/>
      <c r="F307" s="1084" t="s">
        <v>152</v>
      </c>
      <c r="G307" s="1084"/>
      <c r="H307" s="1084"/>
      <c r="I307" s="1084"/>
      <c r="J307" s="511">
        <f>J305+J302</f>
        <v>1248.5455140000001</v>
      </c>
    </row>
    <row r="308" spans="1:11">
      <c r="A308" s="1083"/>
      <c r="B308" s="1084"/>
      <c r="C308" s="1084"/>
      <c r="D308" s="1084"/>
      <c r="E308" s="1084"/>
      <c r="F308" s="1084" t="s">
        <v>153</v>
      </c>
      <c r="G308" s="1084"/>
      <c r="H308" s="1084"/>
      <c r="I308" s="1084"/>
      <c r="J308" s="511">
        <v>2.7000000000000001E-3</v>
      </c>
    </row>
    <row r="309" spans="1:11">
      <c r="A309" s="1083"/>
      <c r="B309" s="1084"/>
      <c r="C309" s="1084"/>
      <c r="D309" s="1084"/>
      <c r="E309" s="1084"/>
      <c r="F309" s="1084" t="s">
        <v>154</v>
      </c>
      <c r="G309" s="1084"/>
      <c r="H309" s="1084"/>
      <c r="I309" s="1084"/>
      <c r="J309" s="511">
        <v>3.4200000000000001E-2</v>
      </c>
    </row>
    <row r="310" spans="1:11">
      <c r="A310" s="1083"/>
      <c r="B310" s="1084"/>
      <c r="C310" s="1084"/>
      <c r="D310" s="1084"/>
      <c r="E310" s="1084"/>
      <c r="F310" s="1084" t="s">
        <v>155</v>
      </c>
      <c r="G310" s="1084"/>
      <c r="H310" s="1084"/>
      <c r="I310" s="1084"/>
      <c r="J310" s="511">
        <v>99.6</v>
      </c>
    </row>
    <row r="311" spans="1:11">
      <c r="A311" s="1083"/>
      <c r="B311" s="1084"/>
      <c r="C311" s="1084"/>
      <c r="D311" s="1084"/>
      <c r="E311" s="1084"/>
      <c r="F311" s="1084" t="s">
        <v>156</v>
      </c>
      <c r="G311" s="1084"/>
      <c r="H311" s="1084"/>
      <c r="I311" s="1084"/>
      <c r="J311" s="511">
        <f>J307/J310</f>
        <v>12.535597530120484</v>
      </c>
    </row>
    <row r="312" spans="1:11" ht="15">
      <c r="A312" s="490" t="s">
        <v>253</v>
      </c>
      <c r="B312" s="31" t="s">
        <v>8</v>
      </c>
      <c r="C312" s="31" t="s">
        <v>7</v>
      </c>
      <c r="D312" s="26" t="s">
        <v>254</v>
      </c>
      <c r="E312" s="29" t="s">
        <v>139</v>
      </c>
      <c r="F312" s="29" t="s">
        <v>158</v>
      </c>
      <c r="G312" s="1085" t="s">
        <v>159</v>
      </c>
      <c r="H312" s="1085"/>
      <c r="I312" s="1085"/>
      <c r="J312" s="491" t="s">
        <v>142</v>
      </c>
    </row>
    <row r="313" spans="1:11" ht="25.5">
      <c r="A313" s="494" t="s">
        <v>255</v>
      </c>
      <c r="B313" s="8" t="s">
        <v>27</v>
      </c>
      <c r="C313" s="8">
        <v>6416078</v>
      </c>
      <c r="D313" s="23" t="s">
        <v>256</v>
      </c>
      <c r="E313" s="9">
        <v>1</v>
      </c>
      <c r="F313" s="8" t="s">
        <v>61</v>
      </c>
      <c r="G313" s="1088">
        <v>175.77</v>
      </c>
      <c r="H313" s="1088"/>
      <c r="I313" s="1080"/>
      <c r="J313" s="514">
        <f>E313*G313</f>
        <v>175.77</v>
      </c>
    </row>
    <row r="314" spans="1:11">
      <c r="A314" s="1083"/>
      <c r="B314" s="1084"/>
      <c r="C314" s="1084"/>
      <c r="D314" s="1084"/>
      <c r="E314" s="1084"/>
      <c r="F314" s="1084" t="s">
        <v>257</v>
      </c>
      <c r="G314" s="1084"/>
      <c r="H314" s="1084"/>
      <c r="I314" s="1084"/>
      <c r="J314" s="511">
        <f>J313</f>
        <v>175.77</v>
      </c>
    </row>
    <row r="315" spans="1:11" ht="15" customHeight="1">
      <c r="A315" s="490" t="s">
        <v>161</v>
      </c>
      <c r="B315" s="31" t="s">
        <v>8</v>
      </c>
      <c r="C315" s="31" t="s">
        <v>105</v>
      </c>
      <c r="D315" s="26" t="s">
        <v>162</v>
      </c>
      <c r="E315" s="29" t="s">
        <v>7</v>
      </c>
      <c r="F315" s="29" t="s">
        <v>139</v>
      </c>
      <c r="G315" s="31" t="s">
        <v>158</v>
      </c>
      <c r="H315" s="1085" t="s">
        <v>159</v>
      </c>
      <c r="I315" s="1085"/>
      <c r="J315" s="491" t="s">
        <v>142</v>
      </c>
    </row>
    <row r="316" spans="1:11" ht="38.25">
      <c r="A316" s="494" t="s">
        <v>163</v>
      </c>
      <c r="B316" s="8" t="s">
        <v>27</v>
      </c>
      <c r="C316" s="8">
        <v>6416078</v>
      </c>
      <c r="D316" s="23" t="s">
        <v>258</v>
      </c>
      <c r="E316" s="7">
        <v>5914649</v>
      </c>
      <c r="F316" s="9">
        <v>1</v>
      </c>
      <c r="G316" s="8" t="s">
        <v>61</v>
      </c>
      <c r="H316" s="1088">
        <v>7.89</v>
      </c>
      <c r="I316" s="1080"/>
      <c r="J316" s="514">
        <f>F316*H316</f>
        <v>7.89</v>
      </c>
    </row>
    <row r="317" spans="1:11">
      <c r="A317" s="1083"/>
      <c r="B317" s="1084"/>
      <c r="C317" s="1084"/>
      <c r="D317" s="1084"/>
      <c r="E317" s="1084"/>
      <c r="F317" s="1084" t="s">
        <v>164</v>
      </c>
      <c r="G317" s="1084"/>
      <c r="H317" s="1084"/>
      <c r="I317" s="1084"/>
      <c r="J317" s="511">
        <f>J316</f>
        <v>7.89</v>
      </c>
    </row>
    <row r="318" spans="1:11" ht="15" customHeight="1">
      <c r="A318" s="490" t="s">
        <v>165</v>
      </c>
      <c r="B318" s="31" t="s">
        <v>8</v>
      </c>
      <c r="C318" s="31" t="s">
        <v>105</v>
      </c>
      <c r="D318" s="26" t="s">
        <v>166</v>
      </c>
      <c r="E318" s="29" t="s">
        <v>139</v>
      </c>
      <c r="F318" s="29" t="s">
        <v>158</v>
      </c>
      <c r="G318" s="1089" t="s">
        <v>167</v>
      </c>
      <c r="H318" s="1085"/>
      <c r="I318" s="1085"/>
      <c r="J318" s="491" t="s">
        <v>142</v>
      </c>
      <c r="K318" t="s">
        <v>632</v>
      </c>
    </row>
    <row r="319" spans="1:11" ht="15" customHeight="1">
      <c r="A319" s="515"/>
      <c r="B319" s="31"/>
      <c r="C319" s="31"/>
      <c r="D319" s="31"/>
      <c r="E319" s="31"/>
      <c r="F319" s="31"/>
      <c r="G319" s="31" t="s">
        <v>168</v>
      </c>
      <c r="H319" s="31" t="s">
        <v>169</v>
      </c>
      <c r="I319" s="31" t="s">
        <v>170</v>
      </c>
      <c r="J319" s="516"/>
    </row>
    <row r="320" spans="1:11" ht="38.25">
      <c r="A320" s="494" t="s">
        <v>166</v>
      </c>
      <c r="B320" s="8" t="s">
        <v>27</v>
      </c>
      <c r="C320" s="8">
        <v>6416078</v>
      </c>
      <c r="D320" s="23" t="s">
        <v>259</v>
      </c>
      <c r="E320" s="9">
        <v>1</v>
      </c>
      <c r="F320" s="8" t="s">
        <v>171</v>
      </c>
      <c r="G320" s="7" t="s">
        <v>260</v>
      </c>
      <c r="H320" s="7" t="s">
        <v>261</v>
      </c>
      <c r="I320" s="7" t="s">
        <v>262</v>
      </c>
      <c r="J320" s="514">
        <v>0</v>
      </c>
    </row>
    <row r="321" spans="1:11">
      <c r="A321" s="1083"/>
      <c r="B321" s="1084"/>
      <c r="C321" s="1084"/>
      <c r="D321" s="1084"/>
      <c r="E321" s="1084"/>
      <c r="F321" s="1084" t="s">
        <v>172</v>
      </c>
      <c r="G321" s="1084"/>
      <c r="H321" s="1084"/>
      <c r="I321" s="1084"/>
      <c r="J321" s="511">
        <v>0</v>
      </c>
    </row>
    <row r="322" spans="1:11">
      <c r="A322" s="498"/>
      <c r="B322" s="20"/>
      <c r="C322" s="20"/>
      <c r="D322" s="499"/>
      <c r="E322" s="499" t="s">
        <v>116</v>
      </c>
      <c r="F322" s="500">
        <v>2.576590361445783</v>
      </c>
      <c r="G322" s="499" t="s">
        <v>117</v>
      </c>
      <c r="H322" s="500">
        <v>0</v>
      </c>
      <c r="I322" s="499" t="s">
        <v>118</v>
      </c>
      <c r="J322" s="501">
        <v>2.576590361445783</v>
      </c>
    </row>
    <row r="323" spans="1:11" ht="15" customHeight="1">
      <c r="A323" s="498"/>
      <c r="B323" s="20"/>
      <c r="C323" s="20"/>
      <c r="D323" s="499"/>
      <c r="E323" s="499" t="s">
        <v>119</v>
      </c>
      <c r="F323" s="500">
        <f>J323-J296</f>
        <v>41.149388542066276</v>
      </c>
      <c r="G323" s="499"/>
      <c r="H323" s="1082" t="s">
        <v>120</v>
      </c>
      <c r="I323" s="1082"/>
      <c r="J323" s="501">
        <f>J296*(1+G2)</f>
        <v>237.37918607218677</v>
      </c>
    </row>
    <row r="324" spans="1:11" ht="26.25" thickBot="1">
      <c r="A324" s="503"/>
      <c r="B324" s="666"/>
      <c r="C324" s="666"/>
      <c r="D324" s="14"/>
      <c r="E324" s="14"/>
      <c r="F324" s="14"/>
      <c r="G324" s="14" t="s">
        <v>121</v>
      </c>
      <c r="H324" s="504">
        <f>'OBRA 04 - MEMÓRIA'!O54</f>
        <v>1015.6451999999999</v>
      </c>
      <c r="I324" s="14" t="s">
        <v>122</v>
      </c>
      <c r="J324" s="505">
        <f>TRUNC(H324*J323,2)</f>
        <v>241093.03</v>
      </c>
    </row>
    <row r="325" spans="1:11" ht="15" thickTop="1">
      <c r="A325" s="506"/>
      <c r="B325" s="230"/>
      <c r="C325" s="230"/>
      <c r="D325" s="15"/>
      <c r="E325" s="15"/>
      <c r="F325" s="15"/>
      <c r="G325" s="15"/>
      <c r="H325" s="15"/>
      <c r="I325" s="15"/>
      <c r="J325" s="507"/>
    </row>
    <row r="326" spans="1:11" ht="15">
      <c r="A326" s="490" t="s">
        <v>417</v>
      </c>
      <c r="B326" s="31" t="s">
        <v>7</v>
      </c>
      <c r="C326" s="31" t="s">
        <v>8</v>
      </c>
      <c r="D326" s="26" t="s">
        <v>9</v>
      </c>
      <c r="E326" s="1092" t="s">
        <v>92</v>
      </c>
      <c r="F326" s="1092"/>
      <c r="G326" s="31" t="s">
        <v>10</v>
      </c>
      <c r="H326" s="29" t="s">
        <v>11</v>
      </c>
      <c r="I326" s="29" t="s">
        <v>12</v>
      </c>
      <c r="J326" s="491" t="s">
        <v>14</v>
      </c>
      <c r="K326" t="s">
        <v>632</v>
      </c>
    </row>
    <row r="327" spans="1:11" ht="25.5">
      <c r="A327" s="492" t="s">
        <v>93</v>
      </c>
      <c r="B327" s="4" t="s">
        <v>56</v>
      </c>
      <c r="C327" s="4" t="s">
        <v>24</v>
      </c>
      <c r="D327" s="27" t="s">
        <v>418</v>
      </c>
      <c r="E327" s="1079" t="s">
        <v>184</v>
      </c>
      <c r="F327" s="1079"/>
      <c r="G327" s="4" t="s">
        <v>36</v>
      </c>
      <c r="H327" s="5">
        <v>1</v>
      </c>
      <c r="I327" s="6">
        <v>2.46</v>
      </c>
      <c r="J327" s="493">
        <f>SUM(J328:J329)</f>
        <v>2.4911820000000002</v>
      </c>
    </row>
    <row r="328" spans="1:11" ht="51">
      <c r="A328" s="494" t="s">
        <v>95</v>
      </c>
      <c r="B328" s="8" t="s">
        <v>233</v>
      </c>
      <c r="C328" s="8" t="s">
        <v>24</v>
      </c>
      <c r="D328" s="23" t="s">
        <v>234</v>
      </c>
      <c r="E328" s="1080" t="s">
        <v>125</v>
      </c>
      <c r="F328" s="1080"/>
      <c r="G328" s="8" t="s">
        <v>126</v>
      </c>
      <c r="H328" s="9">
        <v>8.3000000000000001E-3</v>
      </c>
      <c r="I328" s="10">
        <v>268.74</v>
      </c>
      <c r="J328" s="495">
        <f>I328*H328</f>
        <v>2.2305420000000002</v>
      </c>
    </row>
    <row r="329" spans="1:11" ht="51">
      <c r="A329" s="494" t="s">
        <v>95</v>
      </c>
      <c r="B329" s="8" t="s">
        <v>235</v>
      </c>
      <c r="C329" s="8" t="s">
        <v>24</v>
      </c>
      <c r="D329" s="23" t="s">
        <v>236</v>
      </c>
      <c r="E329" s="1080" t="s">
        <v>125</v>
      </c>
      <c r="F329" s="1080"/>
      <c r="G329" s="8" t="s">
        <v>129</v>
      </c>
      <c r="H329" s="9">
        <v>3.5999999999999999E-3</v>
      </c>
      <c r="I329" s="10">
        <v>72.400000000000006</v>
      </c>
      <c r="J329" s="495">
        <f>I329*H329</f>
        <v>0.26064000000000004</v>
      </c>
    </row>
    <row r="330" spans="1:11" ht="15" customHeight="1">
      <c r="A330" s="498"/>
      <c r="B330" s="20"/>
      <c r="C330" s="20"/>
      <c r="D330" s="499"/>
      <c r="E330" s="499" t="s">
        <v>116</v>
      </c>
      <c r="F330" s="500">
        <v>0.24000000000000002</v>
      </c>
      <c r="G330" s="499" t="s">
        <v>117</v>
      </c>
      <c r="H330" s="500">
        <v>0</v>
      </c>
      <c r="I330" s="499" t="s">
        <v>118</v>
      </c>
      <c r="J330" s="501">
        <v>0.24000000000000002</v>
      </c>
    </row>
    <row r="331" spans="1:11" ht="15" customHeight="1">
      <c r="A331" s="498"/>
      <c r="B331" s="20"/>
      <c r="C331" s="20"/>
      <c r="D331" s="499"/>
      <c r="E331" s="499" t="s">
        <v>119</v>
      </c>
      <c r="F331" s="500">
        <f>J331-J327</f>
        <v>0.52240086539999986</v>
      </c>
      <c r="G331" s="499"/>
      <c r="H331" s="1082" t="s">
        <v>120</v>
      </c>
      <c r="I331" s="1082"/>
      <c r="J331" s="501">
        <f>J327*(1+G2)</f>
        <v>3.0135828654000001</v>
      </c>
    </row>
    <row r="332" spans="1:11" ht="15" customHeight="1" thickBot="1">
      <c r="A332" s="503"/>
      <c r="B332" s="666"/>
      <c r="C332" s="666"/>
      <c r="D332" s="14"/>
      <c r="E332" s="14"/>
      <c r="F332" s="14"/>
      <c r="G332" s="14" t="s">
        <v>121</v>
      </c>
      <c r="H332" s="504">
        <f>'OBRA 04 - MEMÓRIA'!O56</f>
        <v>12695.565000000001</v>
      </c>
      <c r="I332" s="14" t="s">
        <v>122</v>
      </c>
      <c r="J332" s="505">
        <f>TRUNC(H332*J331,2)</f>
        <v>38259.129999999997</v>
      </c>
    </row>
    <row r="333" spans="1:11" ht="15" thickTop="1">
      <c r="A333" s="506"/>
      <c r="B333" s="230"/>
      <c r="C333" s="230"/>
      <c r="D333" s="15"/>
      <c r="E333" s="15"/>
      <c r="F333" s="15"/>
      <c r="G333" s="15"/>
      <c r="H333" s="15"/>
      <c r="I333" s="15"/>
      <c r="J333" s="507"/>
    </row>
    <row r="334" spans="1:11" ht="15">
      <c r="A334" s="490" t="s">
        <v>460</v>
      </c>
      <c r="B334" s="31" t="s">
        <v>7</v>
      </c>
      <c r="C334" s="31" t="s">
        <v>8</v>
      </c>
      <c r="D334" s="26" t="s">
        <v>9</v>
      </c>
      <c r="E334" s="1092" t="s">
        <v>92</v>
      </c>
      <c r="F334" s="1092"/>
      <c r="G334" s="31" t="s">
        <v>10</v>
      </c>
      <c r="H334" s="29" t="s">
        <v>11</v>
      </c>
      <c r="I334" s="29" t="s">
        <v>12</v>
      </c>
      <c r="J334" s="491" t="s">
        <v>14</v>
      </c>
      <c r="K334" t="s">
        <v>632</v>
      </c>
    </row>
    <row r="335" spans="1:11" ht="25.5">
      <c r="A335" s="492" t="s">
        <v>93</v>
      </c>
      <c r="B335" s="4" t="s">
        <v>56</v>
      </c>
      <c r="C335" s="4" t="s">
        <v>24</v>
      </c>
      <c r="D335" s="27" t="s">
        <v>419</v>
      </c>
      <c r="E335" s="1079" t="s">
        <v>184</v>
      </c>
      <c r="F335" s="1079"/>
      <c r="G335" s="4" t="s">
        <v>36</v>
      </c>
      <c r="H335" s="5">
        <v>1</v>
      </c>
      <c r="I335" s="6">
        <v>2.46</v>
      </c>
      <c r="J335" s="493">
        <f>SUM(J336:J337)</f>
        <v>2.4911820000000002</v>
      </c>
    </row>
    <row r="336" spans="1:11" ht="51">
      <c r="A336" s="494" t="s">
        <v>95</v>
      </c>
      <c r="B336" s="8" t="s">
        <v>233</v>
      </c>
      <c r="C336" s="8" t="s">
        <v>24</v>
      </c>
      <c r="D336" s="23" t="s">
        <v>234</v>
      </c>
      <c r="E336" s="1080" t="s">
        <v>125</v>
      </c>
      <c r="F336" s="1080"/>
      <c r="G336" s="8" t="s">
        <v>126</v>
      </c>
      <c r="H336" s="9">
        <v>8.3000000000000001E-3</v>
      </c>
      <c r="I336" s="10">
        <v>268.74</v>
      </c>
      <c r="J336" s="495">
        <f>I336*H336</f>
        <v>2.2305420000000002</v>
      </c>
    </row>
    <row r="337" spans="1:11" ht="51">
      <c r="A337" s="494" t="s">
        <v>95</v>
      </c>
      <c r="B337" s="8" t="s">
        <v>235</v>
      </c>
      <c r="C337" s="8" t="s">
        <v>24</v>
      </c>
      <c r="D337" s="23" t="s">
        <v>236</v>
      </c>
      <c r="E337" s="1080" t="s">
        <v>125</v>
      </c>
      <c r="F337" s="1080"/>
      <c r="G337" s="8" t="s">
        <v>129</v>
      </c>
      <c r="H337" s="9">
        <v>3.5999999999999999E-3</v>
      </c>
      <c r="I337" s="10">
        <v>72.400000000000006</v>
      </c>
      <c r="J337" s="495">
        <f>I337*H337</f>
        <v>0.26064000000000004</v>
      </c>
    </row>
    <row r="338" spans="1:11">
      <c r="A338" s="498"/>
      <c r="B338" s="20"/>
      <c r="C338" s="20"/>
      <c r="D338" s="499"/>
      <c r="E338" s="499" t="s">
        <v>116</v>
      </c>
      <c r="F338" s="500">
        <v>0.24000000000000002</v>
      </c>
      <c r="G338" s="499" t="s">
        <v>117</v>
      </c>
      <c r="H338" s="500">
        <v>0</v>
      </c>
      <c r="I338" s="499" t="s">
        <v>118</v>
      </c>
      <c r="J338" s="501">
        <v>0.24000000000000002</v>
      </c>
    </row>
    <row r="339" spans="1:11" ht="15" customHeight="1">
      <c r="A339" s="498"/>
      <c r="B339" s="20"/>
      <c r="C339" s="20"/>
      <c r="D339" s="499"/>
      <c r="E339" s="499" t="s">
        <v>119</v>
      </c>
      <c r="F339" s="500">
        <f>J339-J335</f>
        <v>0.52240086539999986</v>
      </c>
      <c r="G339" s="499"/>
      <c r="H339" s="1082" t="s">
        <v>120</v>
      </c>
      <c r="I339" s="1082"/>
      <c r="J339" s="501">
        <f>J335*(1+G2)</f>
        <v>3.0135828654000001</v>
      </c>
    </row>
    <row r="340" spans="1:11" ht="26.25" thickBot="1">
      <c r="A340" s="503"/>
      <c r="B340" s="666"/>
      <c r="C340" s="666"/>
      <c r="D340" s="14"/>
      <c r="E340" s="14"/>
      <c r="F340" s="14"/>
      <c r="G340" s="14" t="s">
        <v>121</v>
      </c>
      <c r="H340" s="504">
        <f>'OBRA 04 - MEMÓRIA'!O58</f>
        <v>9721.0125000000007</v>
      </c>
      <c r="I340" s="14" t="s">
        <v>122</v>
      </c>
      <c r="J340" s="505">
        <f>TRUNC(H340*J339,2)</f>
        <v>29295.07</v>
      </c>
    </row>
    <row r="341" spans="1:11" ht="15" thickTop="1">
      <c r="A341" s="506"/>
      <c r="B341" s="230"/>
      <c r="C341" s="230"/>
      <c r="D341" s="15"/>
      <c r="E341" s="15"/>
      <c r="F341" s="15"/>
      <c r="G341" s="15"/>
      <c r="H341" s="15"/>
      <c r="I341" s="15"/>
      <c r="J341" s="507"/>
    </row>
    <row r="342" spans="1:11" ht="15">
      <c r="A342" s="490" t="s">
        <v>461</v>
      </c>
      <c r="B342" s="31" t="s">
        <v>7</v>
      </c>
      <c r="C342" s="31" t="s">
        <v>8</v>
      </c>
      <c r="D342" s="26" t="s">
        <v>9</v>
      </c>
      <c r="E342" s="1092" t="s">
        <v>92</v>
      </c>
      <c r="F342" s="1092"/>
      <c r="G342" s="31" t="s">
        <v>10</v>
      </c>
      <c r="H342" s="29" t="s">
        <v>11</v>
      </c>
      <c r="I342" s="29" t="s">
        <v>12</v>
      </c>
      <c r="J342" s="491" t="s">
        <v>14</v>
      </c>
      <c r="K342" t="s">
        <v>632</v>
      </c>
    </row>
    <row r="343" spans="1:11" ht="38.25">
      <c r="A343" s="492" t="s">
        <v>93</v>
      </c>
      <c r="B343" s="4" t="s">
        <v>64</v>
      </c>
      <c r="C343" s="4" t="s">
        <v>24</v>
      </c>
      <c r="D343" s="27" t="s">
        <v>65</v>
      </c>
      <c r="E343" s="1079" t="s">
        <v>184</v>
      </c>
      <c r="F343" s="1079"/>
      <c r="G343" s="4" t="s">
        <v>66</v>
      </c>
      <c r="H343" s="5">
        <v>1</v>
      </c>
      <c r="I343" s="6">
        <v>1.42</v>
      </c>
      <c r="J343" s="493">
        <f>J344+J345</f>
        <v>1.425548</v>
      </c>
    </row>
    <row r="344" spans="1:11" ht="51">
      <c r="A344" s="494" t="s">
        <v>95</v>
      </c>
      <c r="B344" s="8" t="s">
        <v>271</v>
      </c>
      <c r="C344" s="8" t="s">
        <v>24</v>
      </c>
      <c r="D344" s="23" t="s">
        <v>272</v>
      </c>
      <c r="E344" s="1080" t="s">
        <v>125</v>
      </c>
      <c r="F344" s="1080"/>
      <c r="G344" s="8" t="s">
        <v>126</v>
      </c>
      <c r="H344" s="9">
        <v>2.8E-3</v>
      </c>
      <c r="I344" s="10">
        <v>468.8</v>
      </c>
      <c r="J344" s="495">
        <f>I344*H344</f>
        <v>1.31264</v>
      </c>
    </row>
    <row r="345" spans="1:11" ht="51">
      <c r="A345" s="494" t="s">
        <v>95</v>
      </c>
      <c r="B345" s="8" t="s">
        <v>273</v>
      </c>
      <c r="C345" s="8" t="s">
        <v>24</v>
      </c>
      <c r="D345" s="23" t="s">
        <v>274</v>
      </c>
      <c r="E345" s="1080" t="s">
        <v>125</v>
      </c>
      <c r="F345" s="1080"/>
      <c r="G345" s="8" t="s">
        <v>129</v>
      </c>
      <c r="H345" s="9">
        <v>1.1999999999999999E-3</v>
      </c>
      <c r="I345" s="10">
        <v>94.09</v>
      </c>
      <c r="J345" s="495">
        <f>I345*H345</f>
        <v>0.11290799999999999</v>
      </c>
    </row>
    <row r="346" spans="1:11">
      <c r="A346" s="498"/>
      <c r="B346" s="20"/>
      <c r="C346" s="20"/>
      <c r="D346" s="499"/>
      <c r="E346" s="499" t="s">
        <v>116</v>
      </c>
      <c r="F346" s="500">
        <v>0.08</v>
      </c>
      <c r="G346" s="499" t="s">
        <v>117</v>
      </c>
      <c r="H346" s="500">
        <v>0</v>
      </c>
      <c r="I346" s="499" t="s">
        <v>118</v>
      </c>
      <c r="J346" s="501">
        <v>0.08</v>
      </c>
    </row>
    <row r="347" spans="1:11" ht="15" customHeight="1">
      <c r="A347" s="498"/>
      <c r="B347" s="20"/>
      <c r="C347" s="20"/>
      <c r="D347" s="499"/>
      <c r="E347" s="499" t="s">
        <v>119</v>
      </c>
      <c r="F347" s="500">
        <f>J347-J343</f>
        <v>0.29893741559999998</v>
      </c>
      <c r="G347" s="499"/>
      <c r="H347" s="1082" t="s">
        <v>120</v>
      </c>
      <c r="I347" s="1082"/>
      <c r="J347" s="501">
        <f>J343*(1+G2)</f>
        <v>1.7244854156</v>
      </c>
    </row>
    <row r="348" spans="1:11" ht="26.25" thickBot="1">
      <c r="A348" s="503"/>
      <c r="B348" s="666"/>
      <c r="C348" s="666"/>
      <c r="D348" s="14"/>
      <c r="E348" s="14"/>
      <c r="F348" s="14"/>
      <c r="G348" s="14" t="s">
        <v>121</v>
      </c>
      <c r="H348" s="504">
        <f>'OBRA 04 - MEMÓRIA'!O60</f>
        <v>2240.8159934400001</v>
      </c>
      <c r="I348" s="14" t="s">
        <v>122</v>
      </c>
      <c r="J348" s="505">
        <f>TRUNC(H348*J347,2)</f>
        <v>3864.25</v>
      </c>
    </row>
    <row r="349" spans="1:11" ht="15" thickTop="1">
      <c r="A349" s="506"/>
      <c r="B349" s="230"/>
      <c r="C349" s="230"/>
      <c r="D349" s="15"/>
      <c r="E349" s="15"/>
      <c r="F349" s="15"/>
      <c r="G349" s="15"/>
      <c r="H349" s="15"/>
      <c r="I349" s="15"/>
      <c r="J349" s="507"/>
      <c r="K349" t="s">
        <v>632</v>
      </c>
    </row>
    <row r="350" spans="1:11" ht="15">
      <c r="A350" s="490" t="s">
        <v>462</v>
      </c>
      <c r="B350" s="31" t="s">
        <v>7</v>
      </c>
      <c r="C350" s="31" t="s">
        <v>8</v>
      </c>
      <c r="D350" s="26" t="s">
        <v>9</v>
      </c>
      <c r="E350" s="1092" t="s">
        <v>92</v>
      </c>
      <c r="F350" s="1092"/>
      <c r="G350" s="31" t="s">
        <v>10</v>
      </c>
      <c r="H350" s="29" t="s">
        <v>11</v>
      </c>
      <c r="I350" s="29" t="s">
        <v>12</v>
      </c>
      <c r="J350" s="491" t="s">
        <v>14</v>
      </c>
    </row>
    <row r="351" spans="1:11" ht="38.25">
      <c r="A351" s="492" t="s">
        <v>93</v>
      </c>
      <c r="B351" s="4" t="s">
        <v>67</v>
      </c>
      <c r="C351" s="4" t="s">
        <v>24</v>
      </c>
      <c r="D351" s="27" t="s">
        <v>68</v>
      </c>
      <c r="E351" s="1079" t="s">
        <v>184</v>
      </c>
      <c r="F351" s="1079"/>
      <c r="G351" s="4" t="s">
        <v>66</v>
      </c>
      <c r="H351" s="5">
        <v>1</v>
      </c>
      <c r="I351" s="6">
        <v>0.55000000000000004</v>
      </c>
      <c r="J351" s="493">
        <f>SUM(J352:J353)</f>
        <v>0.56272500000000003</v>
      </c>
    </row>
    <row r="352" spans="1:11" ht="51">
      <c r="A352" s="494" t="s">
        <v>95</v>
      </c>
      <c r="B352" s="8" t="s">
        <v>271</v>
      </c>
      <c r="C352" s="8" t="s">
        <v>24</v>
      </c>
      <c r="D352" s="23" t="s">
        <v>272</v>
      </c>
      <c r="E352" s="1080" t="s">
        <v>125</v>
      </c>
      <c r="F352" s="1080"/>
      <c r="G352" s="8" t="s">
        <v>126</v>
      </c>
      <c r="H352" s="9">
        <v>1.1000000000000001E-3</v>
      </c>
      <c r="I352" s="10">
        <v>468.8</v>
      </c>
      <c r="J352" s="495">
        <f>I352*H352</f>
        <v>0.51568000000000003</v>
      </c>
    </row>
    <row r="353" spans="1:11" ht="51">
      <c r="A353" s="494" t="s">
        <v>95</v>
      </c>
      <c r="B353" s="8" t="s">
        <v>273</v>
      </c>
      <c r="C353" s="8" t="s">
        <v>24</v>
      </c>
      <c r="D353" s="23" t="s">
        <v>274</v>
      </c>
      <c r="E353" s="1080" t="s">
        <v>125</v>
      </c>
      <c r="F353" s="1080"/>
      <c r="G353" s="8" t="s">
        <v>129</v>
      </c>
      <c r="H353" s="9">
        <v>5.0000000000000001E-4</v>
      </c>
      <c r="I353" s="10">
        <v>94.09</v>
      </c>
      <c r="J353" s="495">
        <f>I353*H353</f>
        <v>4.7045000000000003E-2</v>
      </c>
    </row>
    <row r="354" spans="1:11" ht="15.6" customHeight="1">
      <c r="A354" s="498"/>
      <c r="B354" s="20"/>
      <c r="C354" s="20"/>
      <c r="D354" s="499"/>
      <c r="E354" s="499" t="s">
        <v>116</v>
      </c>
      <c r="F354" s="500">
        <v>0.03</v>
      </c>
      <c r="G354" s="499" t="s">
        <v>117</v>
      </c>
      <c r="H354" s="500">
        <v>0</v>
      </c>
      <c r="I354" s="499" t="s">
        <v>118</v>
      </c>
      <c r="J354" s="501">
        <v>0.03</v>
      </c>
    </row>
    <row r="355" spans="1:11" ht="15" customHeight="1">
      <c r="A355" s="498"/>
      <c r="B355" s="20"/>
      <c r="C355" s="20"/>
      <c r="D355" s="499"/>
      <c r="E355" s="499" t="s">
        <v>119</v>
      </c>
      <c r="F355" s="500">
        <f>J355-J351</f>
        <v>0.11800343250000001</v>
      </c>
      <c r="G355" s="499"/>
      <c r="H355" s="1082" t="s">
        <v>120</v>
      </c>
      <c r="I355" s="1082"/>
      <c r="J355" s="501">
        <f>J351*(1+G2)</f>
        <v>0.68072843250000004</v>
      </c>
      <c r="K355" t="s">
        <v>632</v>
      </c>
    </row>
    <row r="356" spans="1:11" ht="26.25" thickBot="1">
      <c r="A356" s="503"/>
      <c r="B356" s="666"/>
      <c r="C356" s="666"/>
      <c r="D356" s="14"/>
      <c r="E356" s="14"/>
      <c r="F356" s="14"/>
      <c r="G356" s="14" t="s">
        <v>121</v>
      </c>
      <c r="H356" s="504">
        <f>'OBRA 04 - MEMÓRIA'!O62</f>
        <v>35106.117230559998</v>
      </c>
      <c r="I356" s="14" t="s">
        <v>122</v>
      </c>
      <c r="J356" s="505">
        <f>TRUNC(H356*J355,2)</f>
        <v>23897.73</v>
      </c>
    </row>
    <row r="357" spans="1:11" ht="15" thickTop="1">
      <c r="A357" s="506"/>
      <c r="B357" s="230"/>
      <c r="C357" s="230"/>
      <c r="D357" s="15"/>
      <c r="E357" s="15"/>
      <c r="F357" s="15"/>
      <c r="G357" s="15"/>
      <c r="H357" s="15"/>
      <c r="I357" s="15"/>
      <c r="J357" s="507"/>
    </row>
    <row r="358" spans="1:11" ht="15">
      <c r="A358" s="490" t="s">
        <v>463</v>
      </c>
      <c r="B358" s="31" t="s">
        <v>7</v>
      </c>
      <c r="C358" s="31" t="s">
        <v>8</v>
      </c>
      <c r="D358" s="26" t="s">
        <v>9</v>
      </c>
      <c r="E358" s="1092" t="s">
        <v>92</v>
      </c>
      <c r="F358" s="1092"/>
      <c r="G358" s="31" t="s">
        <v>10</v>
      </c>
      <c r="H358" s="29" t="s">
        <v>11</v>
      </c>
      <c r="I358" s="29" t="s">
        <v>12</v>
      </c>
      <c r="J358" s="491" t="s">
        <v>14</v>
      </c>
    </row>
    <row r="359" spans="1:11">
      <c r="A359" s="492" t="s">
        <v>93</v>
      </c>
      <c r="B359" s="4" t="s">
        <v>69</v>
      </c>
      <c r="C359" s="4" t="s">
        <v>19</v>
      </c>
      <c r="D359" s="27" t="s">
        <v>70</v>
      </c>
      <c r="E359" s="1079" t="s">
        <v>101</v>
      </c>
      <c r="F359" s="1079"/>
      <c r="G359" s="4" t="s">
        <v>21</v>
      </c>
      <c r="H359" s="5">
        <v>1</v>
      </c>
      <c r="I359" s="6">
        <v>0.56000000000000005</v>
      </c>
      <c r="J359" s="493">
        <f>J360</f>
        <v>0.58518999999999999</v>
      </c>
    </row>
    <row r="360" spans="1:11" ht="25.5">
      <c r="A360" s="494" t="s">
        <v>95</v>
      </c>
      <c r="B360" s="8" t="s">
        <v>103</v>
      </c>
      <c r="C360" s="8" t="s">
        <v>24</v>
      </c>
      <c r="D360" s="23" t="s">
        <v>104</v>
      </c>
      <c r="E360" s="1080" t="s">
        <v>101</v>
      </c>
      <c r="F360" s="1080"/>
      <c r="G360" s="8" t="s">
        <v>102</v>
      </c>
      <c r="H360" s="9">
        <v>2.7799999999999998E-2</v>
      </c>
      <c r="I360" s="10">
        <v>21.05</v>
      </c>
      <c r="J360" s="495">
        <f>I360*H360</f>
        <v>0.58518999999999999</v>
      </c>
    </row>
    <row r="361" spans="1:11" ht="15" customHeight="1">
      <c r="A361" s="498"/>
      <c r="B361" s="20"/>
      <c r="C361" s="20"/>
      <c r="D361" s="499"/>
      <c r="E361" s="499" t="s">
        <v>116</v>
      </c>
      <c r="F361" s="500">
        <v>0.42</v>
      </c>
      <c r="G361" s="499" t="s">
        <v>117</v>
      </c>
      <c r="H361" s="500">
        <v>0</v>
      </c>
      <c r="I361" s="499" t="s">
        <v>118</v>
      </c>
      <c r="J361" s="501">
        <v>0.42</v>
      </c>
    </row>
    <row r="362" spans="1:11" ht="15" customHeight="1">
      <c r="A362" s="498"/>
      <c r="B362" s="20"/>
      <c r="C362" s="20"/>
      <c r="D362" s="499"/>
      <c r="E362" s="499" t="s">
        <v>119</v>
      </c>
      <c r="F362" s="500">
        <f>J362-J359</f>
        <v>0.12271434299999995</v>
      </c>
      <c r="G362" s="499"/>
      <c r="H362" s="1082" t="s">
        <v>120</v>
      </c>
      <c r="I362" s="1082"/>
      <c r="J362" s="501">
        <f>J359*(1+G2)</f>
        <v>0.70790434299999994</v>
      </c>
    </row>
    <row r="363" spans="1:11" ht="26.25" thickBot="1">
      <c r="A363" s="503"/>
      <c r="B363" s="666"/>
      <c r="C363" s="666"/>
      <c r="D363" s="14"/>
      <c r="E363" s="14"/>
      <c r="F363" s="14"/>
      <c r="G363" s="14" t="s">
        <v>121</v>
      </c>
      <c r="H363" s="504">
        <f>'OBRA 04 - MEMÓRIA'!O64</f>
        <v>8463.7099999999991</v>
      </c>
      <c r="I363" s="14" t="s">
        <v>122</v>
      </c>
      <c r="J363" s="505">
        <f>TRUNC(H363*J362,2)</f>
        <v>5991.49</v>
      </c>
    </row>
    <row r="364" spans="1:11" ht="15" thickTop="1">
      <c r="A364" s="506"/>
      <c r="B364" s="230"/>
      <c r="C364" s="230"/>
      <c r="D364" s="15"/>
      <c r="E364" s="15"/>
      <c r="F364" s="15"/>
      <c r="G364" s="15"/>
      <c r="H364" s="15"/>
      <c r="I364" s="15"/>
      <c r="J364" s="507"/>
    </row>
    <row r="365" spans="1:11" ht="15">
      <c r="A365" s="490" t="s">
        <v>464</v>
      </c>
      <c r="B365" s="31" t="s">
        <v>7</v>
      </c>
      <c r="C365" s="31" t="s">
        <v>8</v>
      </c>
      <c r="D365" s="26" t="s">
        <v>9</v>
      </c>
      <c r="E365" s="1092" t="s">
        <v>92</v>
      </c>
      <c r="F365" s="1092"/>
      <c r="G365" s="31" t="s">
        <v>10</v>
      </c>
      <c r="H365" s="29" t="s">
        <v>11</v>
      </c>
      <c r="I365" s="29" t="s">
        <v>12</v>
      </c>
      <c r="J365" s="491" t="s">
        <v>14</v>
      </c>
    </row>
    <row r="366" spans="1:11">
      <c r="A366" s="522" t="s">
        <v>105</v>
      </c>
      <c r="B366" s="17" t="s">
        <v>620</v>
      </c>
      <c r="C366" s="17" t="s">
        <v>19</v>
      </c>
      <c r="D366" s="28" t="s">
        <v>304</v>
      </c>
      <c r="E366" s="1099" t="s">
        <v>108</v>
      </c>
      <c r="F366" s="1099"/>
      <c r="G366" s="17" t="s">
        <v>621</v>
      </c>
      <c r="H366" s="18">
        <v>1</v>
      </c>
      <c r="I366" s="19">
        <v>3037.47</v>
      </c>
      <c r="J366" s="523">
        <f>I366*H366</f>
        <v>3037.47</v>
      </c>
    </row>
    <row r="367" spans="1:11" ht="15" customHeight="1">
      <c r="A367" s="498"/>
      <c r="B367" s="20"/>
      <c r="C367" s="20"/>
      <c r="D367" s="499"/>
      <c r="E367" s="499" t="s">
        <v>116</v>
      </c>
      <c r="F367" s="500">
        <v>0</v>
      </c>
      <c r="G367" s="499" t="s">
        <v>117</v>
      </c>
      <c r="H367" s="500">
        <v>0</v>
      </c>
      <c r="I367" s="499" t="s">
        <v>118</v>
      </c>
      <c r="J367" s="501">
        <v>0</v>
      </c>
    </row>
    <row r="368" spans="1:11" ht="15" customHeight="1">
      <c r="A368" s="498"/>
      <c r="B368" s="20"/>
      <c r="C368" s="20"/>
      <c r="D368" s="499"/>
      <c r="E368" s="499" t="s">
        <v>119</v>
      </c>
      <c r="F368" s="500">
        <f>J368-J366</f>
        <v>425.85329400000046</v>
      </c>
      <c r="G368" s="499"/>
      <c r="H368" s="1082" t="s">
        <v>120</v>
      </c>
      <c r="I368" s="1082"/>
      <c r="J368" s="501">
        <f>J366*(1+H2)</f>
        <v>3463.3232940000003</v>
      </c>
    </row>
    <row r="369" spans="1:11" ht="26.25" thickBot="1">
      <c r="A369" s="503"/>
      <c r="B369" s="666"/>
      <c r="C369" s="666"/>
      <c r="D369" s="14"/>
      <c r="E369" s="14"/>
      <c r="F369" s="14"/>
      <c r="G369" s="14" t="s">
        <v>121</v>
      </c>
      <c r="H369" s="504">
        <f>'OBRA 04 - MEMÓRIA'!O66</f>
        <v>3.8086694999999997</v>
      </c>
      <c r="I369" s="14" t="s">
        <v>122</v>
      </c>
      <c r="J369" s="505">
        <f>TRUNC(J368*H369,2)</f>
        <v>13190.65</v>
      </c>
    </row>
    <row r="370" spans="1:11" ht="15" thickTop="1">
      <c r="A370" s="506"/>
      <c r="B370" s="230"/>
      <c r="C370" s="230"/>
      <c r="D370" s="15"/>
      <c r="E370" s="15"/>
      <c r="F370" s="15"/>
      <c r="G370" s="15"/>
      <c r="H370" s="15"/>
      <c r="I370" s="15"/>
      <c r="J370" s="507"/>
    </row>
    <row r="371" spans="1:11" ht="15">
      <c r="A371" s="490" t="s">
        <v>623</v>
      </c>
      <c r="B371" s="31" t="s">
        <v>7</v>
      </c>
      <c r="C371" s="31" t="s">
        <v>8</v>
      </c>
      <c r="D371" s="26" t="s">
        <v>9</v>
      </c>
      <c r="E371" s="1092" t="s">
        <v>92</v>
      </c>
      <c r="F371" s="1092"/>
      <c r="G371" s="31" t="s">
        <v>10</v>
      </c>
      <c r="H371" s="29" t="s">
        <v>11</v>
      </c>
      <c r="I371" s="29" t="s">
        <v>12</v>
      </c>
      <c r="J371" s="491" t="s">
        <v>14</v>
      </c>
    </row>
    <row r="372" spans="1:11">
      <c r="A372" s="522" t="s">
        <v>105</v>
      </c>
      <c r="B372" s="17" t="s">
        <v>622</v>
      </c>
      <c r="C372" s="17" t="s">
        <v>19</v>
      </c>
      <c r="D372" s="28" t="s">
        <v>305</v>
      </c>
      <c r="E372" s="1099" t="s">
        <v>108</v>
      </c>
      <c r="F372" s="1099"/>
      <c r="G372" s="17" t="s">
        <v>621</v>
      </c>
      <c r="H372" s="18">
        <v>1</v>
      </c>
      <c r="I372" s="19">
        <v>2554.84</v>
      </c>
      <c r="J372" s="523">
        <f>I372*H372</f>
        <v>2554.84</v>
      </c>
    </row>
    <row r="373" spans="1:11" ht="15" customHeight="1">
      <c r="A373" s="498"/>
      <c r="B373" s="20"/>
      <c r="C373" s="20"/>
      <c r="D373" s="499"/>
      <c r="E373" s="499" t="s">
        <v>116</v>
      </c>
      <c r="F373" s="500">
        <v>0</v>
      </c>
      <c r="G373" s="499" t="s">
        <v>117</v>
      </c>
      <c r="H373" s="500">
        <v>0</v>
      </c>
      <c r="I373" s="499" t="s">
        <v>118</v>
      </c>
      <c r="J373" s="501">
        <v>0</v>
      </c>
    </row>
    <row r="374" spans="1:11" ht="15" customHeight="1">
      <c r="A374" s="498"/>
      <c r="B374" s="20"/>
      <c r="C374" s="20"/>
      <c r="D374" s="499"/>
      <c r="E374" s="499" t="s">
        <v>119</v>
      </c>
      <c r="F374" s="500">
        <f>J374-J372</f>
        <v>358.18856800000049</v>
      </c>
      <c r="G374" s="499"/>
      <c r="H374" s="1082" t="s">
        <v>120</v>
      </c>
      <c r="I374" s="1082"/>
      <c r="J374" s="501">
        <f>J372*(1+H2)</f>
        <v>2913.0285680000006</v>
      </c>
    </row>
    <row r="375" spans="1:11" ht="26.25" thickBot="1">
      <c r="A375" s="503"/>
      <c r="B375" s="666"/>
      <c r="C375" s="666"/>
      <c r="D375" s="14"/>
      <c r="E375" s="14"/>
      <c r="F375" s="14"/>
      <c r="G375" s="14" t="s">
        <v>121</v>
      </c>
      <c r="H375" s="504">
        <f>'OBRA 04 - MEMÓRIA'!O68</f>
        <v>5.3862379999999996</v>
      </c>
      <c r="I375" s="14" t="s">
        <v>122</v>
      </c>
      <c r="J375" s="505">
        <f>TRUNC(J374*H375,2)</f>
        <v>15690.26</v>
      </c>
    </row>
    <row r="376" spans="1:11" ht="15" thickTop="1">
      <c r="A376" s="506"/>
      <c r="B376" s="230"/>
      <c r="C376" s="230"/>
      <c r="D376" s="15"/>
      <c r="E376" s="15"/>
      <c r="F376" s="15"/>
      <c r="G376" s="15"/>
      <c r="H376" s="15"/>
      <c r="I376" s="15"/>
      <c r="J376" s="507"/>
    </row>
    <row r="377" spans="1:11" ht="15">
      <c r="A377" s="490" t="s">
        <v>652</v>
      </c>
      <c r="B377" s="31" t="s">
        <v>7</v>
      </c>
      <c r="C377" s="31" t="s">
        <v>8</v>
      </c>
      <c r="D377" s="26" t="s">
        <v>9</v>
      </c>
      <c r="E377" s="1092" t="s">
        <v>92</v>
      </c>
      <c r="F377" s="1092"/>
      <c r="G377" s="31" t="s">
        <v>10</v>
      </c>
      <c r="H377" s="29" t="s">
        <v>11</v>
      </c>
      <c r="I377" s="29" t="s">
        <v>12</v>
      </c>
      <c r="J377" s="491" t="s">
        <v>14</v>
      </c>
    </row>
    <row r="378" spans="1:11">
      <c r="A378" s="522" t="s">
        <v>105</v>
      </c>
      <c r="B378" s="17" t="s">
        <v>624</v>
      </c>
      <c r="C378" s="17" t="s">
        <v>19</v>
      </c>
      <c r="D378" s="28" t="s">
        <v>310</v>
      </c>
      <c r="E378" s="1099" t="s">
        <v>108</v>
      </c>
      <c r="F378" s="1099"/>
      <c r="G378" s="17" t="s">
        <v>621</v>
      </c>
      <c r="H378" s="18">
        <v>1</v>
      </c>
      <c r="I378" s="19">
        <v>4028.54</v>
      </c>
      <c r="J378" s="523">
        <f>I378*H378</f>
        <v>4028.54</v>
      </c>
      <c r="K378" t="s">
        <v>684</v>
      </c>
    </row>
    <row r="379" spans="1:11">
      <c r="A379" s="498"/>
      <c r="B379" s="20"/>
      <c r="C379" s="20"/>
      <c r="D379" s="499"/>
      <c r="E379" s="499" t="s">
        <v>116</v>
      </c>
      <c r="F379" s="500">
        <v>0</v>
      </c>
      <c r="G379" s="499" t="s">
        <v>117</v>
      </c>
      <c r="H379" s="500">
        <v>0</v>
      </c>
      <c r="I379" s="499" t="s">
        <v>118</v>
      </c>
      <c r="J379" s="501">
        <v>0</v>
      </c>
      <c r="K379" t="s">
        <v>632</v>
      </c>
    </row>
    <row r="380" spans="1:11" ht="15" customHeight="1">
      <c r="A380" s="498"/>
      <c r="B380" s="20"/>
      <c r="C380" s="20"/>
      <c r="D380" s="499"/>
      <c r="E380" s="499" t="s">
        <v>119</v>
      </c>
      <c r="F380" s="500">
        <f>J380-J378</f>
        <v>564.80130800000006</v>
      </c>
      <c r="G380" s="499"/>
      <c r="H380" s="1082" t="s">
        <v>120</v>
      </c>
      <c r="I380" s="1082"/>
      <c r="J380" s="501">
        <f>J378*(1+H2)</f>
        <v>4593.341308</v>
      </c>
    </row>
    <row r="381" spans="1:11" ht="15" customHeight="1" thickBot="1">
      <c r="A381" s="503"/>
      <c r="B381" s="666"/>
      <c r="C381" s="666"/>
      <c r="D381" s="14"/>
      <c r="E381" s="14"/>
      <c r="F381" s="14"/>
      <c r="G381" s="14" t="s">
        <v>121</v>
      </c>
      <c r="H381" s="504">
        <f>'OBRA 04 - MEMÓRIA'!O70</f>
        <v>65.498958947999995</v>
      </c>
      <c r="I381" s="14" t="s">
        <v>122</v>
      </c>
      <c r="J381" s="505">
        <f>TRUNC(J380*H381,2)</f>
        <v>300859.07</v>
      </c>
    </row>
    <row r="382" spans="1:11" ht="15" customHeight="1" thickTop="1">
      <c r="A382" s="506"/>
      <c r="B382" s="230"/>
      <c r="C382" s="230"/>
      <c r="D382" s="15"/>
      <c r="E382" s="15"/>
      <c r="F382" s="15"/>
      <c r="G382" s="15"/>
      <c r="H382" s="15"/>
      <c r="I382" s="15"/>
      <c r="J382" s="507"/>
    </row>
    <row r="383" spans="1:11" ht="15" customHeight="1">
      <c r="A383" s="518" t="s">
        <v>71</v>
      </c>
      <c r="B383" s="229"/>
      <c r="C383" s="229"/>
      <c r="D383" s="25" t="s">
        <v>72</v>
      </c>
      <c r="E383" s="25"/>
      <c r="F383" s="1090"/>
      <c r="G383" s="1090"/>
      <c r="H383" s="1"/>
      <c r="I383" s="25"/>
      <c r="J383" s="519">
        <f>J393+J405</f>
        <v>123975.91999999998</v>
      </c>
    </row>
    <row r="384" spans="1:11" ht="15" customHeight="1">
      <c r="A384" s="490" t="s">
        <v>73</v>
      </c>
      <c r="B384" s="31" t="s">
        <v>7</v>
      </c>
      <c r="C384" s="31" t="s">
        <v>8</v>
      </c>
      <c r="D384" s="26" t="s">
        <v>9</v>
      </c>
      <c r="E384" s="1092" t="s">
        <v>92</v>
      </c>
      <c r="F384" s="1092"/>
      <c r="G384" s="31" t="s">
        <v>10</v>
      </c>
      <c r="H384" s="29" t="s">
        <v>11</v>
      </c>
      <c r="I384" s="29" t="s">
        <v>12</v>
      </c>
      <c r="J384" s="491" t="s">
        <v>14</v>
      </c>
    </row>
    <row r="385" spans="1:11" ht="51">
      <c r="A385" s="492" t="s">
        <v>93</v>
      </c>
      <c r="B385" s="4" t="s">
        <v>74</v>
      </c>
      <c r="C385" s="4" t="s">
        <v>24</v>
      </c>
      <c r="D385" s="27" t="s">
        <v>75</v>
      </c>
      <c r="E385" s="1079" t="s">
        <v>275</v>
      </c>
      <c r="F385" s="1079"/>
      <c r="G385" s="4" t="s">
        <v>76</v>
      </c>
      <c r="H385" s="5">
        <v>1</v>
      </c>
      <c r="I385" s="6">
        <v>54.54</v>
      </c>
      <c r="J385" s="493">
        <f>SUM(J386:J390)</f>
        <v>50.003387999999994</v>
      </c>
    </row>
    <row r="386" spans="1:11" ht="25.5">
      <c r="A386" s="494" t="s">
        <v>95</v>
      </c>
      <c r="B386" s="8" t="s">
        <v>130</v>
      </c>
      <c r="C386" s="8" t="s">
        <v>24</v>
      </c>
      <c r="D386" s="23" t="s">
        <v>131</v>
      </c>
      <c r="E386" s="1080" t="s">
        <v>101</v>
      </c>
      <c r="F386" s="1080"/>
      <c r="G386" s="8" t="s">
        <v>102</v>
      </c>
      <c r="H386" s="9">
        <v>0.2296</v>
      </c>
      <c r="I386" s="10">
        <v>26.5</v>
      </c>
      <c r="J386" s="495">
        <f>I386*H386</f>
        <v>6.0843999999999996</v>
      </c>
    </row>
    <row r="387" spans="1:11" ht="25.5">
      <c r="A387" s="494" t="s">
        <v>95</v>
      </c>
      <c r="B387" s="8" t="s">
        <v>103</v>
      </c>
      <c r="C387" s="8" t="s">
        <v>24</v>
      </c>
      <c r="D387" s="23" t="s">
        <v>104</v>
      </c>
      <c r="E387" s="1080" t="s">
        <v>101</v>
      </c>
      <c r="F387" s="1080"/>
      <c r="G387" s="8" t="s">
        <v>102</v>
      </c>
      <c r="H387" s="9">
        <v>0.2296</v>
      </c>
      <c r="I387" s="10">
        <v>21.05</v>
      </c>
      <c r="J387" s="495">
        <f t="shared" ref="J387:J390" si="14">I387*H387</f>
        <v>4.8330799999999998</v>
      </c>
    </row>
    <row r="388" spans="1:11" ht="25.5">
      <c r="A388" s="494" t="s">
        <v>95</v>
      </c>
      <c r="B388" s="8" t="s">
        <v>276</v>
      </c>
      <c r="C388" s="8" t="s">
        <v>24</v>
      </c>
      <c r="D388" s="23" t="s">
        <v>277</v>
      </c>
      <c r="E388" s="1080" t="s">
        <v>101</v>
      </c>
      <c r="F388" s="1080"/>
      <c r="G388" s="8" t="s">
        <v>28</v>
      </c>
      <c r="H388" s="9">
        <v>1.8E-3</v>
      </c>
      <c r="I388" s="10">
        <v>657.56</v>
      </c>
      <c r="J388" s="495">
        <f t="shared" si="14"/>
        <v>1.1836079999999998</v>
      </c>
    </row>
    <row r="389" spans="1:11" ht="25.5">
      <c r="A389" s="496" t="s">
        <v>105</v>
      </c>
      <c r="B389" s="11" t="s">
        <v>243</v>
      </c>
      <c r="C389" s="11" t="s">
        <v>24</v>
      </c>
      <c r="D389" s="24" t="s">
        <v>244</v>
      </c>
      <c r="E389" s="1087" t="s">
        <v>108</v>
      </c>
      <c r="F389" s="1087"/>
      <c r="G389" s="11" t="s">
        <v>28</v>
      </c>
      <c r="H389" s="12">
        <v>6.6E-3</v>
      </c>
      <c r="I389" s="13">
        <v>130</v>
      </c>
      <c r="J389" s="497">
        <f t="shared" si="14"/>
        <v>0.85799999999999998</v>
      </c>
    </row>
    <row r="390" spans="1:11" ht="25.5">
      <c r="A390" s="496" t="s">
        <v>105</v>
      </c>
      <c r="B390" s="11" t="s">
        <v>278</v>
      </c>
      <c r="C390" s="11" t="s">
        <v>24</v>
      </c>
      <c r="D390" s="24" t="s">
        <v>279</v>
      </c>
      <c r="E390" s="1087" t="s">
        <v>108</v>
      </c>
      <c r="F390" s="1087"/>
      <c r="G390" s="11" t="s">
        <v>76</v>
      </c>
      <c r="H390" s="12">
        <v>1.0049999999999999</v>
      </c>
      <c r="I390" s="13">
        <v>36.86</v>
      </c>
      <c r="J390" s="497">
        <f t="shared" si="14"/>
        <v>37.044299999999993</v>
      </c>
    </row>
    <row r="391" spans="1:11" ht="15" customHeight="1">
      <c r="A391" s="498"/>
      <c r="B391" s="20"/>
      <c r="C391" s="20"/>
      <c r="D391" s="499"/>
      <c r="E391" s="499" t="s">
        <v>116</v>
      </c>
      <c r="F391" s="500">
        <v>8.69</v>
      </c>
      <c r="G391" s="499" t="s">
        <v>117</v>
      </c>
      <c r="H391" s="500">
        <v>0</v>
      </c>
      <c r="I391" s="499" t="s">
        <v>118</v>
      </c>
      <c r="J391" s="501">
        <v>8.69</v>
      </c>
      <c r="K391" t="s">
        <v>632</v>
      </c>
    </row>
    <row r="392" spans="1:11" ht="15" customHeight="1">
      <c r="A392" s="498"/>
      <c r="B392" s="20"/>
      <c r="C392" s="20"/>
      <c r="D392" s="499"/>
      <c r="E392" s="499" t="s">
        <v>119</v>
      </c>
      <c r="F392" s="500">
        <f>J392-J385</f>
        <v>10.4857104636</v>
      </c>
      <c r="G392" s="499"/>
      <c r="H392" s="1082" t="s">
        <v>120</v>
      </c>
      <c r="I392" s="1082"/>
      <c r="J392" s="501">
        <f>J385*(1+G2)</f>
        <v>60.489098463599994</v>
      </c>
    </row>
    <row r="393" spans="1:11" ht="15" customHeight="1" thickBot="1">
      <c r="A393" s="503"/>
      <c r="B393" s="666"/>
      <c r="C393" s="666"/>
      <c r="D393" s="14"/>
      <c r="E393" s="14"/>
      <c r="F393" s="14"/>
      <c r="G393" s="14" t="s">
        <v>121</v>
      </c>
      <c r="H393" s="504">
        <f>'OBRA 04 - MEMÓRIA'!O73</f>
        <v>1362.0000000000002</v>
      </c>
      <c r="I393" s="14" t="s">
        <v>122</v>
      </c>
      <c r="J393" s="505">
        <f>TRUNC(J392*H393,2)</f>
        <v>82386.149999999994</v>
      </c>
    </row>
    <row r="394" spans="1:11" ht="15" thickTop="1">
      <c r="A394" s="506"/>
      <c r="B394" s="230"/>
      <c r="C394" s="230"/>
      <c r="D394" s="15"/>
      <c r="E394" s="15"/>
      <c r="F394" s="15"/>
      <c r="G394" s="15"/>
      <c r="H394" s="15"/>
      <c r="I394" s="15"/>
      <c r="J394" s="507"/>
    </row>
    <row r="395" spans="1:11" ht="15">
      <c r="A395" s="490" t="s">
        <v>77</v>
      </c>
      <c r="B395" s="31" t="s">
        <v>7</v>
      </c>
      <c r="C395" s="31" t="s">
        <v>8</v>
      </c>
      <c r="D395" s="26" t="s">
        <v>9</v>
      </c>
      <c r="E395" s="1092" t="s">
        <v>92</v>
      </c>
      <c r="F395" s="1092"/>
      <c r="G395" s="31" t="s">
        <v>10</v>
      </c>
      <c r="H395" s="29" t="s">
        <v>11</v>
      </c>
      <c r="I395" s="29" t="s">
        <v>12</v>
      </c>
      <c r="J395" s="491" t="s">
        <v>14</v>
      </c>
    </row>
    <row r="396" spans="1:11" ht="25.5">
      <c r="A396" s="492" t="s">
        <v>93</v>
      </c>
      <c r="B396" s="4" t="s">
        <v>78</v>
      </c>
      <c r="C396" s="4" t="s">
        <v>24</v>
      </c>
      <c r="D396" s="27" t="s">
        <v>79</v>
      </c>
      <c r="E396" s="1079" t="s">
        <v>275</v>
      </c>
      <c r="F396" s="1079"/>
      <c r="G396" s="4" t="s">
        <v>76</v>
      </c>
      <c r="H396" s="5">
        <v>1</v>
      </c>
      <c r="I396" s="6">
        <v>40.520000000000003</v>
      </c>
      <c r="J396" s="493">
        <f>SUM(J397:J402)</f>
        <v>41.651311</v>
      </c>
    </row>
    <row r="397" spans="1:11" ht="25.5">
      <c r="A397" s="494" t="s">
        <v>95</v>
      </c>
      <c r="B397" s="8" t="s">
        <v>130</v>
      </c>
      <c r="C397" s="8" t="s">
        <v>24</v>
      </c>
      <c r="D397" s="23" t="s">
        <v>131</v>
      </c>
      <c r="E397" s="1080" t="s">
        <v>101</v>
      </c>
      <c r="F397" s="1080"/>
      <c r="G397" s="8" t="s">
        <v>102</v>
      </c>
      <c r="H397" s="9">
        <v>0.23799999999999999</v>
      </c>
      <c r="I397" s="10">
        <v>26.5</v>
      </c>
      <c r="J397" s="495">
        <f>I397*H397</f>
        <v>6.3069999999999995</v>
      </c>
    </row>
    <row r="398" spans="1:11" ht="25.5">
      <c r="A398" s="494" t="s">
        <v>95</v>
      </c>
      <c r="B398" s="8" t="s">
        <v>103</v>
      </c>
      <c r="C398" s="8" t="s">
        <v>24</v>
      </c>
      <c r="D398" s="23" t="s">
        <v>104</v>
      </c>
      <c r="E398" s="1080" t="s">
        <v>101</v>
      </c>
      <c r="F398" s="1080"/>
      <c r="G398" s="8" t="s">
        <v>102</v>
      </c>
      <c r="H398" s="9">
        <v>0.23799999999999999</v>
      </c>
      <c r="I398" s="10">
        <v>21.05</v>
      </c>
      <c r="J398" s="495">
        <f t="shared" ref="J398:J402" si="15">I398*H398</f>
        <v>5.0099</v>
      </c>
    </row>
    <row r="399" spans="1:11" ht="25.5">
      <c r="A399" s="496" t="s">
        <v>105</v>
      </c>
      <c r="B399" s="11" t="s">
        <v>243</v>
      </c>
      <c r="C399" s="11" t="s">
        <v>24</v>
      </c>
      <c r="D399" s="24" t="s">
        <v>244</v>
      </c>
      <c r="E399" s="1087" t="s">
        <v>108</v>
      </c>
      <c r="F399" s="1087"/>
      <c r="G399" s="11" t="s">
        <v>28</v>
      </c>
      <c r="H399" s="12">
        <v>1.49E-2</v>
      </c>
      <c r="I399" s="13">
        <v>130</v>
      </c>
      <c r="J399" s="497">
        <f t="shared" si="15"/>
        <v>1.9370000000000001</v>
      </c>
    </row>
    <row r="400" spans="1:11" ht="25.5">
      <c r="A400" s="496" t="s">
        <v>105</v>
      </c>
      <c r="B400" s="11" t="s">
        <v>280</v>
      </c>
      <c r="C400" s="11" t="s">
        <v>24</v>
      </c>
      <c r="D400" s="24" t="s">
        <v>281</v>
      </c>
      <c r="E400" s="1087" t="s">
        <v>108</v>
      </c>
      <c r="F400" s="1087"/>
      <c r="G400" s="11" t="s">
        <v>76</v>
      </c>
      <c r="H400" s="12">
        <v>0.2</v>
      </c>
      <c r="I400" s="13">
        <v>3.73</v>
      </c>
      <c r="J400" s="497">
        <f t="shared" si="15"/>
        <v>0.746</v>
      </c>
    </row>
    <row r="401" spans="1:11" ht="25.5">
      <c r="A401" s="496" t="s">
        <v>105</v>
      </c>
      <c r="B401" s="11" t="s">
        <v>282</v>
      </c>
      <c r="C401" s="11" t="s">
        <v>24</v>
      </c>
      <c r="D401" s="24" t="s">
        <v>283</v>
      </c>
      <c r="E401" s="1087" t="s">
        <v>108</v>
      </c>
      <c r="F401" s="1087"/>
      <c r="G401" s="11" t="s">
        <v>76</v>
      </c>
      <c r="H401" s="12">
        <v>8.3299999999999999E-2</v>
      </c>
      <c r="I401" s="13">
        <v>17.670000000000002</v>
      </c>
      <c r="J401" s="497">
        <f t="shared" si="15"/>
        <v>1.4719110000000002</v>
      </c>
    </row>
    <row r="402" spans="1:11" ht="38.25">
      <c r="A402" s="496" t="s">
        <v>105</v>
      </c>
      <c r="B402" s="11" t="s">
        <v>284</v>
      </c>
      <c r="C402" s="11" t="s">
        <v>24</v>
      </c>
      <c r="D402" s="24" t="s">
        <v>285</v>
      </c>
      <c r="E402" s="1087" t="s">
        <v>108</v>
      </c>
      <c r="F402" s="1087"/>
      <c r="G402" s="11" t="s">
        <v>28</v>
      </c>
      <c r="H402" s="12">
        <v>5.6300000000000003E-2</v>
      </c>
      <c r="I402" s="13">
        <v>465</v>
      </c>
      <c r="J402" s="497">
        <f t="shared" si="15"/>
        <v>26.179500000000001</v>
      </c>
      <c r="K402" t="s">
        <v>684</v>
      </c>
    </row>
    <row r="403" spans="1:11" ht="15" customHeight="1">
      <c r="A403" s="498"/>
      <c r="B403" s="20"/>
      <c r="C403" s="20"/>
      <c r="D403" s="499"/>
      <c r="E403" s="499" t="s">
        <v>116</v>
      </c>
      <c r="F403" s="500">
        <v>8.77</v>
      </c>
      <c r="G403" s="499" t="s">
        <v>117</v>
      </c>
      <c r="H403" s="500">
        <v>0</v>
      </c>
      <c r="I403" s="499" t="s">
        <v>118</v>
      </c>
      <c r="J403" s="501">
        <v>8.77</v>
      </c>
    </row>
    <row r="404" spans="1:11" ht="15" customHeight="1">
      <c r="A404" s="498"/>
      <c r="B404" s="20"/>
      <c r="C404" s="20"/>
      <c r="D404" s="499"/>
      <c r="E404" s="499" t="s">
        <v>119</v>
      </c>
      <c r="F404" s="500">
        <f>J404-J396</f>
        <v>8.7342799166999967</v>
      </c>
      <c r="G404" s="499"/>
      <c r="H404" s="1082" t="s">
        <v>120</v>
      </c>
      <c r="I404" s="1082"/>
      <c r="J404" s="501">
        <f>J396*(1+G2)</f>
        <v>50.385590916699996</v>
      </c>
    </row>
    <row r="405" spans="1:11" ht="15" customHeight="1" thickBot="1">
      <c r="A405" s="503"/>
      <c r="B405" s="666"/>
      <c r="C405" s="666"/>
      <c r="D405" s="14"/>
      <c r="E405" s="14"/>
      <c r="F405" s="14"/>
      <c r="G405" s="14" t="s">
        <v>121</v>
      </c>
      <c r="H405" s="504">
        <f>'OBRA 04 - MEMÓRIA'!O77</f>
        <v>825.43000000000006</v>
      </c>
      <c r="I405" s="14" t="s">
        <v>122</v>
      </c>
      <c r="J405" s="505">
        <f>TRUNC(J404*H405,2)</f>
        <v>41589.769999999997</v>
      </c>
    </row>
    <row r="406" spans="1:11" ht="15.6" customHeight="1" thickTop="1">
      <c r="A406" s="506"/>
      <c r="B406" s="230"/>
      <c r="C406" s="230"/>
      <c r="D406" s="15"/>
      <c r="E406" s="15"/>
      <c r="F406" s="15"/>
      <c r="G406" s="15"/>
      <c r="H406" s="15"/>
      <c r="I406" s="15"/>
      <c r="J406" s="507"/>
    </row>
    <row r="407" spans="1:11" ht="15" customHeight="1">
      <c r="A407" s="518" t="s">
        <v>80</v>
      </c>
      <c r="B407" s="229"/>
      <c r="C407" s="229"/>
      <c r="D407" s="25" t="s">
        <v>81</v>
      </c>
      <c r="E407" s="25"/>
      <c r="F407" s="1090"/>
      <c r="G407" s="1090"/>
      <c r="H407" s="1"/>
      <c r="I407" s="25"/>
      <c r="J407" s="519">
        <f>J421+J434+J444+J452</f>
        <v>138167.41999999998</v>
      </c>
    </row>
    <row r="408" spans="1:11" ht="15" customHeight="1">
      <c r="A408" s="490" t="s">
        <v>466</v>
      </c>
      <c r="B408" s="31" t="s">
        <v>7</v>
      </c>
      <c r="C408" s="31" t="s">
        <v>8</v>
      </c>
      <c r="D408" s="26" t="s">
        <v>9</v>
      </c>
      <c r="E408" s="1092" t="s">
        <v>92</v>
      </c>
      <c r="F408" s="1092"/>
      <c r="G408" s="31" t="s">
        <v>10</v>
      </c>
      <c r="H408" s="29" t="s">
        <v>11</v>
      </c>
      <c r="I408" s="29" t="s">
        <v>12</v>
      </c>
      <c r="J408" s="491" t="s">
        <v>14</v>
      </c>
    </row>
    <row r="409" spans="1:11" ht="25.5">
      <c r="A409" s="492" t="s">
        <v>93</v>
      </c>
      <c r="B409" s="4" t="s">
        <v>82</v>
      </c>
      <c r="C409" s="4" t="s">
        <v>24</v>
      </c>
      <c r="D409" s="27" t="s">
        <v>83</v>
      </c>
      <c r="E409" s="1079" t="s">
        <v>204</v>
      </c>
      <c r="F409" s="1079"/>
      <c r="G409" s="4" t="s">
        <v>21</v>
      </c>
      <c r="H409" s="5">
        <v>1</v>
      </c>
      <c r="I409" s="6">
        <v>82.46</v>
      </c>
      <c r="J409" s="493">
        <f>SUM(J410:J418)</f>
        <v>81.545006000000001</v>
      </c>
    </row>
    <row r="410" spans="1:11" ht="25.5">
      <c r="A410" s="494" t="s">
        <v>95</v>
      </c>
      <c r="B410" s="8" t="s">
        <v>237</v>
      </c>
      <c r="C410" s="8" t="s">
        <v>24</v>
      </c>
      <c r="D410" s="23" t="s">
        <v>238</v>
      </c>
      <c r="E410" s="1080" t="s">
        <v>101</v>
      </c>
      <c r="F410" s="1080"/>
      <c r="G410" s="8" t="s">
        <v>102</v>
      </c>
      <c r="H410" s="9">
        <v>0.3725</v>
      </c>
      <c r="I410" s="10">
        <v>26.26</v>
      </c>
      <c r="J410" s="495">
        <f>I410*H410</f>
        <v>9.7818500000000004</v>
      </c>
    </row>
    <row r="411" spans="1:11" ht="25.5">
      <c r="A411" s="494" t="s">
        <v>95</v>
      </c>
      <c r="B411" s="8" t="s">
        <v>103</v>
      </c>
      <c r="C411" s="8" t="s">
        <v>24</v>
      </c>
      <c r="D411" s="23" t="s">
        <v>104</v>
      </c>
      <c r="E411" s="1080" t="s">
        <v>101</v>
      </c>
      <c r="F411" s="1080"/>
      <c r="G411" s="8" t="s">
        <v>102</v>
      </c>
      <c r="H411" s="9">
        <v>0.3725</v>
      </c>
      <c r="I411" s="10">
        <v>21.05</v>
      </c>
      <c r="J411" s="495">
        <f t="shared" ref="J411:J418" si="16">I411*H411</f>
        <v>7.8411249999999999</v>
      </c>
    </row>
    <row r="412" spans="1:11" ht="15" customHeight="1">
      <c r="A412" s="494" t="s">
        <v>95</v>
      </c>
      <c r="B412" s="8" t="s">
        <v>239</v>
      </c>
      <c r="C412" s="8" t="s">
        <v>24</v>
      </c>
      <c r="D412" s="23" t="s">
        <v>240</v>
      </c>
      <c r="E412" s="1080" t="s">
        <v>125</v>
      </c>
      <c r="F412" s="1080"/>
      <c r="G412" s="8" t="s">
        <v>126</v>
      </c>
      <c r="H412" s="9">
        <v>4.1000000000000003E-3</v>
      </c>
      <c r="I412" s="10">
        <v>9.94</v>
      </c>
      <c r="J412" s="495">
        <f t="shared" si="16"/>
        <v>4.0753999999999999E-2</v>
      </c>
    </row>
    <row r="413" spans="1:11" ht="38.25">
      <c r="A413" s="494" t="s">
        <v>95</v>
      </c>
      <c r="B413" s="8" t="s">
        <v>241</v>
      </c>
      <c r="C413" s="8" t="s">
        <v>24</v>
      </c>
      <c r="D413" s="23" t="s">
        <v>242</v>
      </c>
      <c r="E413" s="1080" t="s">
        <v>125</v>
      </c>
      <c r="F413" s="1080"/>
      <c r="G413" s="8" t="s">
        <v>129</v>
      </c>
      <c r="H413" s="9">
        <v>0.18210000000000001</v>
      </c>
      <c r="I413" s="10">
        <v>0.71</v>
      </c>
      <c r="J413" s="495">
        <f t="shared" si="16"/>
        <v>0.12929099999999999</v>
      </c>
    </row>
    <row r="414" spans="1:11" ht="51">
      <c r="A414" s="494" t="s">
        <v>95</v>
      </c>
      <c r="B414" s="8" t="s">
        <v>132</v>
      </c>
      <c r="C414" s="8" t="s">
        <v>24</v>
      </c>
      <c r="D414" s="23" t="s">
        <v>133</v>
      </c>
      <c r="E414" s="1080" t="s">
        <v>125</v>
      </c>
      <c r="F414" s="1080"/>
      <c r="G414" s="8" t="s">
        <v>126</v>
      </c>
      <c r="H414" s="9">
        <v>4.9099999999999998E-2</v>
      </c>
      <c r="I414" s="10">
        <v>10.55</v>
      </c>
      <c r="J414" s="495">
        <f t="shared" si="16"/>
        <v>0.51800500000000005</v>
      </c>
    </row>
    <row r="415" spans="1:11" ht="51">
      <c r="A415" s="494" t="s">
        <v>95</v>
      </c>
      <c r="B415" s="8" t="s">
        <v>134</v>
      </c>
      <c r="C415" s="8" t="s">
        <v>24</v>
      </c>
      <c r="D415" s="23" t="s">
        <v>135</v>
      </c>
      <c r="E415" s="1080" t="s">
        <v>125</v>
      </c>
      <c r="F415" s="1080"/>
      <c r="G415" s="8" t="s">
        <v>129</v>
      </c>
      <c r="H415" s="9">
        <v>0.1371</v>
      </c>
      <c r="I415" s="10">
        <v>0.97</v>
      </c>
      <c r="J415" s="495">
        <f t="shared" si="16"/>
        <v>0.13298699999999999</v>
      </c>
    </row>
    <row r="416" spans="1:11" ht="25.5">
      <c r="A416" s="496" t="s">
        <v>105</v>
      </c>
      <c r="B416" s="11" t="s">
        <v>243</v>
      </c>
      <c r="C416" s="11" t="s">
        <v>24</v>
      </c>
      <c r="D416" s="24" t="s">
        <v>244</v>
      </c>
      <c r="E416" s="1087" t="s">
        <v>108</v>
      </c>
      <c r="F416" s="1087"/>
      <c r="G416" s="11" t="s">
        <v>28</v>
      </c>
      <c r="H416" s="12">
        <v>5.6800000000000003E-2</v>
      </c>
      <c r="I416" s="13">
        <v>130</v>
      </c>
      <c r="J416" s="497">
        <f t="shared" si="16"/>
        <v>7.3840000000000003</v>
      </c>
    </row>
    <row r="417" spans="1:11">
      <c r="A417" s="496" t="s">
        <v>105</v>
      </c>
      <c r="B417" s="11" t="s">
        <v>245</v>
      </c>
      <c r="C417" s="11" t="s">
        <v>24</v>
      </c>
      <c r="D417" s="24" t="s">
        <v>246</v>
      </c>
      <c r="E417" s="1087" t="s">
        <v>108</v>
      </c>
      <c r="F417" s="1087"/>
      <c r="G417" s="11" t="s">
        <v>28</v>
      </c>
      <c r="H417" s="12">
        <v>9.7999999999999997E-3</v>
      </c>
      <c r="I417" s="13">
        <v>95.03</v>
      </c>
      <c r="J417" s="497">
        <f t="shared" si="16"/>
        <v>0.93129399999999996</v>
      </c>
    </row>
    <row r="418" spans="1:11" ht="38.25">
      <c r="A418" s="496" t="s">
        <v>105</v>
      </c>
      <c r="B418" s="11" t="s">
        <v>286</v>
      </c>
      <c r="C418" s="11" t="s">
        <v>24</v>
      </c>
      <c r="D418" s="24" t="s">
        <v>287</v>
      </c>
      <c r="E418" s="1087" t="s">
        <v>108</v>
      </c>
      <c r="F418" s="1087"/>
      <c r="G418" s="11" t="s">
        <v>21</v>
      </c>
      <c r="H418" s="12">
        <v>1.03</v>
      </c>
      <c r="I418" s="13">
        <v>53.19</v>
      </c>
      <c r="J418" s="497">
        <f t="shared" si="16"/>
        <v>54.785699999999999</v>
      </c>
    </row>
    <row r="419" spans="1:11">
      <c r="A419" s="498"/>
      <c r="B419" s="20"/>
      <c r="C419" s="20"/>
      <c r="D419" s="499"/>
      <c r="E419" s="499" t="s">
        <v>116</v>
      </c>
      <c r="F419" s="500">
        <v>13.64</v>
      </c>
      <c r="G419" s="499" t="s">
        <v>117</v>
      </c>
      <c r="H419" s="500">
        <v>0</v>
      </c>
      <c r="I419" s="499" t="s">
        <v>118</v>
      </c>
      <c r="J419" s="501">
        <v>13.64</v>
      </c>
    </row>
    <row r="420" spans="1:11" ht="15" customHeight="1">
      <c r="A420" s="498"/>
      <c r="B420" s="20"/>
      <c r="C420" s="20"/>
      <c r="D420" s="499"/>
      <c r="E420" s="499" t="s">
        <v>119</v>
      </c>
      <c r="F420" s="500">
        <f>J420-J409</f>
        <v>17.099987758200001</v>
      </c>
      <c r="G420" s="499"/>
      <c r="H420" s="1082" t="s">
        <v>120</v>
      </c>
      <c r="I420" s="1082"/>
      <c r="J420" s="501">
        <f>J409*(1+G2)</f>
        <v>98.644993758200002</v>
      </c>
      <c r="K420" t="s">
        <v>632</v>
      </c>
    </row>
    <row r="421" spans="1:11" ht="15" customHeight="1" thickBot="1">
      <c r="A421" s="503"/>
      <c r="B421" s="666"/>
      <c r="C421" s="666"/>
      <c r="D421" s="14"/>
      <c r="E421" s="14"/>
      <c r="F421" s="14"/>
      <c r="G421" s="14" t="s">
        <v>121</v>
      </c>
      <c r="H421" s="504">
        <f>'OBRA 04 - MEMÓRIA'!O82</f>
        <v>170.57</v>
      </c>
      <c r="I421" s="14" t="s">
        <v>122</v>
      </c>
      <c r="J421" s="505">
        <f>TRUNC(J420*H421,2)</f>
        <v>16825.87</v>
      </c>
    </row>
    <row r="422" spans="1:11" ht="15" customHeight="1" thickTop="1">
      <c r="A422" s="506"/>
      <c r="B422" s="230"/>
      <c r="C422" s="230"/>
      <c r="D422" s="15"/>
      <c r="E422" s="15"/>
      <c r="F422" s="15"/>
      <c r="G422" s="15"/>
      <c r="H422" s="15"/>
      <c r="I422" s="15"/>
      <c r="J422" s="507"/>
    </row>
    <row r="423" spans="1:11" ht="15" customHeight="1">
      <c r="A423" s="490" t="s">
        <v>469</v>
      </c>
      <c r="B423" s="31" t="s">
        <v>7</v>
      </c>
      <c r="C423" s="31" t="s">
        <v>8</v>
      </c>
      <c r="D423" s="26" t="s">
        <v>9</v>
      </c>
      <c r="E423" s="1092" t="s">
        <v>92</v>
      </c>
      <c r="F423" s="1092"/>
      <c r="G423" s="31" t="s">
        <v>10</v>
      </c>
      <c r="H423" s="29" t="s">
        <v>11</v>
      </c>
      <c r="I423" s="29" t="s">
        <v>12</v>
      </c>
      <c r="J423" s="491" t="s">
        <v>14</v>
      </c>
    </row>
    <row r="424" spans="1:11" ht="38.25">
      <c r="A424" s="492" t="s">
        <v>93</v>
      </c>
      <c r="B424" s="4" t="s">
        <v>422</v>
      </c>
      <c r="C424" s="4" t="s">
        <v>24</v>
      </c>
      <c r="D424" s="27" t="s">
        <v>423</v>
      </c>
      <c r="E424" s="1079" t="s">
        <v>448</v>
      </c>
      <c r="F424" s="1079"/>
      <c r="G424" s="4" t="s">
        <v>21</v>
      </c>
      <c r="H424" s="5">
        <v>1</v>
      </c>
      <c r="I424" s="6">
        <v>78.73</v>
      </c>
      <c r="J424" s="493">
        <f>SUM(J425:J431)</f>
        <v>79.956769999999992</v>
      </c>
    </row>
    <row r="425" spans="1:11" ht="25.5">
      <c r="A425" s="494" t="s">
        <v>95</v>
      </c>
      <c r="B425" s="8" t="s">
        <v>99</v>
      </c>
      <c r="C425" s="8" t="s">
        <v>24</v>
      </c>
      <c r="D425" s="23" t="s">
        <v>100</v>
      </c>
      <c r="E425" s="1080" t="s">
        <v>101</v>
      </c>
      <c r="F425" s="1080"/>
      <c r="G425" s="8" t="s">
        <v>102</v>
      </c>
      <c r="H425" s="9">
        <v>9.7600000000000006E-2</v>
      </c>
      <c r="I425" s="10">
        <v>26.12</v>
      </c>
      <c r="J425" s="495">
        <f>I425*H425</f>
        <v>2.5493120000000005</v>
      </c>
    </row>
    <row r="426" spans="1:11" ht="25.5">
      <c r="A426" s="494" t="s">
        <v>95</v>
      </c>
      <c r="B426" s="8" t="s">
        <v>130</v>
      </c>
      <c r="C426" s="8" t="s">
        <v>24</v>
      </c>
      <c r="D426" s="23" t="s">
        <v>131</v>
      </c>
      <c r="E426" s="1080" t="s">
        <v>101</v>
      </c>
      <c r="F426" s="1080"/>
      <c r="G426" s="8" t="s">
        <v>102</v>
      </c>
      <c r="H426" s="9">
        <v>0.14829999999999999</v>
      </c>
      <c r="I426" s="10">
        <v>26.5</v>
      </c>
      <c r="J426" s="495">
        <f t="shared" ref="J426:J431" si="17">I426*H426</f>
        <v>3.9299499999999998</v>
      </c>
    </row>
    <row r="427" spans="1:11" ht="25.5">
      <c r="A427" s="494" t="s">
        <v>95</v>
      </c>
      <c r="B427" s="8" t="s">
        <v>103</v>
      </c>
      <c r="C427" s="8" t="s">
        <v>24</v>
      </c>
      <c r="D427" s="23" t="s">
        <v>104</v>
      </c>
      <c r="E427" s="1080" t="s">
        <v>101</v>
      </c>
      <c r="F427" s="1080"/>
      <c r="G427" s="8" t="s">
        <v>102</v>
      </c>
      <c r="H427" s="9">
        <v>0.24590000000000001</v>
      </c>
      <c r="I427" s="10">
        <v>21.05</v>
      </c>
      <c r="J427" s="495">
        <f t="shared" si="17"/>
        <v>5.1761950000000008</v>
      </c>
    </row>
    <row r="428" spans="1:11" ht="38.25">
      <c r="A428" s="494" t="s">
        <v>95</v>
      </c>
      <c r="B428" s="8" t="s">
        <v>449</v>
      </c>
      <c r="C428" s="8" t="s">
        <v>24</v>
      </c>
      <c r="D428" s="23" t="s">
        <v>450</v>
      </c>
      <c r="E428" s="1080" t="s">
        <v>98</v>
      </c>
      <c r="F428" s="1080"/>
      <c r="G428" s="8" t="s">
        <v>28</v>
      </c>
      <c r="H428" s="9">
        <v>7.3899999999999993E-2</v>
      </c>
      <c r="I428" s="10">
        <v>483.67</v>
      </c>
      <c r="J428" s="495">
        <f t="shared" si="17"/>
        <v>35.743212999999997</v>
      </c>
      <c r="K428">
        <v>96.723704669</v>
      </c>
    </row>
    <row r="429" spans="1:11" ht="25.5">
      <c r="A429" s="496" t="s">
        <v>105</v>
      </c>
      <c r="B429" s="11" t="s">
        <v>280</v>
      </c>
      <c r="C429" s="11" t="s">
        <v>24</v>
      </c>
      <c r="D429" s="24" t="s">
        <v>281</v>
      </c>
      <c r="E429" s="1087" t="s">
        <v>108</v>
      </c>
      <c r="F429" s="1087"/>
      <c r="G429" s="11" t="s">
        <v>76</v>
      </c>
      <c r="H429" s="12">
        <v>0.45</v>
      </c>
      <c r="I429" s="13">
        <v>3.73</v>
      </c>
      <c r="J429" s="497">
        <f t="shared" si="17"/>
        <v>1.6785000000000001</v>
      </c>
    </row>
    <row r="430" spans="1:11">
      <c r="A430" s="496" t="s">
        <v>105</v>
      </c>
      <c r="B430" s="11" t="s">
        <v>451</v>
      </c>
      <c r="C430" s="11" t="s">
        <v>24</v>
      </c>
      <c r="D430" s="24" t="s">
        <v>452</v>
      </c>
      <c r="E430" s="1087" t="s">
        <v>108</v>
      </c>
      <c r="F430" s="1087"/>
      <c r="G430" s="11" t="s">
        <v>113</v>
      </c>
      <c r="H430" s="12">
        <v>2.4E-2</v>
      </c>
      <c r="I430" s="13">
        <v>15.77</v>
      </c>
      <c r="J430" s="497">
        <f t="shared" si="17"/>
        <v>0.37847999999999998</v>
      </c>
    </row>
    <row r="431" spans="1:11" ht="38.25">
      <c r="A431" s="496" t="s">
        <v>105</v>
      </c>
      <c r="B431" s="11" t="s">
        <v>453</v>
      </c>
      <c r="C431" s="11" t="s">
        <v>24</v>
      </c>
      <c r="D431" s="24" t="s">
        <v>454</v>
      </c>
      <c r="E431" s="1087" t="s">
        <v>108</v>
      </c>
      <c r="F431" s="1087"/>
      <c r="G431" s="11" t="s">
        <v>21</v>
      </c>
      <c r="H431" s="12">
        <v>1.0815999999999999</v>
      </c>
      <c r="I431" s="13">
        <v>28.2</v>
      </c>
      <c r="J431" s="497">
        <f t="shared" si="17"/>
        <v>30.501119999999997</v>
      </c>
    </row>
    <row r="432" spans="1:11">
      <c r="A432" s="498"/>
      <c r="B432" s="20"/>
      <c r="C432" s="20"/>
      <c r="D432" s="499"/>
      <c r="E432" s="499" t="s">
        <v>116</v>
      </c>
      <c r="F432" s="500">
        <v>14.78</v>
      </c>
      <c r="G432" s="499" t="s">
        <v>117</v>
      </c>
      <c r="H432" s="500">
        <v>0</v>
      </c>
      <c r="I432" s="499" t="s">
        <v>118</v>
      </c>
      <c r="J432" s="501">
        <v>14.78</v>
      </c>
    </row>
    <row r="433" spans="1:11" ht="15" customHeight="1">
      <c r="A433" s="498"/>
      <c r="B433" s="20"/>
      <c r="C433" s="20"/>
      <c r="D433" s="499"/>
      <c r="E433" s="499" t="s">
        <v>119</v>
      </c>
      <c r="F433" s="500">
        <f>J433-J424</f>
        <v>16.766934668999994</v>
      </c>
      <c r="G433" s="499"/>
      <c r="H433" s="1082" t="s">
        <v>120</v>
      </c>
      <c r="I433" s="1082"/>
      <c r="J433" s="521">
        <f>J424*(1+G2)</f>
        <v>96.723704668999986</v>
      </c>
    </row>
    <row r="434" spans="1:11" ht="15" customHeight="1" thickBot="1">
      <c r="A434" s="503"/>
      <c r="B434" s="666"/>
      <c r="C434" s="666"/>
      <c r="D434" s="14"/>
      <c r="E434" s="14"/>
      <c r="F434" s="14"/>
      <c r="G434" s="14" t="s">
        <v>121</v>
      </c>
      <c r="H434" s="504">
        <f>'OBRA 04 - MEMÓRIA'!O84</f>
        <v>1242.79</v>
      </c>
      <c r="I434" s="14" t="s">
        <v>122</v>
      </c>
      <c r="J434" s="505">
        <f>TRUNC(J433*H434,2)</f>
        <v>120207.25</v>
      </c>
    </row>
    <row r="435" spans="1:11" ht="15" customHeight="1" thickTop="1">
      <c r="A435" s="506"/>
      <c r="B435" s="230"/>
      <c r="C435" s="230"/>
      <c r="D435" s="15"/>
      <c r="E435" s="15"/>
      <c r="F435" s="15"/>
      <c r="G435" s="15"/>
      <c r="H435" s="15"/>
      <c r="I435" s="15"/>
      <c r="J435" s="507"/>
    </row>
    <row r="436" spans="1:11" ht="15" customHeight="1">
      <c r="A436" s="490" t="s">
        <v>470</v>
      </c>
      <c r="B436" s="31" t="s">
        <v>7</v>
      </c>
      <c r="C436" s="31" t="s">
        <v>8</v>
      </c>
      <c r="D436" s="26" t="s">
        <v>9</v>
      </c>
      <c r="E436" s="1092" t="s">
        <v>92</v>
      </c>
      <c r="F436" s="1092"/>
      <c r="G436" s="31" t="s">
        <v>10</v>
      </c>
      <c r="H436" s="29" t="s">
        <v>11</v>
      </c>
      <c r="I436" s="29" t="s">
        <v>12</v>
      </c>
      <c r="J436" s="491" t="s">
        <v>14</v>
      </c>
    </row>
    <row r="437" spans="1:11" ht="51">
      <c r="A437" s="492" t="s">
        <v>93</v>
      </c>
      <c r="B437" s="4" t="s">
        <v>42</v>
      </c>
      <c r="C437" s="4" t="s">
        <v>24</v>
      </c>
      <c r="D437" s="27" t="s">
        <v>667</v>
      </c>
      <c r="E437" s="1079" t="s">
        <v>184</v>
      </c>
      <c r="F437" s="1079"/>
      <c r="G437" s="4" t="s">
        <v>28</v>
      </c>
      <c r="H437" s="5">
        <v>1</v>
      </c>
      <c r="I437" s="6">
        <v>7.67</v>
      </c>
      <c r="J437" s="493">
        <f>SUM(J438:J441)</f>
        <v>7.8073019999999991</v>
      </c>
    </row>
    <row r="438" spans="1:11" ht="51">
      <c r="A438" s="494" t="s">
        <v>95</v>
      </c>
      <c r="B438" s="8" t="s">
        <v>185</v>
      </c>
      <c r="C438" s="8" t="s">
        <v>24</v>
      </c>
      <c r="D438" s="23" t="s">
        <v>186</v>
      </c>
      <c r="E438" s="1080" t="s">
        <v>125</v>
      </c>
      <c r="F438" s="1080"/>
      <c r="G438" s="8" t="s">
        <v>126</v>
      </c>
      <c r="H438" s="9">
        <v>2.2499999999999999E-2</v>
      </c>
      <c r="I438" s="10">
        <v>186.94</v>
      </c>
      <c r="J438" s="495">
        <f>I438*H438</f>
        <v>4.2061500000000001</v>
      </c>
      <c r="K438" t="s">
        <v>632</v>
      </c>
    </row>
    <row r="439" spans="1:11" ht="51">
      <c r="A439" s="494" t="s">
        <v>95</v>
      </c>
      <c r="B439" s="8" t="s">
        <v>187</v>
      </c>
      <c r="C439" s="8" t="s">
        <v>24</v>
      </c>
      <c r="D439" s="23" t="s">
        <v>188</v>
      </c>
      <c r="E439" s="1080" t="s">
        <v>125</v>
      </c>
      <c r="F439" s="1080"/>
      <c r="G439" s="8" t="s">
        <v>129</v>
      </c>
      <c r="H439" s="9">
        <v>1.8499999999999999E-2</v>
      </c>
      <c r="I439" s="10">
        <v>62.47</v>
      </c>
      <c r="J439" s="495">
        <f t="shared" ref="J439:J441" si="18">I439*H439</f>
        <v>1.1556949999999999</v>
      </c>
    </row>
    <row r="440" spans="1:11" ht="25.5">
      <c r="A440" s="494" t="s">
        <v>95</v>
      </c>
      <c r="B440" s="8" t="s">
        <v>200</v>
      </c>
      <c r="C440" s="8" t="s">
        <v>24</v>
      </c>
      <c r="D440" s="23" t="s">
        <v>201</v>
      </c>
      <c r="E440" s="1080" t="s">
        <v>125</v>
      </c>
      <c r="F440" s="1080"/>
      <c r="G440" s="8" t="s">
        <v>126</v>
      </c>
      <c r="H440" s="9">
        <v>4.1999999999999997E-3</v>
      </c>
      <c r="I440" s="10">
        <v>257.7</v>
      </c>
      <c r="J440" s="495">
        <f t="shared" si="18"/>
        <v>1.0823399999999999</v>
      </c>
    </row>
    <row r="441" spans="1:11" ht="25.5">
      <c r="A441" s="494" t="s">
        <v>95</v>
      </c>
      <c r="B441" s="8" t="s">
        <v>202</v>
      </c>
      <c r="C441" s="8" t="s">
        <v>24</v>
      </c>
      <c r="D441" s="23" t="s">
        <v>203</v>
      </c>
      <c r="E441" s="1080" t="s">
        <v>125</v>
      </c>
      <c r="F441" s="1080"/>
      <c r="G441" s="8" t="s">
        <v>129</v>
      </c>
      <c r="H441" s="9">
        <v>1.3299999999999999E-2</v>
      </c>
      <c r="I441" s="10">
        <v>102.49</v>
      </c>
      <c r="J441" s="495">
        <f t="shared" si="18"/>
        <v>1.3631169999999999</v>
      </c>
    </row>
    <row r="442" spans="1:11">
      <c r="A442" s="498"/>
      <c r="B442" s="20"/>
      <c r="C442" s="20"/>
      <c r="D442" s="499"/>
      <c r="E442" s="499" t="s">
        <v>116</v>
      </c>
      <c r="F442" s="500">
        <v>1.4</v>
      </c>
      <c r="G442" s="499" t="s">
        <v>117</v>
      </c>
      <c r="H442" s="500">
        <v>0</v>
      </c>
      <c r="I442" s="499" t="s">
        <v>118</v>
      </c>
      <c r="J442" s="501">
        <v>1.4</v>
      </c>
    </row>
    <row r="443" spans="1:11" ht="15" customHeight="1">
      <c r="A443" s="498"/>
      <c r="B443" s="20"/>
      <c r="C443" s="20"/>
      <c r="D443" s="499"/>
      <c r="E443" s="499" t="s">
        <v>119</v>
      </c>
      <c r="F443" s="500">
        <f>J443-J437</f>
        <v>1.6371912293999999</v>
      </c>
      <c r="G443" s="499"/>
      <c r="H443" s="1082" t="s">
        <v>120</v>
      </c>
      <c r="I443" s="1082"/>
      <c r="J443" s="501">
        <f>J437*(1+G2)</f>
        <v>9.444493229399999</v>
      </c>
    </row>
    <row r="444" spans="1:11" ht="26.25" thickBot="1">
      <c r="A444" s="503"/>
      <c r="B444" s="666"/>
      <c r="C444" s="666"/>
      <c r="D444" s="14"/>
      <c r="E444" s="14"/>
      <c r="F444" s="14"/>
      <c r="G444" s="14" t="s">
        <v>121</v>
      </c>
      <c r="H444" s="667">
        <f>'OBRA 04 - MEMÓRIA'!O87</f>
        <v>11.359961999999999</v>
      </c>
      <c r="I444" s="14" t="s">
        <v>122</v>
      </c>
      <c r="J444" s="505">
        <f>TRUNC(H444*J443,2)</f>
        <v>107.28</v>
      </c>
    </row>
    <row r="445" spans="1:11" ht="15" thickTop="1">
      <c r="A445" s="506"/>
      <c r="B445" s="230"/>
      <c r="C445" s="230"/>
      <c r="D445" s="15"/>
      <c r="E445" s="15"/>
      <c r="F445" s="15"/>
      <c r="G445" s="15"/>
      <c r="H445" s="15"/>
      <c r="I445" s="15"/>
      <c r="J445" s="507"/>
    </row>
    <row r="446" spans="1:11" ht="15">
      <c r="A446" s="490" t="s">
        <v>471</v>
      </c>
      <c r="B446" s="31" t="s">
        <v>7</v>
      </c>
      <c r="C446" s="31" t="s">
        <v>8</v>
      </c>
      <c r="D446" s="26" t="s">
        <v>9</v>
      </c>
      <c r="E446" s="1092" t="s">
        <v>92</v>
      </c>
      <c r="F446" s="1092"/>
      <c r="G446" s="31" t="s">
        <v>10</v>
      </c>
      <c r="H446" s="29" t="s">
        <v>11</v>
      </c>
      <c r="I446" s="29" t="s">
        <v>12</v>
      </c>
      <c r="J446" s="491" t="s">
        <v>14</v>
      </c>
    </row>
    <row r="447" spans="1:11" ht="25.5">
      <c r="A447" s="492" t="s">
        <v>93</v>
      </c>
      <c r="B447" s="4" t="s">
        <v>56</v>
      </c>
      <c r="C447" s="4" t="s">
        <v>24</v>
      </c>
      <c r="D447" s="27" t="s">
        <v>57</v>
      </c>
      <c r="E447" s="1079" t="s">
        <v>184</v>
      </c>
      <c r="F447" s="1079"/>
      <c r="G447" s="4" t="s">
        <v>36</v>
      </c>
      <c r="H447" s="5">
        <v>1</v>
      </c>
      <c r="I447" s="6">
        <v>2.46</v>
      </c>
      <c r="J447" s="493">
        <f>SUM(J448:J449)</f>
        <v>2.4911820000000002</v>
      </c>
    </row>
    <row r="448" spans="1:11" ht="51">
      <c r="A448" s="494" t="s">
        <v>95</v>
      </c>
      <c r="B448" s="8" t="s">
        <v>233</v>
      </c>
      <c r="C448" s="8" t="s">
        <v>24</v>
      </c>
      <c r="D448" s="23" t="s">
        <v>234</v>
      </c>
      <c r="E448" s="1080" t="s">
        <v>125</v>
      </c>
      <c r="F448" s="1080"/>
      <c r="G448" s="8" t="s">
        <v>126</v>
      </c>
      <c r="H448" s="9">
        <v>8.3000000000000001E-3</v>
      </c>
      <c r="I448" s="10">
        <v>268.74</v>
      </c>
      <c r="J448" s="495">
        <f>H448*I448</f>
        <v>2.2305420000000002</v>
      </c>
    </row>
    <row r="449" spans="1:11" ht="51">
      <c r="A449" s="494" t="s">
        <v>95</v>
      </c>
      <c r="B449" s="8" t="s">
        <v>235</v>
      </c>
      <c r="C449" s="8" t="s">
        <v>24</v>
      </c>
      <c r="D449" s="23" t="s">
        <v>236</v>
      </c>
      <c r="E449" s="1080" t="s">
        <v>125</v>
      </c>
      <c r="F449" s="1080"/>
      <c r="G449" s="8" t="s">
        <v>129</v>
      </c>
      <c r="H449" s="9">
        <v>3.5999999999999999E-3</v>
      </c>
      <c r="I449" s="10">
        <v>72.400000000000006</v>
      </c>
      <c r="J449" s="495">
        <f>H449*I449</f>
        <v>0.26064000000000004</v>
      </c>
      <c r="K449" t="s">
        <v>684</v>
      </c>
    </row>
    <row r="450" spans="1:11">
      <c r="A450" s="498"/>
      <c r="B450" s="20"/>
      <c r="C450" s="20"/>
      <c r="D450" s="499"/>
      <c r="E450" s="499" t="s">
        <v>116</v>
      </c>
      <c r="F450" s="500">
        <v>0.24000000000000002</v>
      </c>
      <c r="G450" s="499" t="s">
        <v>117</v>
      </c>
      <c r="H450" s="500">
        <v>0</v>
      </c>
      <c r="I450" s="499" t="s">
        <v>118</v>
      </c>
      <c r="J450" s="501">
        <v>0.24000000000000002</v>
      </c>
    </row>
    <row r="451" spans="1:11" ht="15" customHeight="1">
      <c r="A451" s="498"/>
      <c r="B451" s="20"/>
      <c r="C451" s="20"/>
      <c r="D451" s="499"/>
      <c r="E451" s="499" t="s">
        <v>119</v>
      </c>
      <c r="F451" s="500">
        <f>J451-J447</f>
        <v>0.52240086539999986</v>
      </c>
      <c r="G451" s="499"/>
      <c r="H451" s="1082" t="s">
        <v>120</v>
      </c>
      <c r="I451" s="1082"/>
      <c r="J451" s="501">
        <f>J447*(1+G2)</f>
        <v>3.0135828654000001</v>
      </c>
    </row>
    <row r="452" spans="1:11" ht="26.25" thickBot="1">
      <c r="A452" s="503"/>
      <c r="B452" s="666"/>
      <c r="C452" s="666"/>
      <c r="D452" s="14"/>
      <c r="E452" s="14"/>
      <c r="F452" s="14"/>
      <c r="G452" s="14" t="s">
        <v>121</v>
      </c>
      <c r="H452" s="504">
        <f>'OBRA 04 - MEMÓRIA'!O90</f>
        <v>340.79885999999999</v>
      </c>
      <c r="I452" s="14" t="s">
        <v>122</v>
      </c>
      <c r="J452" s="505">
        <f>TRUNC(H452*J451,2)</f>
        <v>1027.02</v>
      </c>
    </row>
    <row r="453" spans="1:11" ht="15" customHeight="1" thickTop="1">
      <c r="A453" s="506"/>
      <c r="B453" s="230"/>
      <c r="C453" s="230"/>
      <c r="D453" s="15"/>
      <c r="E453" s="15"/>
      <c r="F453" s="15"/>
      <c r="G453" s="15"/>
      <c r="H453" s="15"/>
      <c r="I453" s="15"/>
      <c r="J453" s="507"/>
    </row>
    <row r="454" spans="1:11" ht="15" customHeight="1">
      <c r="A454" s="518" t="s">
        <v>475</v>
      </c>
      <c r="B454" s="229"/>
      <c r="C454" s="229"/>
      <c r="D454" s="25" t="s">
        <v>329</v>
      </c>
      <c r="E454" s="25"/>
      <c r="F454" s="1090"/>
      <c r="G454" s="1090"/>
      <c r="H454" s="1"/>
      <c r="I454" s="25"/>
      <c r="J454" s="519">
        <f>J467</f>
        <v>29427.48</v>
      </c>
    </row>
    <row r="455" spans="1:11" ht="15" customHeight="1">
      <c r="A455" s="490" t="s">
        <v>85</v>
      </c>
      <c r="B455" s="31" t="s">
        <v>7</v>
      </c>
      <c r="C455" s="31" t="s">
        <v>8</v>
      </c>
      <c r="D455" s="26" t="s">
        <v>9</v>
      </c>
      <c r="E455" s="1092" t="s">
        <v>92</v>
      </c>
      <c r="F455" s="1092"/>
      <c r="G455" s="31" t="s">
        <v>10</v>
      </c>
      <c r="H455" s="29" t="s">
        <v>11</v>
      </c>
      <c r="I455" s="29" t="s">
        <v>12</v>
      </c>
      <c r="J455" s="491" t="s">
        <v>14</v>
      </c>
    </row>
    <row r="456" spans="1:11" ht="51">
      <c r="A456" s="492" t="s">
        <v>93</v>
      </c>
      <c r="B456" s="4" t="s">
        <v>330</v>
      </c>
      <c r="C456" s="4" t="s">
        <v>24</v>
      </c>
      <c r="D456" s="27" t="s">
        <v>331</v>
      </c>
      <c r="E456" s="1079" t="s">
        <v>346</v>
      </c>
      <c r="F456" s="1079"/>
      <c r="G456" s="4" t="s">
        <v>76</v>
      </c>
      <c r="H456" s="5">
        <v>1</v>
      </c>
      <c r="I456" s="6">
        <v>6.62</v>
      </c>
      <c r="J456" s="493">
        <f>SUM(J457:J464)</f>
        <v>6.3876930000000005</v>
      </c>
    </row>
    <row r="457" spans="1:11" ht="25.5">
      <c r="A457" s="494" t="s">
        <v>95</v>
      </c>
      <c r="B457" s="8" t="s">
        <v>347</v>
      </c>
      <c r="C457" s="8" t="s">
        <v>24</v>
      </c>
      <c r="D457" s="23" t="s">
        <v>348</v>
      </c>
      <c r="E457" s="1080" t="s">
        <v>101</v>
      </c>
      <c r="F457" s="1080"/>
      <c r="G457" s="8" t="s">
        <v>102</v>
      </c>
      <c r="H457" s="9">
        <v>3.4000000000000002E-2</v>
      </c>
      <c r="I457" s="10">
        <v>27.98</v>
      </c>
      <c r="J457" s="495">
        <f>I457*H457</f>
        <v>0.95132000000000005</v>
      </c>
    </row>
    <row r="458" spans="1:11" ht="25.5">
      <c r="A458" s="494" t="s">
        <v>95</v>
      </c>
      <c r="B458" s="8" t="s">
        <v>103</v>
      </c>
      <c r="C458" s="8" t="s">
        <v>24</v>
      </c>
      <c r="D458" s="23" t="s">
        <v>104</v>
      </c>
      <c r="E458" s="1080" t="s">
        <v>101</v>
      </c>
      <c r="F458" s="1080"/>
      <c r="G458" s="8" t="s">
        <v>102</v>
      </c>
      <c r="H458" s="9">
        <v>1.4E-2</v>
      </c>
      <c r="I458" s="10">
        <v>21.05</v>
      </c>
      <c r="J458" s="495">
        <f t="shared" ref="J458:J464" si="19">I458*H458</f>
        <v>0.29470000000000002</v>
      </c>
    </row>
    <row r="459" spans="1:11" ht="25.5">
      <c r="A459" s="494" t="s">
        <v>95</v>
      </c>
      <c r="B459" s="8" t="s">
        <v>349</v>
      </c>
      <c r="C459" s="8" t="s">
        <v>24</v>
      </c>
      <c r="D459" s="23" t="s">
        <v>350</v>
      </c>
      <c r="E459" s="1080" t="s">
        <v>125</v>
      </c>
      <c r="F459" s="1080"/>
      <c r="G459" s="8" t="s">
        <v>126</v>
      </c>
      <c r="H459" s="9">
        <v>2.9999999999999997E-4</v>
      </c>
      <c r="I459" s="10">
        <v>187.61</v>
      </c>
      <c r="J459" s="495">
        <f t="shared" si="19"/>
        <v>5.6283E-2</v>
      </c>
    </row>
    <row r="460" spans="1:11" ht="25.5">
      <c r="A460" s="494" t="s">
        <v>95</v>
      </c>
      <c r="B460" s="8" t="s">
        <v>351</v>
      </c>
      <c r="C460" s="8" t="s">
        <v>24</v>
      </c>
      <c r="D460" s="23" t="s">
        <v>352</v>
      </c>
      <c r="E460" s="1080" t="s">
        <v>125</v>
      </c>
      <c r="F460" s="1080"/>
      <c r="G460" s="8" t="s">
        <v>129</v>
      </c>
      <c r="H460" s="9">
        <v>3.3399999999999999E-2</v>
      </c>
      <c r="I460" s="10">
        <v>99</v>
      </c>
      <c r="J460" s="495">
        <f t="shared" si="19"/>
        <v>3.3066</v>
      </c>
    </row>
    <row r="461" spans="1:11">
      <c r="A461" s="496" t="s">
        <v>105</v>
      </c>
      <c r="B461" s="11" t="s">
        <v>353</v>
      </c>
      <c r="C461" s="11" t="s">
        <v>24</v>
      </c>
      <c r="D461" s="24" t="s">
        <v>354</v>
      </c>
      <c r="E461" s="1087" t="s">
        <v>108</v>
      </c>
      <c r="F461" s="1087"/>
      <c r="G461" s="11" t="s">
        <v>288</v>
      </c>
      <c r="H461" s="12">
        <v>2E-3</v>
      </c>
      <c r="I461" s="13">
        <v>25.98</v>
      </c>
      <c r="J461" s="497">
        <f t="shared" si="19"/>
        <v>5.1959999999999999E-2</v>
      </c>
    </row>
    <row r="462" spans="1:11" ht="25.5">
      <c r="A462" s="496" t="s">
        <v>105</v>
      </c>
      <c r="B462" s="11" t="s">
        <v>355</v>
      </c>
      <c r="C462" s="11" t="s">
        <v>24</v>
      </c>
      <c r="D462" s="24" t="s">
        <v>356</v>
      </c>
      <c r="E462" s="1087" t="s">
        <v>108</v>
      </c>
      <c r="F462" s="1087"/>
      <c r="G462" s="11" t="s">
        <v>288</v>
      </c>
      <c r="H462" s="12">
        <v>4.2999999999999997E-2</v>
      </c>
      <c r="I462" s="13">
        <v>32.49</v>
      </c>
      <c r="J462" s="497">
        <f t="shared" si="19"/>
        <v>1.39707</v>
      </c>
    </row>
    <row r="463" spans="1:11" ht="25.5">
      <c r="A463" s="496" t="s">
        <v>105</v>
      </c>
      <c r="B463" s="11" t="s">
        <v>357</v>
      </c>
      <c r="C463" s="11" t="s">
        <v>24</v>
      </c>
      <c r="D463" s="24" t="s">
        <v>358</v>
      </c>
      <c r="E463" s="1087" t="s">
        <v>108</v>
      </c>
      <c r="F463" s="1087"/>
      <c r="G463" s="11" t="s">
        <v>113</v>
      </c>
      <c r="H463" s="12">
        <v>2.5000000000000001E-2</v>
      </c>
      <c r="I463" s="13">
        <v>9.16</v>
      </c>
      <c r="J463" s="497">
        <f t="shared" si="19"/>
        <v>0.22900000000000001</v>
      </c>
    </row>
    <row r="464" spans="1:11" ht="25.5">
      <c r="A464" s="496" t="s">
        <v>105</v>
      </c>
      <c r="B464" s="11" t="s">
        <v>359</v>
      </c>
      <c r="C464" s="11" t="s">
        <v>24</v>
      </c>
      <c r="D464" s="24" t="s">
        <v>360</v>
      </c>
      <c r="E464" s="1087" t="s">
        <v>108</v>
      </c>
      <c r="F464" s="1087"/>
      <c r="G464" s="11" t="s">
        <v>113</v>
      </c>
      <c r="H464" s="12">
        <v>1.0999999999999999E-2</v>
      </c>
      <c r="I464" s="13">
        <v>9.16</v>
      </c>
      <c r="J464" s="497">
        <f t="shared" si="19"/>
        <v>0.10076</v>
      </c>
      <c r="K464" t="s">
        <v>684</v>
      </c>
    </row>
    <row r="465" spans="1:10">
      <c r="A465" s="498"/>
      <c r="B465" s="20"/>
      <c r="C465" s="20"/>
      <c r="D465" s="499"/>
      <c r="E465" s="499" t="s">
        <v>116</v>
      </c>
      <c r="F465" s="500">
        <v>1.92</v>
      </c>
      <c r="G465" s="499" t="s">
        <v>117</v>
      </c>
      <c r="H465" s="500">
        <v>0</v>
      </c>
      <c r="I465" s="499" t="s">
        <v>118</v>
      </c>
      <c r="J465" s="501">
        <v>1.92</v>
      </c>
    </row>
    <row r="466" spans="1:10" ht="15" customHeight="1">
      <c r="A466" s="498"/>
      <c r="B466" s="20"/>
      <c r="C466" s="20"/>
      <c r="D466" s="499"/>
      <c r="E466" s="499" t="s">
        <v>119</v>
      </c>
      <c r="F466" s="500">
        <f>J466-J456</f>
        <v>1.3394992220999997</v>
      </c>
      <c r="G466" s="499"/>
      <c r="H466" s="1082" t="s">
        <v>120</v>
      </c>
      <c r="I466" s="1082"/>
      <c r="J466" s="501">
        <f>J456*(1+G2)</f>
        <v>7.7271922221000002</v>
      </c>
    </row>
    <row r="467" spans="1:10" ht="15" customHeight="1" thickBot="1">
      <c r="A467" s="503"/>
      <c r="B467" s="666"/>
      <c r="C467" s="666"/>
      <c r="D467" s="14"/>
      <c r="E467" s="14"/>
      <c r="F467" s="14"/>
      <c r="G467" s="14" t="s">
        <v>121</v>
      </c>
      <c r="H467" s="504">
        <f>'OBRA 04 - MEMÓRIA'!O93</f>
        <v>3808.3028571428567</v>
      </c>
      <c r="I467" s="14" t="s">
        <v>122</v>
      </c>
      <c r="J467" s="505">
        <f>TRUNC(H467*J466,2)</f>
        <v>29427.48</v>
      </c>
    </row>
    <row r="468" spans="1:10" ht="15" customHeight="1" thickTop="1">
      <c r="A468" s="506"/>
      <c r="B468" s="230"/>
      <c r="C468" s="230"/>
      <c r="D468" s="15"/>
      <c r="E468" s="15"/>
      <c r="F468" s="15"/>
      <c r="G468" s="15"/>
      <c r="H468" s="15"/>
      <c r="I468" s="15"/>
      <c r="J468" s="507"/>
    </row>
    <row r="469" spans="1:10" ht="15" customHeight="1">
      <c r="A469" s="518" t="s">
        <v>482</v>
      </c>
      <c r="B469" s="229"/>
      <c r="C469" s="229"/>
      <c r="D469" s="25" t="s">
        <v>87</v>
      </c>
      <c r="E469" s="25"/>
      <c r="F469" s="1090"/>
      <c r="G469" s="1090"/>
      <c r="H469" s="1"/>
      <c r="I469" s="25"/>
      <c r="J469" s="519">
        <f>J480</f>
        <v>89351.89</v>
      </c>
    </row>
    <row r="470" spans="1:10" ht="15" customHeight="1">
      <c r="A470" s="490" t="s">
        <v>376</v>
      </c>
      <c r="B470" s="31" t="s">
        <v>7</v>
      </c>
      <c r="C470" s="31" t="s">
        <v>8</v>
      </c>
      <c r="D470" s="26" t="s">
        <v>9</v>
      </c>
      <c r="E470" s="1092" t="s">
        <v>92</v>
      </c>
      <c r="F470" s="1092"/>
      <c r="G470" s="31" t="s">
        <v>10</v>
      </c>
      <c r="H470" s="29" t="s">
        <v>11</v>
      </c>
      <c r="I470" s="29" t="s">
        <v>12</v>
      </c>
      <c r="J470" s="491" t="s">
        <v>14</v>
      </c>
    </row>
    <row r="471" spans="1:10" ht="15" customHeight="1">
      <c r="A471" s="492" t="s">
        <v>93</v>
      </c>
      <c r="B471" s="4" t="s">
        <v>88</v>
      </c>
      <c r="C471" s="4" t="s">
        <v>19</v>
      </c>
      <c r="D471" s="27" t="s">
        <v>89</v>
      </c>
      <c r="E471" s="1079" t="s">
        <v>101</v>
      </c>
      <c r="F471" s="1079"/>
      <c r="G471" s="4" t="s">
        <v>90</v>
      </c>
      <c r="H471" s="5">
        <v>1</v>
      </c>
      <c r="I471" s="6">
        <v>50804.55</v>
      </c>
      <c r="J471" s="493">
        <f>SUM(J472:J477)</f>
        <v>50939.899999999994</v>
      </c>
    </row>
    <row r="472" spans="1:10" ht="30" customHeight="1">
      <c r="A472" s="494" t="s">
        <v>95</v>
      </c>
      <c r="B472" s="8" t="s">
        <v>289</v>
      </c>
      <c r="C472" s="8" t="s">
        <v>24</v>
      </c>
      <c r="D472" s="23" t="s">
        <v>290</v>
      </c>
      <c r="E472" s="1080" t="s">
        <v>101</v>
      </c>
      <c r="F472" s="1080"/>
      <c r="G472" s="8" t="s">
        <v>291</v>
      </c>
      <c r="H472" s="9">
        <v>1</v>
      </c>
      <c r="I472" s="10">
        <v>22082.95</v>
      </c>
      <c r="J472" s="495">
        <f>H472*I472</f>
        <v>22082.95</v>
      </c>
    </row>
    <row r="473" spans="1:10" ht="25.5">
      <c r="A473" s="494" t="s">
        <v>95</v>
      </c>
      <c r="B473" s="8" t="s">
        <v>292</v>
      </c>
      <c r="C473" s="8" t="s">
        <v>24</v>
      </c>
      <c r="D473" s="23" t="s">
        <v>293</v>
      </c>
      <c r="E473" s="1080" t="s">
        <v>101</v>
      </c>
      <c r="F473" s="1080"/>
      <c r="G473" s="8" t="s">
        <v>291</v>
      </c>
      <c r="H473" s="9">
        <v>1</v>
      </c>
      <c r="I473" s="10">
        <v>9574.6200000000008</v>
      </c>
      <c r="J473" s="495">
        <f t="shared" ref="J473:J477" si="20">H473*I473</f>
        <v>9574.6200000000008</v>
      </c>
    </row>
    <row r="474" spans="1:10" ht="25.5">
      <c r="A474" s="494" t="s">
        <v>95</v>
      </c>
      <c r="B474" s="8" t="s">
        <v>294</v>
      </c>
      <c r="C474" s="8" t="s">
        <v>24</v>
      </c>
      <c r="D474" s="23" t="s">
        <v>295</v>
      </c>
      <c r="E474" s="1080" t="s">
        <v>101</v>
      </c>
      <c r="F474" s="1080"/>
      <c r="G474" s="8" t="s">
        <v>291</v>
      </c>
      <c r="H474" s="9">
        <v>1</v>
      </c>
      <c r="I474" s="10">
        <v>6318.43</v>
      </c>
      <c r="J474" s="495">
        <f t="shared" si="20"/>
        <v>6318.43</v>
      </c>
    </row>
    <row r="475" spans="1:10" ht="25.5">
      <c r="A475" s="494" t="s">
        <v>95</v>
      </c>
      <c r="B475" s="8" t="s">
        <v>296</v>
      </c>
      <c r="C475" s="8" t="s">
        <v>24</v>
      </c>
      <c r="D475" s="23" t="s">
        <v>297</v>
      </c>
      <c r="E475" s="1080" t="s">
        <v>101</v>
      </c>
      <c r="F475" s="1080"/>
      <c r="G475" s="8" t="s">
        <v>291</v>
      </c>
      <c r="H475" s="9">
        <v>1</v>
      </c>
      <c r="I475" s="10">
        <v>5095.74</v>
      </c>
      <c r="J475" s="495">
        <f t="shared" si="20"/>
        <v>5095.74</v>
      </c>
    </row>
    <row r="476" spans="1:10" ht="25.5">
      <c r="A476" s="494" t="s">
        <v>95</v>
      </c>
      <c r="B476" s="8" t="s">
        <v>298</v>
      </c>
      <c r="C476" s="8" t="s">
        <v>24</v>
      </c>
      <c r="D476" s="23" t="s">
        <v>299</v>
      </c>
      <c r="E476" s="1080" t="s">
        <v>101</v>
      </c>
      <c r="F476" s="1080"/>
      <c r="G476" s="8" t="s">
        <v>291</v>
      </c>
      <c r="H476" s="9">
        <v>1</v>
      </c>
      <c r="I476" s="10">
        <v>4096.0200000000004</v>
      </c>
      <c r="J476" s="495">
        <f t="shared" si="20"/>
        <v>4096.0200000000004</v>
      </c>
    </row>
    <row r="477" spans="1:10" ht="25.5">
      <c r="A477" s="494" t="s">
        <v>95</v>
      </c>
      <c r="B477" s="8" t="s">
        <v>300</v>
      </c>
      <c r="C477" s="8" t="s">
        <v>24</v>
      </c>
      <c r="D477" s="23" t="s">
        <v>301</v>
      </c>
      <c r="E477" s="1080" t="s">
        <v>101</v>
      </c>
      <c r="F477" s="1080"/>
      <c r="G477" s="8" t="s">
        <v>291</v>
      </c>
      <c r="H477" s="9">
        <v>1</v>
      </c>
      <c r="I477" s="10">
        <v>3772.14</v>
      </c>
      <c r="J477" s="495">
        <f t="shared" si="20"/>
        <v>3772.14</v>
      </c>
    </row>
    <row r="478" spans="1:10">
      <c r="A478" s="498"/>
      <c r="B478" s="20"/>
      <c r="C478" s="20"/>
      <c r="D478" s="499"/>
      <c r="E478" s="499" t="s">
        <v>116</v>
      </c>
      <c r="F478" s="500">
        <v>47655.799999999996</v>
      </c>
      <c r="G478" s="499" t="s">
        <v>117</v>
      </c>
      <c r="H478" s="500">
        <v>0</v>
      </c>
      <c r="I478" s="499" t="s">
        <v>118</v>
      </c>
      <c r="J478" s="501">
        <v>47655.799999999996</v>
      </c>
    </row>
    <row r="479" spans="1:10" ht="15" customHeight="1">
      <c r="A479" s="498"/>
      <c r="B479" s="20"/>
      <c r="C479" s="20"/>
      <c r="D479" s="499"/>
      <c r="E479" s="499" t="s">
        <v>119</v>
      </c>
      <c r="F479" s="500">
        <f>J479-J471</f>
        <v>10682.097029999997</v>
      </c>
      <c r="G479" s="499"/>
      <c r="H479" s="1082" t="s">
        <v>120</v>
      </c>
      <c r="I479" s="1082"/>
      <c r="J479" s="501">
        <f>J471*(1+G2)</f>
        <v>61621.997029999991</v>
      </c>
    </row>
    <row r="480" spans="1:10" ht="26.25" thickBot="1">
      <c r="A480" s="503"/>
      <c r="B480" s="666"/>
      <c r="C480" s="666"/>
      <c r="D480" s="14"/>
      <c r="E480" s="14"/>
      <c r="F480" s="14"/>
      <c r="G480" s="14" t="s">
        <v>121</v>
      </c>
      <c r="H480" s="504">
        <f>'OBRA 04 - MEMÓRIA'!O96</f>
        <v>1.45</v>
      </c>
      <c r="I480" s="14" t="s">
        <v>122</v>
      </c>
      <c r="J480" s="505">
        <f>TRUNC(H480*J479,2)</f>
        <v>89351.89</v>
      </c>
    </row>
    <row r="481" spans="1:10" ht="15" thickTop="1">
      <c r="A481" s="506"/>
      <c r="B481" s="230"/>
      <c r="C481" s="230"/>
      <c r="D481" s="15"/>
      <c r="E481" s="15"/>
      <c r="F481" s="15"/>
      <c r="G481" s="15"/>
      <c r="H481" s="15"/>
      <c r="I481" s="15"/>
      <c r="J481" s="507"/>
    </row>
    <row r="482" spans="1:10">
      <c r="A482" s="527"/>
      <c r="B482" s="20"/>
      <c r="C482" s="20"/>
      <c r="D482" s="20"/>
      <c r="E482" s="20"/>
      <c r="F482" s="20"/>
      <c r="G482" s="20"/>
      <c r="H482" s="20"/>
      <c r="I482" s="20"/>
      <c r="J482" s="528"/>
    </row>
    <row r="483" spans="1:10">
      <c r="A483" s="1156"/>
      <c r="B483" s="1157"/>
      <c r="C483" s="1157"/>
      <c r="D483" s="614"/>
      <c r="E483" s="613"/>
      <c r="F483" s="1236" t="s">
        <v>625</v>
      </c>
      <c r="G483" s="1157"/>
      <c r="H483" s="1158">
        <f>J469+J454+J407+J383+J132+J90+J6</f>
        <v>2136171.0300000003</v>
      </c>
      <c r="I483" s="1157"/>
      <c r="J483" s="1237"/>
    </row>
  </sheetData>
  <mergeCells count="443">
    <mergeCell ref="H17:I17"/>
    <mergeCell ref="E7:F7"/>
    <mergeCell ref="E8:F8"/>
    <mergeCell ref="E9:F9"/>
    <mergeCell ref="E10:F10"/>
    <mergeCell ref="E11:F11"/>
    <mergeCell ref="F6:G6"/>
    <mergeCell ref="A1:C2"/>
    <mergeCell ref="D1:F1"/>
    <mergeCell ref="G1:H1"/>
    <mergeCell ref="I1:J2"/>
    <mergeCell ref="D2:F2"/>
    <mergeCell ref="A3:D3"/>
    <mergeCell ref="E3:J3"/>
    <mergeCell ref="A4:D4"/>
    <mergeCell ref="E4:J4"/>
    <mergeCell ref="A5:J5"/>
    <mergeCell ref="E20:F20"/>
    <mergeCell ref="E21:F21"/>
    <mergeCell ref="E22:F22"/>
    <mergeCell ref="E23:F23"/>
    <mergeCell ref="E24:F24"/>
    <mergeCell ref="E12:F12"/>
    <mergeCell ref="E13:F13"/>
    <mergeCell ref="E14:F14"/>
    <mergeCell ref="E15:F15"/>
    <mergeCell ref="E33:F33"/>
    <mergeCell ref="E34:F34"/>
    <mergeCell ref="E35:F35"/>
    <mergeCell ref="E36:F36"/>
    <mergeCell ref="H38:I38"/>
    <mergeCell ref="E25:F25"/>
    <mergeCell ref="E26:F26"/>
    <mergeCell ref="H28:I28"/>
    <mergeCell ref="E31:F31"/>
    <mergeCell ref="E32:F32"/>
    <mergeCell ref="H43:I43"/>
    <mergeCell ref="J43:J44"/>
    <mergeCell ref="A48:E48"/>
    <mergeCell ref="F48:I48"/>
    <mergeCell ref="F49:I49"/>
    <mergeCell ref="E41:F41"/>
    <mergeCell ref="E42:F42"/>
    <mergeCell ref="A43:A44"/>
    <mergeCell ref="B43:B44"/>
    <mergeCell ref="C43:C44"/>
    <mergeCell ref="D43:D44"/>
    <mergeCell ref="E43:E44"/>
    <mergeCell ref="F43:G43"/>
    <mergeCell ref="A54:E54"/>
    <mergeCell ref="F54:I54"/>
    <mergeCell ref="A55:E55"/>
    <mergeCell ref="F55:I55"/>
    <mergeCell ref="A56:E56"/>
    <mergeCell ref="F56:I56"/>
    <mergeCell ref="A51:E51"/>
    <mergeCell ref="F51:I51"/>
    <mergeCell ref="A52:E52"/>
    <mergeCell ref="F52:I52"/>
    <mergeCell ref="A53:E53"/>
    <mergeCell ref="F53:I53"/>
    <mergeCell ref="H61:I61"/>
    <mergeCell ref="H62:I62"/>
    <mergeCell ref="A63:E63"/>
    <mergeCell ref="F63:I63"/>
    <mergeCell ref="G64:I64"/>
    <mergeCell ref="A57:E57"/>
    <mergeCell ref="F57:I57"/>
    <mergeCell ref="G58:I58"/>
    <mergeCell ref="G59:I59"/>
    <mergeCell ref="A60:E60"/>
    <mergeCell ref="F60:I60"/>
    <mergeCell ref="E74:F74"/>
    <mergeCell ref="E75:F75"/>
    <mergeCell ref="E76:F76"/>
    <mergeCell ref="E77:F77"/>
    <mergeCell ref="H79:I79"/>
    <mergeCell ref="A67:E67"/>
    <mergeCell ref="F67:I67"/>
    <mergeCell ref="H69:I69"/>
    <mergeCell ref="E72:F72"/>
    <mergeCell ref="E73:F73"/>
    <mergeCell ref="H98:I98"/>
    <mergeCell ref="F90:G90"/>
    <mergeCell ref="E91:F91"/>
    <mergeCell ref="E92:F92"/>
    <mergeCell ref="E93:F93"/>
    <mergeCell ref="E94:F94"/>
    <mergeCell ref="E82:F82"/>
    <mergeCell ref="E83:F83"/>
    <mergeCell ref="E84:F84"/>
    <mergeCell ref="E85:F85"/>
    <mergeCell ref="H87:I87"/>
    <mergeCell ref="E102:F102"/>
    <mergeCell ref="A103:A104"/>
    <mergeCell ref="B103:B104"/>
    <mergeCell ref="C103:C104"/>
    <mergeCell ref="D103:D104"/>
    <mergeCell ref="E103:E104"/>
    <mergeCell ref="F103:G103"/>
    <mergeCell ref="E95:F95"/>
    <mergeCell ref="E96:F96"/>
    <mergeCell ref="E101:F101"/>
    <mergeCell ref="A113:E113"/>
    <mergeCell ref="F113:I113"/>
    <mergeCell ref="A114:E114"/>
    <mergeCell ref="F114:I114"/>
    <mergeCell ref="A115:E115"/>
    <mergeCell ref="F115:I115"/>
    <mergeCell ref="H103:I103"/>
    <mergeCell ref="J103:J104"/>
    <mergeCell ref="A110:E110"/>
    <mergeCell ref="F110:I110"/>
    <mergeCell ref="F111:I111"/>
    <mergeCell ref="A119:E119"/>
    <mergeCell ref="F119:I119"/>
    <mergeCell ref="H121:I121"/>
    <mergeCell ref="E124:F124"/>
    <mergeCell ref="E125:F125"/>
    <mergeCell ref="A116:E116"/>
    <mergeCell ref="F116:I116"/>
    <mergeCell ref="A117:E117"/>
    <mergeCell ref="F117:I117"/>
    <mergeCell ref="A118:E118"/>
    <mergeCell ref="F118:I118"/>
    <mergeCell ref="H144:I144"/>
    <mergeCell ref="E134:F134"/>
    <mergeCell ref="E135:F135"/>
    <mergeCell ref="E136:F136"/>
    <mergeCell ref="E137:F137"/>
    <mergeCell ref="E138:F138"/>
    <mergeCell ref="E126:F126"/>
    <mergeCell ref="E127:F127"/>
    <mergeCell ref="H129:I129"/>
    <mergeCell ref="F132:G132"/>
    <mergeCell ref="F133:G133"/>
    <mergeCell ref="E147:F147"/>
    <mergeCell ref="E148:F148"/>
    <mergeCell ref="E149:F149"/>
    <mergeCell ref="E150:F150"/>
    <mergeCell ref="E151:F151"/>
    <mergeCell ref="E139:F139"/>
    <mergeCell ref="E140:F140"/>
    <mergeCell ref="E141:F141"/>
    <mergeCell ref="E142:F142"/>
    <mergeCell ref="E157:F157"/>
    <mergeCell ref="E158:F158"/>
    <mergeCell ref="E159:F159"/>
    <mergeCell ref="E160:F160"/>
    <mergeCell ref="E161:F161"/>
    <mergeCell ref="E152:F152"/>
    <mergeCell ref="E153:F153"/>
    <mergeCell ref="E154:F154"/>
    <mergeCell ref="E155:F155"/>
    <mergeCell ref="E156:F156"/>
    <mergeCell ref="E173:F173"/>
    <mergeCell ref="E174:F174"/>
    <mergeCell ref="E175:F175"/>
    <mergeCell ref="E176:F176"/>
    <mergeCell ref="E177:F177"/>
    <mergeCell ref="E162:F162"/>
    <mergeCell ref="H164:I164"/>
    <mergeCell ref="E167:F167"/>
    <mergeCell ref="E168:F168"/>
    <mergeCell ref="H170:I170"/>
    <mergeCell ref="E183:F183"/>
    <mergeCell ref="E184:F184"/>
    <mergeCell ref="H186:I186"/>
    <mergeCell ref="E189:F189"/>
    <mergeCell ref="E190:F190"/>
    <mergeCell ref="E178:F178"/>
    <mergeCell ref="E179:F179"/>
    <mergeCell ref="E180:F180"/>
    <mergeCell ref="E181:F181"/>
    <mergeCell ref="E182:F182"/>
    <mergeCell ref="E199:F199"/>
    <mergeCell ref="E200:F200"/>
    <mergeCell ref="E201:F201"/>
    <mergeCell ref="E202:F202"/>
    <mergeCell ref="H204:I204"/>
    <mergeCell ref="E191:F191"/>
    <mergeCell ref="E192:F192"/>
    <mergeCell ref="E193:F193"/>
    <mergeCell ref="E194:F194"/>
    <mergeCell ref="H196:I196"/>
    <mergeCell ref="H210:I210"/>
    <mergeCell ref="J210:J211"/>
    <mergeCell ref="A220:E220"/>
    <mergeCell ref="F220:I220"/>
    <mergeCell ref="F221:I221"/>
    <mergeCell ref="F207:G207"/>
    <mergeCell ref="E208:F208"/>
    <mergeCell ref="E209:F209"/>
    <mergeCell ref="A210:A211"/>
    <mergeCell ref="B210:B211"/>
    <mergeCell ref="C210:C211"/>
    <mergeCell ref="D210:D211"/>
    <mergeCell ref="E210:E211"/>
    <mergeCell ref="F210:G210"/>
    <mergeCell ref="A226:E226"/>
    <mergeCell ref="F226:I226"/>
    <mergeCell ref="A227:E227"/>
    <mergeCell ref="F227:I227"/>
    <mergeCell ref="A228:E228"/>
    <mergeCell ref="F228:I228"/>
    <mergeCell ref="A223:E223"/>
    <mergeCell ref="F223:I223"/>
    <mergeCell ref="A224:E224"/>
    <mergeCell ref="F224:I224"/>
    <mergeCell ref="A225:E225"/>
    <mergeCell ref="F225:I225"/>
    <mergeCell ref="G233:I233"/>
    <mergeCell ref="G234:I234"/>
    <mergeCell ref="A235:E235"/>
    <mergeCell ref="F235:I235"/>
    <mergeCell ref="H236:I236"/>
    <mergeCell ref="A229:E229"/>
    <mergeCell ref="F229:I229"/>
    <mergeCell ref="G230:I230"/>
    <mergeCell ref="G231:I231"/>
    <mergeCell ref="G232:I232"/>
    <mergeCell ref="A244:E244"/>
    <mergeCell ref="F244:I244"/>
    <mergeCell ref="H246:I246"/>
    <mergeCell ref="E249:F249"/>
    <mergeCell ref="E250:F250"/>
    <mergeCell ref="H237:I237"/>
    <mergeCell ref="H238:I238"/>
    <mergeCell ref="A239:E239"/>
    <mergeCell ref="F239:I239"/>
    <mergeCell ref="G240:I240"/>
    <mergeCell ref="F256:I256"/>
    <mergeCell ref="A258:E258"/>
    <mergeCell ref="F258:I258"/>
    <mergeCell ref="A259:E259"/>
    <mergeCell ref="F259:I259"/>
    <mergeCell ref="F251:G251"/>
    <mergeCell ref="H251:I251"/>
    <mergeCell ref="J251:J252"/>
    <mergeCell ref="A255:E255"/>
    <mergeCell ref="F255:I255"/>
    <mergeCell ref="A251:A252"/>
    <mergeCell ref="B251:B252"/>
    <mergeCell ref="C251:C252"/>
    <mergeCell ref="D251:D252"/>
    <mergeCell ref="E251:E252"/>
    <mergeCell ref="A263:E263"/>
    <mergeCell ref="F263:I263"/>
    <mergeCell ref="A264:E264"/>
    <mergeCell ref="F264:I264"/>
    <mergeCell ref="G265:I265"/>
    <mergeCell ref="A260:E260"/>
    <mergeCell ref="F260:I260"/>
    <mergeCell ref="A261:E261"/>
    <mergeCell ref="F261:I261"/>
    <mergeCell ref="A262:E262"/>
    <mergeCell ref="F262:I262"/>
    <mergeCell ref="E273:F273"/>
    <mergeCell ref="A274:A275"/>
    <mergeCell ref="B274:B275"/>
    <mergeCell ref="C274:C275"/>
    <mergeCell ref="D274:D275"/>
    <mergeCell ref="E274:E275"/>
    <mergeCell ref="F274:G274"/>
    <mergeCell ref="G266:I266"/>
    <mergeCell ref="A267:E267"/>
    <mergeCell ref="F267:I267"/>
    <mergeCell ref="H269:I269"/>
    <mergeCell ref="E272:F272"/>
    <mergeCell ref="A281:E281"/>
    <mergeCell ref="F281:I281"/>
    <mergeCell ref="A282:E282"/>
    <mergeCell ref="F282:I282"/>
    <mergeCell ref="A283:E283"/>
    <mergeCell ref="F283:I283"/>
    <mergeCell ref="H274:I274"/>
    <mergeCell ref="J274:J275"/>
    <mergeCell ref="A278:E278"/>
    <mergeCell ref="F278:I278"/>
    <mergeCell ref="F279:I279"/>
    <mergeCell ref="A287:E287"/>
    <mergeCell ref="F287:I287"/>
    <mergeCell ref="G288:I288"/>
    <mergeCell ref="G289:I289"/>
    <mergeCell ref="A290:E290"/>
    <mergeCell ref="F290:I290"/>
    <mergeCell ref="A284:E284"/>
    <mergeCell ref="F284:I284"/>
    <mergeCell ref="A285:E285"/>
    <mergeCell ref="F285:I285"/>
    <mergeCell ref="A286:E286"/>
    <mergeCell ref="F286:I286"/>
    <mergeCell ref="J297:J298"/>
    <mergeCell ref="A302:E302"/>
    <mergeCell ref="F302:I302"/>
    <mergeCell ref="F303:I303"/>
    <mergeCell ref="A305:E305"/>
    <mergeCell ref="F305:I305"/>
    <mergeCell ref="H292:I292"/>
    <mergeCell ref="E295:F295"/>
    <mergeCell ref="E296:F296"/>
    <mergeCell ref="A297:A298"/>
    <mergeCell ref="B297:B298"/>
    <mergeCell ref="C297:C298"/>
    <mergeCell ref="D297:D298"/>
    <mergeCell ref="E297:E298"/>
    <mergeCell ref="F297:G297"/>
    <mergeCell ref="H297:I297"/>
    <mergeCell ref="A309:E309"/>
    <mergeCell ref="F309:I309"/>
    <mergeCell ref="A310:E310"/>
    <mergeCell ref="F310:I310"/>
    <mergeCell ref="A311:E311"/>
    <mergeCell ref="F311:I311"/>
    <mergeCell ref="A306:E306"/>
    <mergeCell ref="F306:I306"/>
    <mergeCell ref="A307:E307"/>
    <mergeCell ref="F307:I307"/>
    <mergeCell ref="A308:E308"/>
    <mergeCell ref="F308:I308"/>
    <mergeCell ref="H316:I316"/>
    <mergeCell ref="A317:E317"/>
    <mergeCell ref="F317:I317"/>
    <mergeCell ref="G318:I318"/>
    <mergeCell ref="A321:E321"/>
    <mergeCell ref="F321:I321"/>
    <mergeCell ref="G312:I312"/>
    <mergeCell ref="G313:I313"/>
    <mergeCell ref="A314:E314"/>
    <mergeCell ref="F314:I314"/>
    <mergeCell ref="H315:I315"/>
    <mergeCell ref="H323:I323"/>
    <mergeCell ref="E326:F326"/>
    <mergeCell ref="E327:F327"/>
    <mergeCell ref="E328:F328"/>
    <mergeCell ref="E329:F329"/>
    <mergeCell ref="E334:F334"/>
    <mergeCell ref="E335:F335"/>
    <mergeCell ref="E336:F336"/>
    <mergeCell ref="E337:F337"/>
    <mergeCell ref="H347:I347"/>
    <mergeCell ref="E350:F350"/>
    <mergeCell ref="E351:F351"/>
    <mergeCell ref="E352:F352"/>
    <mergeCell ref="E353:F353"/>
    <mergeCell ref="H331:I331"/>
    <mergeCell ref="E342:F342"/>
    <mergeCell ref="E343:F343"/>
    <mergeCell ref="E344:F344"/>
    <mergeCell ref="E345:F345"/>
    <mergeCell ref="H339:I339"/>
    <mergeCell ref="E365:F365"/>
    <mergeCell ref="E366:F366"/>
    <mergeCell ref="H368:I368"/>
    <mergeCell ref="E371:F371"/>
    <mergeCell ref="E372:F372"/>
    <mergeCell ref="H355:I355"/>
    <mergeCell ref="E358:F358"/>
    <mergeCell ref="E359:F359"/>
    <mergeCell ref="E360:F360"/>
    <mergeCell ref="H362:I362"/>
    <mergeCell ref="E384:F384"/>
    <mergeCell ref="E385:F385"/>
    <mergeCell ref="E386:F386"/>
    <mergeCell ref="E387:F387"/>
    <mergeCell ref="E388:F388"/>
    <mergeCell ref="H374:I374"/>
    <mergeCell ref="E377:F377"/>
    <mergeCell ref="E378:F378"/>
    <mergeCell ref="H380:I380"/>
    <mergeCell ref="F383:G383"/>
    <mergeCell ref="E397:F397"/>
    <mergeCell ref="E398:F398"/>
    <mergeCell ref="E399:F399"/>
    <mergeCell ref="E400:F400"/>
    <mergeCell ref="E401:F401"/>
    <mergeCell ref="E389:F389"/>
    <mergeCell ref="E390:F390"/>
    <mergeCell ref="H392:I392"/>
    <mergeCell ref="E395:F395"/>
    <mergeCell ref="E396:F396"/>
    <mergeCell ref="E410:F410"/>
    <mergeCell ref="E411:F411"/>
    <mergeCell ref="E412:F412"/>
    <mergeCell ref="E413:F413"/>
    <mergeCell ref="E414:F414"/>
    <mergeCell ref="E402:F402"/>
    <mergeCell ref="H404:I404"/>
    <mergeCell ref="F407:G407"/>
    <mergeCell ref="E408:F408"/>
    <mergeCell ref="E409:F409"/>
    <mergeCell ref="H433:I433"/>
    <mergeCell ref="E423:F423"/>
    <mergeCell ref="E424:F424"/>
    <mergeCell ref="E425:F425"/>
    <mergeCell ref="E426:F426"/>
    <mergeCell ref="E427:F427"/>
    <mergeCell ref="E415:F415"/>
    <mergeCell ref="E416:F416"/>
    <mergeCell ref="E417:F417"/>
    <mergeCell ref="E418:F418"/>
    <mergeCell ref="H420:I420"/>
    <mergeCell ref="E436:F436"/>
    <mergeCell ref="E437:F437"/>
    <mergeCell ref="E438:F438"/>
    <mergeCell ref="E439:F439"/>
    <mergeCell ref="E440:F440"/>
    <mergeCell ref="E428:F428"/>
    <mergeCell ref="E429:F429"/>
    <mergeCell ref="E430:F430"/>
    <mergeCell ref="E431:F431"/>
    <mergeCell ref="H451:I451"/>
    <mergeCell ref="F454:G454"/>
    <mergeCell ref="E455:F455"/>
    <mergeCell ref="E456:F456"/>
    <mergeCell ref="E441:F441"/>
    <mergeCell ref="H443:I443"/>
    <mergeCell ref="E446:F446"/>
    <mergeCell ref="E447:F447"/>
    <mergeCell ref="E448:F448"/>
    <mergeCell ref="E449:F449"/>
    <mergeCell ref="A483:C483"/>
    <mergeCell ref="F483:G483"/>
    <mergeCell ref="H483:J483"/>
    <mergeCell ref="E475:F475"/>
    <mergeCell ref="E476:F476"/>
    <mergeCell ref="E477:F477"/>
    <mergeCell ref="H479:I479"/>
    <mergeCell ref="E470:F470"/>
    <mergeCell ref="E471:F471"/>
    <mergeCell ref="E472:F472"/>
    <mergeCell ref="E473:F473"/>
    <mergeCell ref="E474:F474"/>
    <mergeCell ref="E462:F462"/>
    <mergeCell ref="E463:F463"/>
    <mergeCell ref="E464:F464"/>
    <mergeCell ref="H466:I466"/>
    <mergeCell ref="F469:G469"/>
    <mergeCell ref="E457:F457"/>
    <mergeCell ref="E458:F458"/>
    <mergeCell ref="E459:F459"/>
    <mergeCell ref="E460:F460"/>
    <mergeCell ref="E461:F461"/>
  </mergeCells>
  <pageMargins left="0.511811024" right="0.511811024" top="0.78740157499999996" bottom="0.78740157499999996" header="0.31496062000000002" footer="0.31496062000000002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topLeftCell="A11" zoomScale="90" zoomScaleNormal="90" workbookViewId="0">
      <selection activeCell="K42" sqref="K42"/>
    </sheetView>
  </sheetViews>
  <sheetFormatPr defaultRowHeight="14.25"/>
  <cols>
    <col min="1" max="1" width="6" customWidth="1"/>
    <col min="2" max="2" width="24.75" customWidth="1"/>
    <col min="3" max="3" width="14.75" customWidth="1"/>
    <col min="4" max="5" width="13.25" bestFit="1" customWidth="1"/>
    <col min="6" max="13" width="8.875" bestFit="1" customWidth="1"/>
    <col min="14" max="21" width="0" hidden="1" customWidth="1"/>
    <col min="22" max="37" width="8.875" hidden="1" customWidth="1"/>
    <col min="38" max="38" width="0" hidden="1" customWidth="1"/>
  </cols>
  <sheetData>
    <row r="1" spans="1:38" ht="114" customHeight="1" thickBot="1">
      <c r="A1" s="1195"/>
      <c r="B1" s="857"/>
      <c r="C1" s="857"/>
      <c r="D1" s="857"/>
      <c r="E1" s="857"/>
      <c r="F1" s="857"/>
      <c r="G1" s="857"/>
      <c r="H1" s="857"/>
      <c r="I1" s="857"/>
      <c r="J1" s="857"/>
      <c r="K1" s="857"/>
      <c r="L1" s="857"/>
      <c r="M1" s="857"/>
      <c r="N1" s="648"/>
      <c r="O1" s="648"/>
      <c r="P1" s="648"/>
      <c r="Q1" s="648"/>
      <c r="R1" s="648"/>
      <c r="S1" s="648"/>
      <c r="T1" s="648"/>
      <c r="U1" s="609"/>
    </row>
    <row r="2" spans="1:38" ht="14.45" customHeight="1">
      <c r="A2" s="1190" t="s">
        <v>689</v>
      </c>
      <c r="B2" s="862"/>
      <c r="C2" s="862"/>
      <c r="D2" s="862"/>
      <c r="E2" s="862"/>
      <c r="F2" s="862"/>
      <c r="G2" s="862"/>
      <c r="H2" s="862"/>
      <c r="I2" s="862"/>
      <c r="J2" s="862"/>
      <c r="K2" s="862"/>
      <c r="L2" s="862"/>
      <c r="M2" s="862"/>
      <c r="N2" s="862"/>
      <c r="O2" s="862"/>
      <c r="P2" s="862"/>
      <c r="Q2" s="862"/>
      <c r="R2" s="862"/>
      <c r="S2" s="862"/>
      <c r="T2" s="862"/>
      <c r="U2" s="1191"/>
      <c r="V2" s="345"/>
      <c r="W2" s="346"/>
      <c r="X2" s="346"/>
      <c r="Y2" s="346"/>
      <c r="Z2" s="346"/>
      <c r="AA2" s="345"/>
      <c r="AB2" s="345"/>
      <c r="AC2" s="345"/>
      <c r="AD2" s="345"/>
      <c r="AE2" s="346"/>
      <c r="AF2" s="346"/>
      <c r="AG2" s="346"/>
      <c r="AH2" s="346"/>
      <c r="AI2" s="345"/>
      <c r="AJ2" s="345"/>
      <c r="AK2" s="345"/>
    </row>
    <row r="3" spans="1:38" ht="14.45" customHeight="1" thickBot="1">
      <c r="A3" s="1192"/>
      <c r="B3" s="1193"/>
      <c r="C3" s="1193"/>
      <c r="D3" s="1193"/>
      <c r="E3" s="1193"/>
      <c r="F3" s="1193"/>
      <c r="G3" s="1193"/>
      <c r="H3" s="1193"/>
      <c r="I3" s="1193"/>
      <c r="J3" s="1193"/>
      <c r="K3" s="1193"/>
      <c r="L3" s="1193"/>
      <c r="M3" s="1193"/>
      <c r="N3" s="1193"/>
      <c r="O3" s="1193"/>
      <c r="P3" s="1193"/>
      <c r="Q3" s="1193"/>
      <c r="R3" s="1193"/>
      <c r="S3" s="1193"/>
      <c r="T3" s="1193"/>
      <c r="U3" s="1194"/>
      <c r="V3" s="345"/>
      <c r="W3" s="346"/>
      <c r="X3" s="346"/>
      <c r="Y3" s="346"/>
      <c r="Z3" s="346"/>
      <c r="AA3" s="345"/>
      <c r="AB3" s="345"/>
      <c r="AC3" s="345"/>
      <c r="AD3" s="345"/>
      <c r="AE3" s="346"/>
      <c r="AF3" s="346"/>
      <c r="AG3" s="346"/>
      <c r="AH3" s="346"/>
      <c r="AI3" s="345"/>
      <c r="AJ3" s="345"/>
      <c r="AK3" s="345"/>
    </row>
    <row r="4" spans="1:38" ht="13.9" customHeight="1" thickBot="1">
      <c r="A4" s="1200" t="s">
        <v>547</v>
      </c>
      <c r="B4" s="873" t="s">
        <v>690</v>
      </c>
      <c r="C4" s="316" t="s">
        <v>686</v>
      </c>
      <c r="D4" s="316" t="s">
        <v>697</v>
      </c>
      <c r="E4" s="316"/>
      <c r="F4" s="1166" t="s">
        <v>698</v>
      </c>
      <c r="G4" s="1167"/>
      <c r="H4" s="1167"/>
      <c r="I4" s="1167"/>
      <c r="J4" s="1167"/>
      <c r="K4" s="1167"/>
      <c r="L4" s="1167"/>
      <c r="M4" s="1167"/>
      <c r="N4" s="1167"/>
      <c r="O4" s="1167"/>
      <c r="P4" s="1167"/>
      <c r="Q4" s="1167"/>
      <c r="R4" s="1167"/>
      <c r="S4" s="1167"/>
      <c r="T4" s="1167"/>
      <c r="U4" s="1201"/>
      <c r="V4" s="345"/>
      <c r="W4" s="346"/>
      <c r="X4" s="346"/>
      <c r="Y4" s="346"/>
      <c r="Z4" s="346"/>
      <c r="AA4" s="345"/>
      <c r="AB4" s="345"/>
      <c r="AC4" s="345"/>
      <c r="AD4" s="345"/>
      <c r="AE4" s="346"/>
      <c r="AF4" s="346"/>
      <c r="AG4" s="346"/>
      <c r="AH4" s="346"/>
      <c r="AI4" s="345"/>
      <c r="AJ4" s="345"/>
      <c r="AK4" s="345"/>
    </row>
    <row r="5" spans="1:38" ht="14.45" customHeight="1" thickBot="1">
      <c r="A5" s="1200"/>
      <c r="B5" s="873"/>
      <c r="C5" s="316"/>
      <c r="D5" s="316"/>
      <c r="E5" s="316"/>
      <c r="F5" s="1166" t="s">
        <v>703</v>
      </c>
      <c r="G5" s="1167"/>
      <c r="H5" s="1167"/>
      <c r="I5" s="1168"/>
      <c r="J5" s="1166" t="s">
        <v>704</v>
      </c>
      <c r="K5" s="1167"/>
      <c r="L5" s="1167"/>
      <c r="M5" s="1168"/>
      <c r="N5" s="316"/>
      <c r="O5" s="316"/>
      <c r="P5" s="316"/>
      <c r="Q5" s="316"/>
      <c r="R5" s="316"/>
      <c r="S5" s="316"/>
      <c r="T5" s="316"/>
      <c r="U5" s="649"/>
      <c r="V5" s="345"/>
      <c r="W5" s="346"/>
      <c r="X5" s="346"/>
      <c r="Y5" s="346"/>
      <c r="Z5" s="346"/>
      <c r="AA5" s="345"/>
      <c r="AB5" s="345"/>
      <c r="AC5" s="345"/>
      <c r="AD5" s="345"/>
      <c r="AE5" s="346"/>
      <c r="AF5" s="346"/>
      <c r="AG5" s="346"/>
      <c r="AH5" s="346"/>
      <c r="AI5" s="345"/>
      <c r="AJ5" s="345"/>
      <c r="AK5" s="345"/>
    </row>
    <row r="6" spans="1:38" ht="15.75" thickBot="1">
      <c r="A6" s="1200"/>
      <c r="B6" s="873"/>
      <c r="C6" s="316" t="s">
        <v>687</v>
      </c>
      <c r="D6" s="316" t="s">
        <v>681</v>
      </c>
      <c r="E6" s="316"/>
      <c r="F6" s="336" t="s">
        <v>699</v>
      </c>
      <c r="G6" s="336" t="s">
        <v>700</v>
      </c>
      <c r="H6" s="336" t="s">
        <v>701</v>
      </c>
      <c r="I6" s="336" t="s">
        <v>702</v>
      </c>
      <c r="J6" s="336" t="s">
        <v>699</v>
      </c>
      <c r="K6" s="336" t="s">
        <v>700</v>
      </c>
      <c r="L6" s="336" t="s">
        <v>701</v>
      </c>
      <c r="M6" s="336" t="s">
        <v>702</v>
      </c>
      <c r="N6" s="873">
        <v>3</v>
      </c>
      <c r="O6" s="873"/>
      <c r="P6" s="873"/>
      <c r="Q6" s="873"/>
      <c r="R6" s="873">
        <v>4</v>
      </c>
      <c r="S6" s="873"/>
      <c r="T6" s="873"/>
      <c r="U6" s="1243"/>
      <c r="V6" s="345"/>
      <c r="W6" s="346">
        <v>1</v>
      </c>
      <c r="X6" s="346">
        <v>2</v>
      </c>
      <c r="Y6" s="346">
        <v>3</v>
      </c>
      <c r="Z6" s="346">
        <v>4</v>
      </c>
      <c r="AA6" s="345">
        <v>5</v>
      </c>
      <c r="AB6" s="345">
        <v>6</v>
      </c>
      <c r="AC6" s="345">
        <v>7</v>
      </c>
      <c r="AD6" s="345">
        <v>8</v>
      </c>
      <c r="AE6" s="346">
        <v>9</v>
      </c>
      <c r="AF6" s="346">
        <v>10</v>
      </c>
      <c r="AG6" s="346">
        <v>11</v>
      </c>
      <c r="AH6" s="346">
        <v>12</v>
      </c>
      <c r="AI6" s="345">
        <v>13</v>
      </c>
      <c r="AJ6" s="345">
        <v>14</v>
      </c>
      <c r="AK6" s="345">
        <v>15</v>
      </c>
      <c r="AL6">
        <v>16</v>
      </c>
    </row>
    <row r="7" spans="1:38" ht="15.75" thickBot="1">
      <c r="A7" s="1238">
        <v>1</v>
      </c>
      <c r="B7" s="1036" t="s">
        <v>17</v>
      </c>
      <c r="C7" s="1039">
        <f>'OBRA 04 - SINTÉTICA'!I7</f>
        <v>39667.69</v>
      </c>
      <c r="D7" s="1041">
        <f>C7/$C$28</f>
        <v>1.8569529051238935E-2</v>
      </c>
      <c r="E7" s="1045">
        <f>D7</f>
        <v>1.8569529051238935E-2</v>
      </c>
      <c r="F7" s="333">
        <f t="shared" ref="F7:M7" si="0">W7</f>
        <v>4</v>
      </c>
      <c r="G7" s="333">
        <f t="shared" si="0"/>
        <v>0</v>
      </c>
      <c r="H7" s="333">
        <f t="shared" si="0"/>
        <v>0</v>
      </c>
      <c r="I7" s="333">
        <f t="shared" si="0"/>
        <v>0</v>
      </c>
      <c r="J7" s="333">
        <f t="shared" si="0"/>
        <v>0</v>
      </c>
      <c r="K7" s="333">
        <f t="shared" si="0"/>
        <v>0</v>
      </c>
      <c r="L7" s="333">
        <f t="shared" si="0"/>
        <v>0</v>
      </c>
      <c r="M7" s="333">
        <f t="shared" si="0"/>
        <v>0</v>
      </c>
      <c r="N7" s="333">
        <f t="shared" ref="N7:U7" si="1">AE7</f>
        <v>0</v>
      </c>
      <c r="O7" s="333">
        <f t="shared" si="1"/>
        <v>0</v>
      </c>
      <c r="P7" s="333">
        <f t="shared" si="1"/>
        <v>0</v>
      </c>
      <c r="Q7" s="333">
        <f t="shared" si="1"/>
        <v>0</v>
      </c>
      <c r="R7" s="333">
        <f t="shared" si="1"/>
        <v>0</v>
      </c>
      <c r="S7" s="333">
        <f t="shared" si="1"/>
        <v>0</v>
      </c>
      <c r="T7" s="333">
        <f t="shared" si="1"/>
        <v>0</v>
      </c>
      <c r="U7" s="650">
        <f t="shared" si="1"/>
        <v>0</v>
      </c>
      <c r="V7" s="345">
        <f>SUM(W7:AL7)</f>
        <v>4</v>
      </c>
      <c r="W7" s="346">
        <v>4</v>
      </c>
      <c r="X7" s="346">
        <v>0</v>
      </c>
      <c r="Y7" s="346">
        <v>0</v>
      </c>
      <c r="Z7" s="346">
        <v>0</v>
      </c>
      <c r="AA7" s="345">
        <v>0</v>
      </c>
      <c r="AB7" s="345">
        <v>0</v>
      </c>
      <c r="AC7" s="345">
        <v>0</v>
      </c>
      <c r="AD7" s="345">
        <v>0</v>
      </c>
      <c r="AE7" s="346">
        <v>0</v>
      </c>
      <c r="AF7" s="346">
        <v>0</v>
      </c>
      <c r="AG7" s="346">
        <v>0</v>
      </c>
      <c r="AH7" s="346">
        <v>0</v>
      </c>
      <c r="AI7" s="345">
        <v>0</v>
      </c>
      <c r="AJ7" s="345">
        <v>0</v>
      </c>
      <c r="AK7" s="345">
        <v>0</v>
      </c>
      <c r="AL7">
        <v>0</v>
      </c>
    </row>
    <row r="8" spans="1:38" ht="15.75" thickBot="1">
      <c r="A8" s="1238"/>
      <c r="B8" s="1036"/>
      <c r="C8" s="1162"/>
      <c r="D8" s="1161"/>
      <c r="E8" s="1046"/>
      <c r="F8" s="1043">
        <f>SUM(F7:I7)/V7</f>
        <v>1</v>
      </c>
      <c r="G8" s="1170"/>
      <c r="H8" s="1170"/>
      <c r="I8" s="1170"/>
      <c r="J8" s="1171"/>
      <c r="K8" s="1172"/>
      <c r="L8" s="1172"/>
      <c r="M8" s="1172"/>
      <c r="N8" s="1239"/>
      <c r="O8" s="1240"/>
      <c r="P8" s="1240"/>
      <c r="Q8" s="1241"/>
      <c r="R8" s="1239"/>
      <c r="S8" s="1240"/>
      <c r="T8" s="1240"/>
      <c r="U8" s="1242"/>
      <c r="V8" s="345"/>
      <c r="W8" s="346"/>
      <c r="X8" s="346"/>
      <c r="Y8" s="346"/>
      <c r="Z8" s="346"/>
      <c r="AA8" s="345"/>
      <c r="AB8" s="345"/>
      <c r="AC8" s="345"/>
      <c r="AD8" s="345"/>
      <c r="AE8" s="346"/>
      <c r="AF8" s="346"/>
      <c r="AG8" s="346"/>
      <c r="AH8" s="346"/>
      <c r="AI8" s="345"/>
      <c r="AJ8" s="345"/>
      <c r="AK8" s="345"/>
    </row>
    <row r="9" spans="1:38" ht="15.75" thickBot="1">
      <c r="A9" s="1238"/>
      <c r="B9" s="1036"/>
      <c r="C9" s="1162"/>
      <c r="D9" s="1161"/>
      <c r="E9" s="1047"/>
      <c r="F9" s="1048">
        <f>F8*$C$7/$C$28</f>
        <v>1.8569529051238935E-2</v>
      </c>
      <c r="G9" s="1048"/>
      <c r="H9" s="1048"/>
      <c r="I9" s="1048"/>
      <c r="J9" s="1174"/>
      <c r="K9" s="1172"/>
      <c r="L9" s="1172"/>
      <c r="M9" s="1172"/>
      <c r="N9" s="338"/>
      <c r="O9" s="338"/>
      <c r="P9" s="338"/>
      <c r="Q9" s="339"/>
      <c r="R9" s="339"/>
      <c r="S9" s="339"/>
      <c r="T9" s="339"/>
      <c r="U9" s="651"/>
      <c r="V9" s="345"/>
      <c r="W9" s="346"/>
      <c r="X9" s="346"/>
      <c r="Y9" s="346"/>
      <c r="Z9" s="346"/>
      <c r="AA9" s="345"/>
      <c r="AB9" s="345"/>
      <c r="AC9" s="345"/>
      <c r="AD9" s="345"/>
      <c r="AE9" s="346"/>
      <c r="AF9" s="346"/>
      <c r="AG9" s="346"/>
      <c r="AH9" s="346"/>
      <c r="AI9" s="345"/>
      <c r="AJ9" s="345"/>
      <c r="AK9" s="345"/>
    </row>
    <row r="10" spans="1:38" ht="15.75" thickBot="1">
      <c r="A10" s="1238">
        <v>2</v>
      </c>
      <c r="B10" s="1036" t="s">
        <v>38</v>
      </c>
      <c r="C10" s="1039">
        <f>'OBRA 04 - SINTÉTICA'!I14</f>
        <v>274230.58</v>
      </c>
      <c r="D10" s="1041">
        <f>C10/$C$28</f>
        <v>0.1283748239952491</v>
      </c>
      <c r="E10" s="1045">
        <f>D10+E7</f>
        <v>0.14694435304648804</v>
      </c>
      <c r="F10" s="280">
        <f t="shared" ref="F10:M10" si="2">W10</f>
        <v>2</v>
      </c>
      <c r="G10" s="280">
        <f t="shared" si="2"/>
        <v>2</v>
      </c>
      <c r="H10" s="280">
        <f t="shared" si="2"/>
        <v>0</v>
      </c>
      <c r="I10" s="280">
        <f t="shared" si="2"/>
        <v>0</v>
      </c>
      <c r="J10" s="280">
        <f t="shared" si="2"/>
        <v>0</v>
      </c>
      <c r="K10" s="280">
        <f t="shared" si="2"/>
        <v>0</v>
      </c>
      <c r="L10" s="280">
        <f t="shared" si="2"/>
        <v>0</v>
      </c>
      <c r="M10" s="280">
        <f t="shared" si="2"/>
        <v>0</v>
      </c>
      <c r="N10" s="280">
        <f t="shared" ref="N10:U10" si="3">AE10</f>
        <v>0</v>
      </c>
      <c r="O10" s="280">
        <f t="shared" si="3"/>
        <v>0</v>
      </c>
      <c r="P10" s="280">
        <f t="shared" si="3"/>
        <v>0</v>
      </c>
      <c r="Q10" s="280">
        <f t="shared" si="3"/>
        <v>0</v>
      </c>
      <c r="R10" s="280">
        <f t="shared" si="3"/>
        <v>0</v>
      </c>
      <c r="S10" s="280">
        <f t="shared" si="3"/>
        <v>0</v>
      </c>
      <c r="T10" s="280">
        <f t="shared" si="3"/>
        <v>0</v>
      </c>
      <c r="U10" s="652">
        <f t="shared" si="3"/>
        <v>0</v>
      </c>
      <c r="V10" s="345">
        <f>SUM(W10:AL10)</f>
        <v>4</v>
      </c>
      <c r="W10" s="346">
        <v>2</v>
      </c>
      <c r="X10" s="346">
        <v>2</v>
      </c>
      <c r="Y10" s="346">
        <v>0</v>
      </c>
      <c r="Z10" s="346">
        <v>0</v>
      </c>
      <c r="AA10" s="345">
        <v>0</v>
      </c>
      <c r="AB10" s="345">
        <v>0</v>
      </c>
      <c r="AC10" s="345">
        <v>0</v>
      </c>
      <c r="AD10" s="345">
        <v>0</v>
      </c>
      <c r="AE10" s="346">
        <v>0</v>
      </c>
      <c r="AF10" s="346">
        <v>0</v>
      </c>
      <c r="AG10" s="346">
        <v>0</v>
      </c>
      <c r="AH10" s="346">
        <v>0</v>
      </c>
      <c r="AI10" s="345">
        <v>0</v>
      </c>
      <c r="AJ10" s="345">
        <v>0</v>
      </c>
      <c r="AK10" s="345">
        <v>0</v>
      </c>
      <c r="AL10">
        <v>0</v>
      </c>
    </row>
    <row r="11" spans="1:38" ht="15.75" thickBot="1">
      <c r="A11" s="1238"/>
      <c r="B11" s="1036"/>
      <c r="C11" s="1162"/>
      <c r="D11" s="1161"/>
      <c r="E11" s="1046"/>
      <c r="F11" s="1043">
        <f>SUM(F10:I10)/V10</f>
        <v>1</v>
      </c>
      <c r="G11" s="1170"/>
      <c r="H11" s="1170"/>
      <c r="I11" s="1170"/>
      <c r="J11" s="1171"/>
      <c r="K11" s="1172"/>
      <c r="L11" s="1172"/>
      <c r="M11" s="1172"/>
      <c r="N11" s="337"/>
      <c r="O11" s="337"/>
      <c r="P11" s="337"/>
      <c r="Q11" s="340"/>
      <c r="R11" s="340"/>
      <c r="S11" s="340"/>
      <c r="T11" s="340"/>
      <c r="U11" s="653"/>
      <c r="V11" s="345"/>
      <c r="W11" s="346"/>
      <c r="X11" s="346"/>
      <c r="Y11" s="346"/>
      <c r="Z11" s="346"/>
      <c r="AA11" s="345"/>
      <c r="AB11" s="345"/>
      <c r="AC11" s="345"/>
      <c r="AD11" s="345"/>
      <c r="AE11" s="346"/>
      <c r="AF11" s="346"/>
      <c r="AG11" s="346"/>
      <c r="AH11" s="346"/>
      <c r="AI11" s="345"/>
      <c r="AJ11" s="345"/>
      <c r="AK11" s="345"/>
    </row>
    <row r="12" spans="1:38" ht="15.75" thickBot="1">
      <c r="A12" s="1238"/>
      <c r="B12" s="1036"/>
      <c r="C12" s="1162"/>
      <c r="D12" s="1161"/>
      <c r="E12" s="1047"/>
      <c r="F12" s="1037">
        <f>F9+(F11*$C$10/$C$28)</f>
        <v>0.14694435304648804</v>
      </c>
      <c r="G12" s="1038"/>
      <c r="H12" s="1038"/>
      <c r="I12" s="1038"/>
      <c r="J12" s="1174"/>
      <c r="K12" s="1172"/>
      <c r="L12" s="1172"/>
      <c r="M12" s="1172"/>
      <c r="N12" s="338"/>
      <c r="O12" s="338"/>
      <c r="P12" s="338"/>
      <c r="Q12" s="340"/>
      <c r="R12" s="340"/>
      <c r="S12" s="340"/>
      <c r="T12" s="340"/>
      <c r="U12" s="654"/>
      <c r="V12" s="345"/>
      <c r="W12" s="346"/>
      <c r="X12" s="346"/>
      <c r="Y12" s="346"/>
      <c r="Z12" s="346"/>
      <c r="AA12" s="345"/>
      <c r="AB12" s="345"/>
      <c r="AC12" s="345"/>
      <c r="AD12" s="345"/>
      <c r="AE12" s="346"/>
      <c r="AF12" s="346"/>
      <c r="AG12" s="346"/>
      <c r="AH12" s="346"/>
      <c r="AI12" s="345"/>
      <c r="AJ12" s="345"/>
      <c r="AK12" s="345"/>
    </row>
    <row r="13" spans="1:38" ht="15.75" thickBot="1">
      <c r="A13" s="1238">
        <v>3</v>
      </c>
      <c r="B13" s="1036" t="s">
        <v>59</v>
      </c>
      <c r="C13" s="1039">
        <f>'OBRA 04 - SINTÉTICA'!I18</f>
        <v>1441350.0500000003</v>
      </c>
      <c r="D13" s="1041">
        <f>C13/$C$28</f>
        <v>0.67473532304199446</v>
      </c>
      <c r="E13" s="1045">
        <f t="shared" ref="E13" si="4">D13+E10</f>
        <v>0.82167967608848247</v>
      </c>
      <c r="F13" s="280">
        <f t="shared" ref="F13:M13" si="5">W13</f>
        <v>0</v>
      </c>
      <c r="G13" s="280">
        <f t="shared" si="5"/>
        <v>0</v>
      </c>
      <c r="H13" s="280">
        <f t="shared" si="5"/>
        <v>2</v>
      </c>
      <c r="I13" s="280">
        <f t="shared" si="5"/>
        <v>2</v>
      </c>
      <c r="J13" s="280">
        <f t="shared" si="5"/>
        <v>4</v>
      </c>
      <c r="K13" s="280">
        <f t="shared" si="5"/>
        <v>0</v>
      </c>
      <c r="L13" s="280">
        <f t="shared" si="5"/>
        <v>0</v>
      </c>
      <c r="M13" s="280">
        <f t="shared" si="5"/>
        <v>0</v>
      </c>
      <c r="N13" s="280">
        <f t="shared" ref="N13:U13" si="6">AE13</f>
        <v>0</v>
      </c>
      <c r="O13" s="280">
        <f t="shared" si="6"/>
        <v>0</v>
      </c>
      <c r="P13" s="280">
        <f t="shared" si="6"/>
        <v>0</v>
      </c>
      <c r="Q13" s="280">
        <f t="shared" si="6"/>
        <v>0</v>
      </c>
      <c r="R13" s="280">
        <f t="shared" si="6"/>
        <v>0</v>
      </c>
      <c r="S13" s="280">
        <f t="shared" si="6"/>
        <v>0</v>
      </c>
      <c r="T13" s="280">
        <f t="shared" si="6"/>
        <v>0</v>
      </c>
      <c r="U13" s="652">
        <f t="shared" si="6"/>
        <v>0</v>
      </c>
      <c r="V13" s="345">
        <f>SUM(W13:AL13)</f>
        <v>8</v>
      </c>
      <c r="W13" s="346">
        <v>0</v>
      </c>
      <c r="X13" s="346">
        <v>0</v>
      </c>
      <c r="Y13" s="346">
        <v>2</v>
      </c>
      <c r="Z13" s="346">
        <v>2</v>
      </c>
      <c r="AA13" s="345">
        <v>4</v>
      </c>
      <c r="AB13" s="345">
        <v>0</v>
      </c>
      <c r="AC13" s="345">
        <v>0</v>
      </c>
      <c r="AD13" s="345">
        <v>0</v>
      </c>
      <c r="AE13" s="346">
        <v>0</v>
      </c>
      <c r="AF13" s="346">
        <v>0</v>
      </c>
      <c r="AG13" s="346">
        <v>0</v>
      </c>
      <c r="AH13" s="346">
        <v>0</v>
      </c>
      <c r="AI13" s="345">
        <v>0</v>
      </c>
      <c r="AJ13" s="345">
        <v>0</v>
      </c>
      <c r="AK13" s="345">
        <v>0</v>
      </c>
      <c r="AL13">
        <v>0</v>
      </c>
    </row>
    <row r="14" spans="1:38" ht="15.75" thickBot="1">
      <c r="A14" s="1238"/>
      <c r="B14" s="1036"/>
      <c r="C14" s="1162"/>
      <c r="D14" s="1161"/>
      <c r="E14" s="1046"/>
      <c r="F14" s="1043">
        <f>SUM(F13:I13)/V13</f>
        <v>0.5</v>
      </c>
      <c r="G14" s="1170"/>
      <c r="H14" s="1170"/>
      <c r="I14" s="1170"/>
      <c r="J14" s="1171">
        <f>SUM(J13:M13/V13)</f>
        <v>0.5</v>
      </c>
      <c r="K14" s="1172"/>
      <c r="L14" s="1172"/>
      <c r="M14" s="1172"/>
      <c r="N14" s="337"/>
      <c r="O14" s="337"/>
      <c r="P14" s="337"/>
      <c r="Q14" s="337"/>
      <c r="R14" s="337"/>
      <c r="S14" s="337"/>
      <c r="T14" s="337"/>
      <c r="U14" s="655"/>
      <c r="V14" s="345"/>
      <c r="W14" s="346"/>
      <c r="X14" s="346"/>
      <c r="Y14" s="346"/>
      <c r="Z14" s="346"/>
      <c r="AA14" s="345"/>
      <c r="AB14" s="345"/>
      <c r="AC14" s="345"/>
      <c r="AD14" s="345"/>
      <c r="AE14" s="346"/>
      <c r="AF14" s="346"/>
      <c r="AG14" s="346"/>
      <c r="AH14" s="346"/>
      <c r="AI14" s="345"/>
      <c r="AJ14" s="345"/>
      <c r="AK14" s="345"/>
    </row>
    <row r="15" spans="1:38" ht="15.75" thickBot="1">
      <c r="A15" s="1238"/>
      <c r="B15" s="1036"/>
      <c r="C15" s="1162"/>
      <c r="D15" s="1161"/>
      <c r="E15" s="1047"/>
      <c r="F15" s="1037">
        <f>F12+(F14*$C$13/$C$28)</f>
        <v>0.48431201456748529</v>
      </c>
      <c r="G15" s="1038"/>
      <c r="H15" s="1038"/>
      <c r="I15" s="1038"/>
      <c r="J15" s="1048">
        <f>F27+J14*C13/C28</f>
        <v>0.90395193450404587</v>
      </c>
      <c r="K15" s="1048"/>
      <c r="L15" s="1048"/>
      <c r="M15" s="1048"/>
      <c r="N15" s="338"/>
      <c r="O15" s="338"/>
      <c r="P15" s="338"/>
      <c r="Q15" s="339"/>
      <c r="R15" s="339"/>
      <c r="S15" s="339"/>
      <c r="T15" s="339"/>
      <c r="U15" s="651"/>
      <c r="V15" s="345">
        <f>SUM(W15:AL15)</f>
        <v>8</v>
      </c>
      <c r="W15" s="346">
        <v>0</v>
      </c>
      <c r="X15" s="346">
        <v>0</v>
      </c>
      <c r="Y15" s="346">
        <v>2</v>
      </c>
      <c r="Z15" s="346">
        <v>2</v>
      </c>
      <c r="AA15" s="345">
        <v>4</v>
      </c>
      <c r="AB15" s="345"/>
      <c r="AC15" s="345"/>
      <c r="AD15" s="345"/>
      <c r="AE15" s="346"/>
      <c r="AF15" s="346"/>
      <c r="AG15" s="346"/>
      <c r="AH15" s="346"/>
      <c r="AI15" s="345"/>
      <c r="AJ15" s="345"/>
      <c r="AK15" s="345"/>
    </row>
    <row r="16" spans="1:38" ht="15.75" thickBot="1">
      <c r="A16" s="1238">
        <v>4</v>
      </c>
      <c r="B16" s="1036" t="s">
        <v>695</v>
      </c>
      <c r="C16" s="1039">
        <f>'OBRA 04 - SINTÉTICA'!I39</f>
        <v>123975.91999999998</v>
      </c>
      <c r="D16" s="1041">
        <f>C16/$C$28</f>
        <v>5.8036514051967067E-2</v>
      </c>
      <c r="E16" s="1045">
        <f t="shared" ref="E16" si="7">D16+E13</f>
        <v>0.87971619014044955</v>
      </c>
      <c r="F16" s="280">
        <f t="shared" ref="F16:M16" si="8">W15</f>
        <v>0</v>
      </c>
      <c r="G16" s="280">
        <f t="shared" si="8"/>
        <v>0</v>
      </c>
      <c r="H16" s="280">
        <f t="shared" si="8"/>
        <v>2</v>
      </c>
      <c r="I16" s="280">
        <f t="shared" si="8"/>
        <v>2</v>
      </c>
      <c r="J16" s="280">
        <f t="shared" si="8"/>
        <v>4</v>
      </c>
      <c r="K16" s="280">
        <f t="shared" si="8"/>
        <v>0</v>
      </c>
      <c r="L16" s="280">
        <f t="shared" si="8"/>
        <v>0</v>
      </c>
      <c r="M16" s="280">
        <f t="shared" si="8"/>
        <v>0</v>
      </c>
      <c r="N16" s="280">
        <f t="shared" ref="N16:U16" si="9">AE15</f>
        <v>0</v>
      </c>
      <c r="O16" s="280">
        <f t="shared" si="9"/>
        <v>0</v>
      </c>
      <c r="P16" s="280">
        <f t="shared" si="9"/>
        <v>0</v>
      </c>
      <c r="Q16" s="280">
        <f t="shared" si="9"/>
        <v>0</v>
      </c>
      <c r="R16" s="280">
        <f t="shared" si="9"/>
        <v>0</v>
      </c>
      <c r="S16" s="280">
        <f t="shared" si="9"/>
        <v>0</v>
      </c>
      <c r="T16" s="280">
        <f t="shared" si="9"/>
        <v>0</v>
      </c>
      <c r="U16" s="652">
        <f t="shared" si="9"/>
        <v>0</v>
      </c>
      <c r="V16" s="345"/>
      <c r="W16" s="346"/>
      <c r="X16" s="346"/>
      <c r="Y16" s="346"/>
      <c r="Z16" s="346"/>
      <c r="AA16" s="345"/>
      <c r="AB16" s="345"/>
      <c r="AC16" s="345"/>
      <c r="AD16" s="345"/>
      <c r="AE16" s="346"/>
      <c r="AF16" s="346"/>
      <c r="AG16" s="346"/>
      <c r="AH16" s="346"/>
      <c r="AI16" s="345"/>
      <c r="AJ16" s="345"/>
      <c r="AK16" s="345"/>
    </row>
    <row r="17" spans="1:38" ht="15.75" thickBot="1">
      <c r="A17" s="1238"/>
      <c r="B17" s="1036"/>
      <c r="C17" s="1162"/>
      <c r="D17" s="1161"/>
      <c r="E17" s="1046"/>
      <c r="F17" s="1043">
        <f>SUM(F16:I16)/V15</f>
        <v>0.5</v>
      </c>
      <c r="G17" s="1170"/>
      <c r="H17" s="1170"/>
      <c r="I17" s="1170"/>
      <c r="J17" s="1043">
        <f>SUM(J16:M16/V15)</f>
        <v>0.5</v>
      </c>
      <c r="K17" s="1170"/>
      <c r="L17" s="1170"/>
      <c r="M17" s="1170"/>
      <c r="N17" s="337"/>
      <c r="O17" s="337"/>
      <c r="P17" s="337"/>
      <c r="Q17" s="337"/>
      <c r="R17" s="337"/>
      <c r="S17" s="337"/>
      <c r="T17" s="337"/>
      <c r="U17" s="654"/>
      <c r="V17" s="345"/>
      <c r="W17" s="346"/>
      <c r="X17" s="346"/>
      <c r="Y17" s="346"/>
      <c r="Z17" s="346"/>
      <c r="AA17" s="345"/>
      <c r="AB17" s="345"/>
      <c r="AC17" s="345"/>
      <c r="AD17" s="345"/>
      <c r="AE17" s="346"/>
      <c r="AF17" s="346"/>
      <c r="AG17" s="346"/>
      <c r="AH17" s="346"/>
      <c r="AI17" s="345"/>
      <c r="AJ17" s="345"/>
      <c r="AK17" s="345"/>
    </row>
    <row r="18" spans="1:38" ht="15.75" thickBot="1">
      <c r="A18" s="1238"/>
      <c r="B18" s="1036"/>
      <c r="C18" s="1162"/>
      <c r="D18" s="1161"/>
      <c r="E18" s="1047"/>
      <c r="F18" s="1054">
        <f>F15+(F17*$C$16/$C$28)</f>
        <v>0.51333027159346878</v>
      </c>
      <c r="G18" s="1172"/>
      <c r="H18" s="1172"/>
      <c r="I18" s="1172"/>
      <c r="J18" s="1054">
        <f>J15+(J17*$C$16/$C$28)</f>
        <v>0.93297019153002936</v>
      </c>
      <c r="K18" s="1172"/>
      <c r="L18" s="1172"/>
      <c r="M18" s="1172"/>
      <c r="N18" s="1244"/>
      <c r="O18" s="1244"/>
      <c r="P18" s="1244"/>
      <c r="Q18" s="1244"/>
      <c r="R18" s="1244"/>
      <c r="S18" s="1244"/>
      <c r="T18" s="1244"/>
      <c r="U18" s="1245"/>
      <c r="V18" s="345"/>
      <c r="W18" s="346"/>
      <c r="X18" s="346"/>
      <c r="Y18" s="346"/>
      <c r="Z18" s="346"/>
      <c r="AA18" s="345"/>
      <c r="AB18" s="345"/>
      <c r="AC18" s="345"/>
      <c r="AD18" s="345"/>
      <c r="AE18" s="346"/>
      <c r="AF18" s="346"/>
      <c r="AG18" s="346"/>
      <c r="AH18" s="346"/>
      <c r="AI18" s="345"/>
      <c r="AJ18" s="345"/>
      <c r="AK18" s="345"/>
    </row>
    <row r="19" spans="1:38" ht="15.75" thickBot="1">
      <c r="A19" s="1238">
        <v>5</v>
      </c>
      <c r="B19" s="1036" t="s">
        <v>81</v>
      </c>
      <c r="C19" s="1039">
        <f>'OBRA 04 - SINTÉTICA'!I42</f>
        <v>138167.41999999998</v>
      </c>
      <c r="D19" s="1041">
        <f>C19/$C$28</f>
        <v>6.4679942785292793E-2</v>
      </c>
      <c r="E19" s="1045">
        <f t="shared" ref="E19" si="10">D19+E16</f>
        <v>0.94439613292574232</v>
      </c>
      <c r="F19" s="333">
        <f t="shared" ref="F19:M19" si="11">W19</f>
        <v>1</v>
      </c>
      <c r="G19" s="333">
        <f t="shared" si="11"/>
        <v>1</v>
      </c>
      <c r="H19" s="333">
        <f t="shared" si="11"/>
        <v>1</v>
      </c>
      <c r="I19" s="333">
        <f t="shared" si="11"/>
        <v>1</v>
      </c>
      <c r="J19" s="333">
        <f t="shared" si="11"/>
        <v>4</v>
      </c>
      <c r="K19" s="333">
        <f t="shared" si="11"/>
        <v>0</v>
      </c>
      <c r="L19" s="333">
        <f t="shared" si="11"/>
        <v>0</v>
      </c>
      <c r="M19" s="333">
        <f t="shared" si="11"/>
        <v>0</v>
      </c>
      <c r="N19" s="333">
        <f t="shared" ref="N19:U19" si="12">AE19</f>
        <v>0</v>
      </c>
      <c r="O19" s="333">
        <f t="shared" si="12"/>
        <v>0</v>
      </c>
      <c r="P19" s="333">
        <f t="shared" si="12"/>
        <v>0</v>
      </c>
      <c r="Q19" s="333">
        <f t="shared" si="12"/>
        <v>0</v>
      </c>
      <c r="R19" s="333">
        <f t="shared" si="12"/>
        <v>0</v>
      </c>
      <c r="S19" s="333">
        <f t="shared" si="12"/>
        <v>0</v>
      </c>
      <c r="T19" s="333">
        <f t="shared" si="12"/>
        <v>0</v>
      </c>
      <c r="U19" s="650">
        <f t="shared" si="12"/>
        <v>0</v>
      </c>
      <c r="V19" s="345">
        <f>SUM(W19:AL19)</f>
        <v>8</v>
      </c>
      <c r="W19" s="346">
        <v>1</v>
      </c>
      <c r="X19" s="346">
        <v>1</v>
      </c>
      <c r="Y19" s="346">
        <v>1</v>
      </c>
      <c r="Z19" s="346">
        <v>1</v>
      </c>
      <c r="AA19" s="345">
        <v>4</v>
      </c>
      <c r="AB19" s="345">
        <v>0</v>
      </c>
      <c r="AC19" s="345">
        <v>0</v>
      </c>
      <c r="AD19" s="345">
        <v>0</v>
      </c>
      <c r="AE19" s="346">
        <v>0</v>
      </c>
      <c r="AF19" s="346">
        <v>0</v>
      </c>
      <c r="AG19" s="346">
        <v>0</v>
      </c>
      <c r="AH19" s="346">
        <v>0</v>
      </c>
      <c r="AI19" s="345">
        <v>0</v>
      </c>
      <c r="AJ19" s="345">
        <v>0</v>
      </c>
      <c r="AK19" s="345">
        <v>0</v>
      </c>
      <c r="AL19">
        <v>0</v>
      </c>
    </row>
    <row r="20" spans="1:38" ht="15.75" thickBot="1">
      <c r="A20" s="1238"/>
      <c r="B20" s="1036"/>
      <c r="C20" s="1162"/>
      <c r="D20" s="1161"/>
      <c r="E20" s="1046"/>
      <c r="F20" s="1043">
        <f>SUM(F19:I19)/V19</f>
        <v>0.5</v>
      </c>
      <c r="G20" s="1170"/>
      <c r="H20" s="1170"/>
      <c r="I20" s="1170"/>
      <c r="J20" s="1175">
        <f>SUM(J19:M19)/V19</f>
        <v>0.5</v>
      </c>
      <c r="K20" s="1170"/>
      <c r="L20" s="1170"/>
      <c r="M20" s="1170"/>
      <c r="N20" s="337"/>
      <c r="O20" s="337"/>
      <c r="P20" s="337"/>
      <c r="Q20" s="337"/>
      <c r="R20" s="341"/>
      <c r="S20" s="341"/>
      <c r="T20" s="341"/>
      <c r="U20" s="657"/>
      <c r="V20" s="345"/>
      <c r="W20" s="346"/>
      <c r="X20" s="346"/>
      <c r="Y20" s="346"/>
      <c r="Z20" s="346"/>
      <c r="AA20" s="345"/>
      <c r="AB20" s="345"/>
      <c r="AC20" s="345"/>
      <c r="AD20" s="345"/>
      <c r="AE20" s="346"/>
      <c r="AF20" s="346"/>
      <c r="AG20" s="346"/>
      <c r="AH20" s="346"/>
      <c r="AI20" s="345"/>
      <c r="AJ20" s="345"/>
      <c r="AK20" s="345"/>
    </row>
    <row r="21" spans="1:38" ht="15.75" thickBot="1">
      <c r="A21" s="1238"/>
      <c r="B21" s="1036"/>
      <c r="C21" s="1162"/>
      <c r="D21" s="1161"/>
      <c r="E21" s="1047"/>
      <c r="F21" s="1054">
        <f>F18+F20*$C$19/$C$28</f>
        <v>0.54567024298611522</v>
      </c>
      <c r="G21" s="1172"/>
      <c r="H21" s="1172"/>
      <c r="I21" s="1172"/>
      <c r="J21" s="1048">
        <f>J18+J20*C19/C28</f>
        <v>0.9653101629226758</v>
      </c>
      <c r="K21" s="1048"/>
      <c r="L21" s="1048"/>
      <c r="M21" s="1048"/>
      <c r="N21" s="1244"/>
      <c r="O21" s="1244"/>
      <c r="P21" s="1244"/>
      <c r="Q21" s="1244"/>
      <c r="R21" s="1244"/>
      <c r="S21" s="1244"/>
      <c r="T21" s="1244"/>
      <c r="U21" s="1245"/>
      <c r="V21" s="345"/>
      <c r="W21" s="346"/>
      <c r="X21" s="346"/>
      <c r="Y21" s="346"/>
      <c r="Z21" s="346"/>
      <c r="AA21" s="345"/>
      <c r="AB21" s="345"/>
      <c r="AC21" s="345"/>
      <c r="AD21" s="345"/>
      <c r="AE21" s="346"/>
      <c r="AF21" s="346"/>
      <c r="AG21" s="346"/>
      <c r="AH21" s="346"/>
      <c r="AI21" s="345"/>
      <c r="AJ21" s="345"/>
      <c r="AK21" s="345"/>
    </row>
    <row r="22" spans="1:38" ht="15.75" thickBot="1">
      <c r="A22" s="1238">
        <v>6</v>
      </c>
      <c r="B22" s="1036" t="s">
        <v>329</v>
      </c>
      <c r="C22" s="1039">
        <f>'OBRA 04 - SINTÉTICA'!I47</f>
        <v>29427.48</v>
      </c>
      <c r="D22" s="1041">
        <f>C22/$C$28</f>
        <v>1.3775807080390935E-2</v>
      </c>
      <c r="E22" s="1045">
        <f t="shared" ref="E22" si="13">D22+E19</f>
        <v>0.95817194000613326</v>
      </c>
      <c r="F22" s="280">
        <f t="shared" ref="F22:M22" si="14">W22</f>
        <v>0</v>
      </c>
      <c r="G22" s="280">
        <f t="shared" si="14"/>
        <v>0</v>
      </c>
      <c r="H22" s="280">
        <f t="shared" si="14"/>
        <v>0</v>
      </c>
      <c r="I22" s="280">
        <f t="shared" si="14"/>
        <v>0</v>
      </c>
      <c r="J22" s="280">
        <f t="shared" si="14"/>
        <v>0</v>
      </c>
      <c r="K22" s="280">
        <f t="shared" si="14"/>
        <v>4</v>
      </c>
      <c r="L22" s="280">
        <f t="shared" si="14"/>
        <v>0</v>
      </c>
      <c r="M22" s="280">
        <f t="shared" si="14"/>
        <v>0</v>
      </c>
      <c r="N22" s="280">
        <f t="shared" ref="N22:U22" si="15">AE22</f>
        <v>0</v>
      </c>
      <c r="O22" s="280">
        <f t="shared" si="15"/>
        <v>0</v>
      </c>
      <c r="P22" s="280">
        <f t="shared" si="15"/>
        <v>0</v>
      </c>
      <c r="Q22" s="280">
        <f t="shared" si="15"/>
        <v>0</v>
      </c>
      <c r="R22" s="280">
        <f t="shared" si="15"/>
        <v>0</v>
      </c>
      <c r="S22" s="280">
        <f t="shared" si="15"/>
        <v>0</v>
      </c>
      <c r="T22" s="280">
        <f t="shared" si="15"/>
        <v>0</v>
      </c>
      <c r="U22" s="652">
        <f t="shared" si="15"/>
        <v>0</v>
      </c>
      <c r="V22" s="345">
        <f>SUM(W22:AL22)</f>
        <v>4</v>
      </c>
      <c r="W22" s="346">
        <v>0</v>
      </c>
      <c r="X22" s="346">
        <v>0</v>
      </c>
      <c r="Y22" s="346">
        <v>0</v>
      </c>
      <c r="Z22" s="346">
        <v>0</v>
      </c>
      <c r="AA22" s="346">
        <v>0</v>
      </c>
      <c r="AB22" s="346">
        <v>4</v>
      </c>
      <c r="AC22" s="346">
        <v>0</v>
      </c>
      <c r="AD22" s="346">
        <v>0</v>
      </c>
      <c r="AE22" s="346">
        <v>0</v>
      </c>
      <c r="AF22" s="346">
        <v>0</v>
      </c>
      <c r="AG22" s="346">
        <v>0</v>
      </c>
      <c r="AH22" s="346">
        <v>0</v>
      </c>
      <c r="AI22" s="346">
        <v>0</v>
      </c>
      <c r="AJ22" s="346">
        <v>0</v>
      </c>
      <c r="AK22" s="346">
        <v>0</v>
      </c>
      <c r="AL22" s="332">
        <v>0</v>
      </c>
    </row>
    <row r="23" spans="1:38" ht="15.75" thickBot="1">
      <c r="A23" s="1238"/>
      <c r="B23" s="1036"/>
      <c r="C23" s="1162"/>
      <c r="D23" s="1161"/>
      <c r="E23" s="1046"/>
      <c r="F23" s="1053">
        <f>SUM(F22:I22)/V22</f>
        <v>0</v>
      </c>
      <c r="G23" s="1172"/>
      <c r="H23" s="1172"/>
      <c r="I23" s="1172"/>
      <c r="J23" s="1175">
        <f>SUM(J22:M22)/V22</f>
        <v>1</v>
      </c>
      <c r="K23" s="1170"/>
      <c r="L23" s="1170"/>
      <c r="M23" s="1170"/>
      <c r="N23" s="337"/>
      <c r="O23" s="337"/>
      <c r="P23" s="337"/>
      <c r="Q23" s="337"/>
      <c r="R23" s="337"/>
      <c r="S23" s="337"/>
      <c r="T23" s="337"/>
      <c r="U23" s="655"/>
      <c r="V23" s="345"/>
      <c r="W23" s="346"/>
      <c r="X23" s="346"/>
      <c r="Y23" s="346"/>
      <c r="Z23" s="346"/>
      <c r="AA23" s="345"/>
      <c r="AB23" s="345"/>
      <c r="AC23" s="345"/>
      <c r="AD23" s="345"/>
      <c r="AE23" s="346"/>
      <c r="AF23" s="346"/>
      <c r="AG23" s="346"/>
      <c r="AH23" s="346"/>
      <c r="AI23" s="345"/>
      <c r="AJ23" s="345"/>
      <c r="AK23" s="345"/>
    </row>
    <row r="24" spans="1:38" ht="15.75" thickBot="1">
      <c r="A24" s="1238"/>
      <c r="B24" s="1036"/>
      <c r="C24" s="1162"/>
      <c r="D24" s="1161"/>
      <c r="E24" s="1047"/>
      <c r="F24" s="1054">
        <f>F21+F23*$C$22/$C$28</f>
        <v>0.54567024298611522</v>
      </c>
      <c r="G24" s="1172"/>
      <c r="H24" s="1172"/>
      <c r="I24" s="1172"/>
      <c r="J24" s="1054">
        <f>J21+J23*$C$22/$C$28</f>
        <v>0.97908597000306674</v>
      </c>
      <c r="K24" s="1172"/>
      <c r="L24" s="1172"/>
      <c r="M24" s="1172"/>
      <c r="N24" s="1244"/>
      <c r="O24" s="1244"/>
      <c r="P24" s="1244"/>
      <c r="Q24" s="1244"/>
      <c r="R24" s="1244"/>
      <c r="S24" s="1244"/>
      <c r="T24" s="1244"/>
      <c r="U24" s="1245"/>
      <c r="V24" s="345"/>
      <c r="W24" s="346"/>
      <c r="X24" s="346"/>
      <c r="Y24" s="346"/>
      <c r="Z24" s="346"/>
      <c r="AA24" s="345"/>
      <c r="AB24" s="345"/>
      <c r="AC24" s="345"/>
      <c r="AD24" s="345"/>
      <c r="AE24" s="346"/>
      <c r="AF24" s="346"/>
      <c r="AG24" s="346"/>
      <c r="AH24" s="346"/>
      <c r="AI24" s="345"/>
      <c r="AJ24" s="345"/>
      <c r="AK24" s="345"/>
    </row>
    <row r="25" spans="1:38" ht="15.75" thickBot="1">
      <c r="A25" s="1238">
        <v>7</v>
      </c>
      <c r="B25" s="1061" t="s">
        <v>696</v>
      </c>
      <c r="C25" s="1039">
        <f>'OBRA 04 - SINTÉTICA'!I49</f>
        <v>89351.89</v>
      </c>
      <c r="D25" s="1041">
        <f>C25/$C$28</f>
        <v>4.1828059993866684E-2</v>
      </c>
      <c r="E25" s="1045">
        <f t="shared" ref="E25" si="16">D25+E22</f>
        <v>1</v>
      </c>
      <c r="F25" s="333">
        <f t="shared" ref="F25:M25" si="17">W26</f>
        <v>1</v>
      </c>
      <c r="G25" s="333">
        <f t="shared" si="17"/>
        <v>1</v>
      </c>
      <c r="H25" s="333">
        <f t="shared" si="17"/>
        <v>1</v>
      </c>
      <c r="I25" s="333">
        <f t="shared" si="17"/>
        <v>1</v>
      </c>
      <c r="J25" s="333">
        <f t="shared" si="17"/>
        <v>2</v>
      </c>
      <c r="K25" s="333">
        <f t="shared" si="17"/>
        <v>2</v>
      </c>
      <c r="L25" s="333">
        <f t="shared" si="17"/>
        <v>0</v>
      </c>
      <c r="M25" s="333">
        <f t="shared" si="17"/>
        <v>0</v>
      </c>
      <c r="N25" s="333">
        <f t="shared" ref="N25:U25" si="18">AE26</f>
        <v>0</v>
      </c>
      <c r="O25" s="333">
        <f t="shared" si="18"/>
        <v>0</v>
      </c>
      <c r="P25" s="333">
        <f t="shared" si="18"/>
        <v>0</v>
      </c>
      <c r="Q25" s="333">
        <f t="shared" si="18"/>
        <v>0</v>
      </c>
      <c r="R25" s="333">
        <f t="shared" si="18"/>
        <v>0</v>
      </c>
      <c r="S25" s="333">
        <f t="shared" si="18"/>
        <v>0</v>
      </c>
      <c r="T25" s="333">
        <f t="shared" si="18"/>
        <v>0</v>
      </c>
      <c r="U25" s="650">
        <f t="shared" si="18"/>
        <v>0</v>
      </c>
      <c r="V25" s="345"/>
      <c r="W25" s="346"/>
      <c r="X25" s="346"/>
      <c r="Y25" s="346"/>
      <c r="Z25" s="346"/>
      <c r="AA25" s="345"/>
      <c r="AB25" s="345"/>
      <c r="AC25" s="345"/>
      <c r="AD25" s="345"/>
      <c r="AE25" s="346"/>
      <c r="AF25" s="346"/>
      <c r="AG25" s="346"/>
      <c r="AH25" s="346"/>
      <c r="AI25" s="345"/>
      <c r="AJ25" s="345"/>
      <c r="AK25" s="345"/>
    </row>
    <row r="26" spans="1:38" ht="15.75" thickBot="1">
      <c r="A26" s="1246"/>
      <c r="B26" s="1061"/>
      <c r="C26" s="1162"/>
      <c r="D26" s="1161"/>
      <c r="E26" s="1046"/>
      <c r="F26" s="1043">
        <f>SUM(F25:I25)/V26</f>
        <v>0.5</v>
      </c>
      <c r="G26" s="1170"/>
      <c r="H26" s="1170"/>
      <c r="I26" s="1170"/>
      <c r="J26" s="1175">
        <f>SUM(J25:K25)/V26</f>
        <v>0.5</v>
      </c>
      <c r="K26" s="1170"/>
      <c r="L26" s="1170"/>
      <c r="M26" s="1170"/>
      <c r="N26" s="339"/>
      <c r="O26" s="339"/>
      <c r="P26" s="339"/>
      <c r="Q26" s="338"/>
      <c r="R26" s="338"/>
      <c r="S26" s="338"/>
      <c r="T26" s="338"/>
      <c r="U26" s="658"/>
      <c r="V26" s="345">
        <f>SUM(W26:AB26)</f>
        <v>8</v>
      </c>
      <c r="W26" s="346">
        <v>1</v>
      </c>
      <c r="X26" s="346">
        <v>1</v>
      </c>
      <c r="Y26" s="346">
        <v>1</v>
      </c>
      <c r="Z26" s="346">
        <v>1</v>
      </c>
      <c r="AA26" s="346">
        <v>2</v>
      </c>
      <c r="AB26" s="346">
        <v>2</v>
      </c>
      <c r="AC26" s="345"/>
      <c r="AD26" s="345"/>
      <c r="AE26" s="346"/>
      <c r="AF26" s="346"/>
      <c r="AG26" s="346"/>
      <c r="AH26" s="346"/>
      <c r="AI26" s="345"/>
      <c r="AJ26" s="345"/>
      <c r="AK26" s="345"/>
    </row>
    <row r="27" spans="1:38" ht="15.75" thickBot="1">
      <c r="A27" s="1246"/>
      <c r="B27" s="1061"/>
      <c r="C27" s="1162"/>
      <c r="D27" s="1161"/>
      <c r="E27" s="1047"/>
      <c r="F27" s="1054">
        <f>F24+F26*$C$25/$C$28</f>
        <v>0.56658427298304859</v>
      </c>
      <c r="G27" s="1172"/>
      <c r="H27" s="1172"/>
      <c r="I27" s="1172"/>
      <c r="J27" s="1054">
        <f>J24+J26*$C$25/$C$28</f>
        <v>1</v>
      </c>
      <c r="K27" s="1172"/>
      <c r="L27" s="1172"/>
      <c r="M27" s="1172"/>
      <c r="N27" s="1244"/>
      <c r="O27" s="1244"/>
      <c r="P27" s="1244"/>
      <c r="Q27" s="1244"/>
      <c r="R27" s="1244">
        <f>ROUND([2]Plan1!$M$75*11.41%,2)</f>
        <v>3518.02</v>
      </c>
      <c r="S27" s="1244"/>
      <c r="T27" s="1244"/>
      <c r="U27" s="1245"/>
      <c r="V27" s="345"/>
      <c r="W27" s="346"/>
      <c r="X27" s="346"/>
      <c r="Y27" s="346"/>
      <c r="Z27" s="346"/>
      <c r="AA27" s="345"/>
      <c r="AB27" s="345"/>
      <c r="AC27" s="345"/>
      <c r="AD27" s="345"/>
      <c r="AE27" s="346"/>
      <c r="AF27" s="346"/>
      <c r="AG27" s="346"/>
      <c r="AH27" s="346"/>
      <c r="AI27" s="345"/>
      <c r="AJ27" s="345"/>
      <c r="AK27" s="345"/>
    </row>
    <row r="28" spans="1:38" ht="15.75" thickBot="1">
      <c r="A28" s="643"/>
      <c r="B28" s="327" t="s">
        <v>688</v>
      </c>
      <c r="C28" s="328">
        <f>SUM(C7:C27)</f>
        <v>2136171.0300000003</v>
      </c>
      <c r="D28" s="329">
        <f>SUM(D7:D27)</f>
        <v>1</v>
      </c>
      <c r="E28" s="329"/>
      <c r="F28" s="330"/>
      <c r="G28" s="330"/>
      <c r="H28" s="330"/>
      <c r="I28" s="330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644"/>
      <c r="V28" s="345"/>
      <c r="W28" s="346"/>
      <c r="X28" s="346"/>
      <c r="Y28" s="346"/>
      <c r="Z28" s="346"/>
      <c r="AA28" s="345"/>
      <c r="AB28" s="345"/>
      <c r="AC28" s="345"/>
      <c r="AD28" s="345"/>
      <c r="AE28" s="346"/>
      <c r="AF28" s="346"/>
      <c r="AG28" s="346"/>
      <c r="AH28" s="346"/>
      <c r="AI28" s="345"/>
      <c r="AJ28" s="345"/>
      <c r="AK28" s="345"/>
    </row>
    <row r="29" spans="1:38" ht="15.75" thickBot="1">
      <c r="A29" s="1206" t="s">
        <v>691</v>
      </c>
      <c r="B29" s="939"/>
      <c r="C29" s="331"/>
      <c r="D29" s="331"/>
      <c r="E29" s="331"/>
      <c r="F29" s="952">
        <f>F27*C28</f>
        <v>1210320.9100000001</v>
      </c>
      <c r="G29" s="952"/>
      <c r="H29" s="952"/>
      <c r="I29" s="952"/>
      <c r="J29" s="952">
        <f>(C28-F29)</f>
        <v>925850.12000000011</v>
      </c>
      <c r="K29" s="952"/>
      <c r="L29" s="952"/>
      <c r="M29" s="952"/>
      <c r="N29" s="952">
        <f>N21+N24</f>
        <v>0</v>
      </c>
      <c r="O29" s="952"/>
      <c r="P29" s="952"/>
      <c r="Q29" s="952"/>
      <c r="R29" s="952" t="e">
        <f>R27+#REF!</f>
        <v>#REF!</v>
      </c>
      <c r="S29" s="952"/>
      <c r="T29" s="952"/>
      <c r="U29" s="1207"/>
      <c r="V29" s="345"/>
      <c r="W29" s="346"/>
      <c r="X29" s="346"/>
      <c r="Y29" s="346"/>
      <c r="Z29" s="346"/>
      <c r="AA29" s="345"/>
      <c r="AB29" s="345"/>
      <c r="AC29" s="345"/>
      <c r="AD29" s="345"/>
      <c r="AE29" s="346"/>
      <c r="AF29" s="346"/>
      <c r="AG29" s="346"/>
      <c r="AH29" s="346"/>
      <c r="AI29" s="345"/>
      <c r="AJ29" s="345"/>
      <c r="AK29" s="345"/>
    </row>
    <row r="30" spans="1:38" ht="15.75" thickBot="1">
      <c r="A30" s="1206" t="s">
        <v>692</v>
      </c>
      <c r="B30" s="939"/>
      <c r="C30" s="331"/>
      <c r="D30" s="331"/>
      <c r="E30" s="331"/>
      <c r="F30" s="960">
        <f>F29/C28</f>
        <v>0.56658427298304859</v>
      </c>
      <c r="G30" s="960"/>
      <c r="H30" s="960"/>
      <c r="I30" s="960"/>
      <c r="J30" s="960">
        <f>J29/C28</f>
        <v>0.43341572701695147</v>
      </c>
      <c r="K30" s="960"/>
      <c r="L30" s="960"/>
      <c r="M30" s="960"/>
      <c r="N30" s="952" t="e">
        <f>N29/$R$31*100</f>
        <v>#REF!</v>
      </c>
      <c r="O30" s="952"/>
      <c r="P30" s="952"/>
      <c r="Q30" s="952"/>
      <c r="R30" s="952" t="e">
        <f>R29/$R$31*100</f>
        <v>#REF!</v>
      </c>
      <c r="S30" s="952"/>
      <c r="T30" s="952"/>
      <c r="U30" s="1207"/>
      <c r="V30" s="345"/>
      <c r="W30" s="346"/>
      <c r="X30" s="346"/>
      <c r="Y30" s="346"/>
      <c r="Z30" s="346"/>
      <c r="AA30" s="345"/>
      <c r="AB30" s="345"/>
      <c r="AC30" s="345"/>
      <c r="AD30" s="345"/>
      <c r="AE30" s="346"/>
      <c r="AF30" s="346"/>
      <c r="AG30" s="346"/>
      <c r="AH30" s="346"/>
      <c r="AI30" s="345"/>
      <c r="AJ30" s="345"/>
      <c r="AK30" s="345"/>
    </row>
    <row r="31" spans="1:38" ht="15.75" thickBot="1">
      <c r="A31" s="1206" t="s">
        <v>693</v>
      </c>
      <c r="B31" s="939"/>
      <c r="C31" s="331"/>
      <c r="D31" s="331"/>
      <c r="E31" s="331"/>
      <c r="F31" s="952">
        <f>F29</f>
        <v>1210320.9100000001</v>
      </c>
      <c r="G31" s="952"/>
      <c r="H31" s="952"/>
      <c r="I31" s="952"/>
      <c r="J31" s="952">
        <f>F31+J29</f>
        <v>2136171.0300000003</v>
      </c>
      <c r="K31" s="952"/>
      <c r="L31" s="952"/>
      <c r="M31" s="952"/>
      <c r="N31" s="952">
        <f>J31+N29</f>
        <v>2136171.0300000003</v>
      </c>
      <c r="O31" s="952"/>
      <c r="P31" s="952"/>
      <c r="Q31" s="952"/>
      <c r="R31" s="941" t="e">
        <f>TRUNC(N31+R29,2)</f>
        <v>#REF!</v>
      </c>
      <c r="S31" s="941"/>
      <c r="T31" s="941"/>
      <c r="U31" s="1227"/>
      <c r="V31" s="345"/>
      <c r="W31" s="346"/>
      <c r="X31" s="346"/>
      <c r="Y31" s="346"/>
      <c r="Z31" s="346"/>
      <c r="AA31" s="345"/>
      <c r="AB31" s="345"/>
      <c r="AC31" s="345"/>
      <c r="AD31" s="345"/>
      <c r="AE31" s="346"/>
      <c r="AF31" s="346"/>
      <c r="AG31" s="346"/>
      <c r="AH31" s="346"/>
      <c r="AI31" s="345"/>
      <c r="AJ31" s="345"/>
      <c r="AK31" s="345"/>
    </row>
    <row r="32" spans="1:38" ht="15">
      <c r="A32" s="1212" t="s">
        <v>694</v>
      </c>
      <c r="B32" s="1213"/>
      <c r="C32" s="645"/>
      <c r="D32" s="645"/>
      <c r="E32" s="645"/>
      <c r="F32" s="1214">
        <f>F30</f>
        <v>0.56658427298304859</v>
      </c>
      <c r="G32" s="1214"/>
      <c r="H32" s="1214"/>
      <c r="I32" s="1214"/>
      <c r="J32" s="1215">
        <f>F32+J30</f>
        <v>1</v>
      </c>
      <c r="K32" s="1215"/>
      <c r="L32" s="1215"/>
      <c r="M32" s="1215"/>
      <c r="N32" s="1247" t="e">
        <f>J32+N30</f>
        <v>#REF!</v>
      </c>
      <c r="O32" s="1247"/>
      <c r="P32" s="1247"/>
      <c r="Q32" s="1247"/>
      <c r="R32" s="1248" t="e">
        <f>N32+R30</f>
        <v>#REF!</v>
      </c>
      <c r="S32" s="1248"/>
      <c r="T32" s="1248"/>
      <c r="U32" s="1249"/>
      <c r="V32" s="345"/>
      <c r="W32" s="346"/>
      <c r="X32" s="346"/>
      <c r="Y32" s="346"/>
      <c r="Z32" s="346"/>
      <c r="AA32" s="345"/>
      <c r="AB32" s="345"/>
      <c r="AC32" s="345"/>
      <c r="AD32" s="345"/>
      <c r="AE32" s="346"/>
      <c r="AF32" s="346"/>
      <c r="AG32" s="346"/>
      <c r="AH32" s="346"/>
      <c r="AI32" s="345"/>
      <c r="AJ32" s="345"/>
      <c r="AK32" s="345"/>
    </row>
  </sheetData>
  <mergeCells count="102">
    <mergeCell ref="A31:B31"/>
    <mergeCell ref="F31:I31"/>
    <mergeCell ref="J31:M31"/>
    <mergeCell ref="N31:Q31"/>
    <mergeCell ref="R31:U31"/>
    <mergeCell ref="A32:B32"/>
    <mergeCell ref="F32:I32"/>
    <mergeCell ref="J32:M32"/>
    <mergeCell ref="N32:Q32"/>
    <mergeCell ref="R32:U32"/>
    <mergeCell ref="A29:B29"/>
    <mergeCell ref="F29:I29"/>
    <mergeCell ref="J29:M29"/>
    <mergeCell ref="N29:Q29"/>
    <mergeCell ref="R29:U29"/>
    <mergeCell ref="A30:B30"/>
    <mergeCell ref="F30:I30"/>
    <mergeCell ref="J30:M30"/>
    <mergeCell ref="N30:Q30"/>
    <mergeCell ref="R30:U30"/>
    <mergeCell ref="F26:I26"/>
    <mergeCell ref="J26:M26"/>
    <mergeCell ref="F27:I27"/>
    <mergeCell ref="J27:M27"/>
    <mergeCell ref="N27:Q27"/>
    <mergeCell ref="R27:U27"/>
    <mergeCell ref="J23:M23"/>
    <mergeCell ref="F24:I24"/>
    <mergeCell ref="J24:M24"/>
    <mergeCell ref="N24:Q24"/>
    <mergeCell ref="R24:U24"/>
    <mergeCell ref="F23:I23"/>
    <mergeCell ref="A25:A27"/>
    <mergeCell ref="B25:B27"/>
    <mergeCell ref="C25:C27"/>
    <mergeCell ref="D25:D27"/>
    <mergeCell ref="E25:E27"/>
    <mergeCell ref="A22:A24"/>
    <mergeCell ref="B22:B24"/>
    <mergeCell ref="C22:C24"/>
    <mergeCell ref="D22:D24"/>
    <mergeCell ref="E22:E24"/>
    <mergeCell ref="F20:I20"/>
    <mergeCell ref="J20:M20"/>
    <mergeCell ref="F21:I21"/>
    <mergeCell ref="J21:M21"/>
    <mergeCell ref="N21:Q21"/>
    <mergeCell ref="R21:U21"/>
    <mergeCell ref="J17:M17"/>
    <mergeCell ref="F18:I18"/>
    <mergeCell ref="J18:M18"/>
    <mergeCell ref="N18:Q18"/>
    <mergeCell ref="R18:U18"/>
    <mergeCell ref="F17:I17"/>
    <mergeCell ref="A19:A21"/>
    <mergeCell ref="B19:B21"/>
    <mergeCell ref="C19:C21"/>
    <mergeCell ref="D19:D21"/>
    <mergeCell ref="E19:E21"/>
    <mergeCell ref="A16:A18"/>
    <mergeCell ref="B16:B18"/>
    <mergeCell ref="C16:C18"/>
    <mergeCell ref="D16:D18"/>
    <mergeCell ref="E16:E18"/>
    <mergeCell ref="J5:M5"/>
    <mergeCell ref="N6:Q6"/>
    <mergeCell ref="R6:U6"/>
    <mergeCell ref="A7:A9"/>
    <mergeCell ref="J14:M14"/>
    <mergeCell ref="F15:I15"/>
    <mergeCell ref="J15:M15"/>
    <mergeCell ref="C10:C12"/>
    <mergeCell ref="D10:D12"/>
    <mergeCell ref="E10:E12"/>
    <mergeCell ref="F11:I11"/>
    <mergeCell ref="J11:M11"/>
    <mergeCell ref="F12:I12"/>
    <mergeCell ref="J12:M12"/>
    <mergeCell ref="A2:U3"/>
    <mergeCell ref="A1:M1"/>
    <mergeCell ref="A13:A15"/>
    <mergeCell ref="B13:B15"/>
    <mergeCell ref="A10:A12"/>
    <mergeCell ref="B10:B12"/>
    <mergeCell ref="B7:B9"/>
    <mergeCell ref="C7:C9"/>
    <mergeCell ref="D7:D9"/>
    <mergeCell ref="E7:E9"/>
    <mergeCell ref="F8:I8"/>
    <mergeCell ref="C13:C15"/>
    <mergeCell ref="D13:D15"/>
    <mergeCell ref="E13:E15"/>
    <mergeCell ref="F14:I14"/>
    <mergeCell ref="J8:M8"/>
    <mergeCell ref="N8:Q8"/>
    <mergeCell ref="R8:U8"/>
    <mergeCell ref="F9:I9"/>
    <mergeCell ref="J9:M9"/>
    <mergeCell ref="A4:A6"/>
    <mergeCell ref="B4:B6"/>
    <mergeCell ref="F4:U4"/>
    <mergeCell ref="F5:I5"/>
  </mergeCells>
  <conditionalFormatting sqref="F7:U7 F10:U10 F13:U13 F16:U16 F19:U19 F22:U22 F25:U25">
    <cfRule type="cellIs" dxfId="13" priority="1" operator="equal">
      <formula>0</formula>
    </cfRule>
    <cfRule type="cellIs" dxfId="12" priority="2" operator="greaterThan">
      <formula>0</formula>
    </cfRule>
    <cfRule type="cellIs" dxfId="11" priority="10" operator="equal">
      <formula>0</formula>
    </cfRule>
  </conditionalFormatting>
  <conditionalFormatting sqref="F7:U7">
    <cfRule type="cellIs" dxfId="10" priority="5" operator="equal">
      <formula>$V$36</formula>
    </cfRule>
    <cfRule type="cellIs" dxfId="9" priority="6" operator="equal">
      <formula>$V$35</formula>
    </cfRule>
    <cfRule type="cellIs" dxfId="8" priority="12" operator="greaterThan">
      <formula>0</formula>
    </cfRule>
    <cfRule type="cellIs" dxfId="7" priority="13" operator="lessThan">
      <formula>1</formula>
    </cfRule>
    <cfRule type="cellIs" dxfId="6" priority="14" operator="greaterThan">
      <formula>0</formula>
    </cfRule>
  </conditionalFormatting>
  <conditionalFormatting sqref="F10:U10 F13:U13 F16:U16 F19:U19 F22:U22 F25:U25">
    <cfRule type="cellIs" dxfId="5" priority="3" operator="equal">
      <formula>0</formula>
    </cfRule>
    <cfRule type="cellIs" dxfId="4" priority="4" operator="greaterThan">
      <formula>0</formula>
    </cfRule>
    <cfRule type="cellIs" dxfId="3" priority="11" operator="greaterThan">
      <formula>0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8102D296-5E75-425A-B3A2-C84CEC4FC73C}">
            <xm:f>NOT(ISERROR(SEARCH($V$34,F7)))</xm:f>
            <xm:f>$V$34</xm:f>
            <x14:dxf>
              <font>
                <color rgb="FFFF0000"/>
              </font>
            </x14:dxf>
          </x14:cfRule>
          <x14:cfRule type="containsText" priority="8" operator="containsText" id="{948EECD6-2BBF-4E02-A5FB-50C985072F29}">
            <xm:f>NOT(ISERROR(SEARCH($V$33,F7)))</xm:f>
            <xm:f>$V$33</xm:f>
            <x14:dxf>
              <font>
                <color rgb="FFFF0000"/>
              </font>
            </x14:dxf>
          </x14:cfRule>
          <x14:cfRule type="containsText" priority="9" operator="containsText" id="{93023822-E892-4C95-85D5-F21C953E0B05}">
            <xm:f>NOT(ISERROR(SEARCH($V$33,F7)))</xm:f>
            <xm:f>$V$33</xm:f>
            <x14:dxf>
              <font>
                <color rgb="FFFF0000"/>
              </font>
              <numFmt numFmtId="0" formatCode="General"/>
              <fill>
                <patternFill>
                  <bgColor rgb="FFFF0000"/>
                </patternFill>
              </fill>
            </x14:dxf>
          </x14:cfRule>
          <xm:sqref>F7:U7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24</vt:i4>
      </vt:variant>
    </vt:vector>
  </HeadingPairs>
  <TitlesOfParts>
    <vt:vector size="24" baseType="lpstr">
      <vt:lpstr>RESUMO</vt:lpstr>
      <vt:lpstr>BDI</vt:lpstr>
      <vt:lpstr>ABC-consolidada</vt:lpstr>
      <vt:lpstr>ABC-detalhada</vt:lpstr>
      <vt:lpstr>PLANILHA CONSOLIDADA</vt:lpstr>
      <vt:lpstr>CRONOGRAMA CONSOLIDADO</vt:lpstr>
      <vt:lpstr>ATESTAÇÃO</vt:lpstr>
      <vt:lpstr>OBRA 01 - SINTÉTICA</vt:lpstr>
      <vt:lpstr>OBRA 01 - MEMÓRIA</vt:lpstr>
      <vt:lpstr>OBRA 01 - CRONOGRAMA</vt:lpstr>
      <vt:lpstr>PLANILHA UNIFICADA</vt:lpstr>
      <vt:lpstr>OBRA 01 - ANALÍTICA</vt:lpstr>
      <vt:lpstr>OBRA 02 - SINTÉTICA</vt:lpstr>
      <vt:lpstr>OBRA 02 - MEMÓRIA</vt:lpstr>
      <vt:lpstr>OBRA 02 - ANALÍTICA</vt:lpstr>
      <vt:lpstr>OBRA 02 - CRONOGRAMA</vt:lpstr>
      <vt:lpstr>OBRA 03 - SINTÉTICA</vt:lpstr>
      <vt:lpstr>OBRA 03 - MEMÓRIA</vt:lpstr>
      <vt:lpstr>OBRA 03 - ANALÍTICA</vt:lpstr>
      <vt:lpstr>OBRA 03 - CRONOGRAMA</vt:lpstr>
      <vt:lpstr>OBRA 04 - SINTÉTICA</vt:lpstr>
      <vt:lpstr>OBRA 04 - MEMÓRIA</vt:lpstr>
      <vt:lpstr>OBRA 04 - ANALÍTICA</vt:lpstr>
      <vt:lpstr>OBRA 04 - 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LICITAÇÃO</cp:lastModifiedBy>
  <cp:revision>0</cp:revision>
  <cp:lastPrinted>2025-03-13T12:22:17Z</cp:lastPrinted>
  <dcterms:created xsi:type="dcterms:W3CDTF">2024-08-08T20:39:23Z</dcterms:created>
  <dcterms:modified xsi:type="dcterms:W3CDTF">2025-03-20T20:46:02Z</dcterms:modified>
</cp:coreProperties>
</file>